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D:\01 Project\畜禽粪便项目\铁骑力士\GS11712-sichuan\4. Combine reivew\a. VVB Final\Performance Review\"/>
    </mc:Choice>
  </mc:AlternateContent>
  <xr:revisionPtr revIDLastSave="0" documentId="13_ncr:1_{AB944D0E-F1CF-46E7-A8E1-0780090EF114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Cover page" sheetId="6" r:id="rId1"/>
    <sheet name="SDG Outcomes" sheetId="25" r:id="rId2"/>
    <sheet name="Baseline emission" sheetId="21" r:id="rId3"/>
    <sheet name="Project emission" sheetId="23" r:id="rId4"/>
    <sheet name="Leakage" sheetId="24" r:id="rId5"/>
    <sheet name="Emission Reduction" sheetId="26" r:id="rId6"/>
    <sheet name="monitoring results" sheetId="8" r:id="rId7"/>
    <sheet name="Reliability Check" sheetId="19" r:id="rId8"/>
    <sheet name="2022.01" sheetId="11" r:id="rId9"/>
    <sheet name="2022.02" sheetId="27" r:id="rId10"/>
    <sheet name="2022.03" sheetId="28" r:id="rId11"/>
    <sheet name="2022.04" sheetId="29" r:id="rId12"/>
    <sheet name="2022.05" sheetId="30" r:id="rId13"/>
    <sheet name="2022.06" sheetId="31" r:id="rId14"/>
    <sheet name="2022.07" sheetId="32" r:id="rId15"/>
    <sheet name="2022.08" sheetId="33" r:id="rId16"/>
    <sheet name="2022.09" sheetId="34" r:id="rId17"/>
    <sheet name="2022.10" sheetId="35" r:id="rId18"/>
    <sheet name="2022.11" sheetId="36" r:id="rId19"/>
    <sheet name="2022.12" sheetId="37" r:id="rId20"/>
  </sheets>
  <externalReferences>
    <externalReference r:id="rId21"/>
    <externalReference r:id="rId22"/>
    <externalReference r:id="rId23"/>
  </externalReferences>
  <definedNames>
    <definedName name="BE_" localSheetId="5">[1]ER!$B$2</definedName>
    <definedName name="BE_" localSheetId="1">[1]ER!$B$2</definedName>
    <definedName name="BE_">[2]ER!$B$2</definedName>
    <definedName name="ER" localSheetId="5">[1]ER!$B$1</definedName>
    <definedName name="ER" localSheetId="1">[1]ER!$B$1</definedName>
    <definedName name="ER">[2]ER!$B$1</definedName>
    <definedName name="LE" localSheetId="5">[1]ER!$B$17</definedName>
    <definedName name="LE" localSheetId="1">[1]ER!$B$17</definedName>
    <definedName name="LE">[2]ER!$B$17</definedName>
    <definedName name="PE" localSheetId="5">[1]ER!$B$8</definedName>
    <definedName name="PE" localSheetId="1">[1]ER!$B$8</definedName>
    <definedName name="PE">[2]ER!$B$8</definedName>
  </definedNames>
  <calcPr calcId="191029"/>
  <customWorkbookViews>
    <customWorkbookView name="HIEU - Personal View" guid="{2C071143-29D6-4036-A926-BF7E54293313}" mergeInterval="0" personalView="1" maximized="1" windowWidth="1020" windowHeight="57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51" i="8" l="1"/>
  <c r="A33" i="19" l="1"/>
  <c r="B210" i="24" l="1"/>
  <c r="B260" i="24" s="1"/>
  <c r="B261" i="24"/>
  <c r="B277" i="24"/>
  <c r="B278" i="24"/>
  <c r="B279" i="24"/>
  <c r="B280" i="24"/>
  <c r="B281" i="24"/>
  <c r="B282" i="24"/>
  <c r="B283" i="24"/>
  <c r="B284" i="24"/>
  <c r="B285" i="24"/>
  <c r="B286" i="24"/>
  <c r="B287" i="24"/>
  <c r="B288" i="24"/>
  <c r="C210" i="24"/>
  <c r="C260" i="24" s="1"/>
  <c r="C261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B211" i="24"/>
  <c r="B227" i="24"/>
  <c r="B228" i="24"/>
  <c r="B229" i="24"/>
  <c r="B230" i="24"/>
  <c r="B231" i="24"/>
  <c r="B232" i="24"/>
  <c r="B233" i="24"/>
  <c r="B234" i="24"/>
  <c r="B235" i="24"/>
  <c r="B236" i="24"/>
  <c r="B237" i="24"/>
  <c r="B238" i="24"/>
  <c r="C211" i="24"/>
  <c r="C227" i="24"/>
  <c r="C241" i="24"/>
  <c r="C228" i="24"/>
  <c r="C229" i="24"/>
  <c r="C230" i="24"/>
  <c r="C231" i="24"/>
  <c r="C232" i="24"/>
  <c r="C233" i="24"/>
  <c r="C234" i="24"/>
  <c r="C235" i="24"/>
  <c r="C236" i="24"/>
  <c r="C237" i="24"/>
  <c r="C238" i="24"/>
  <c r="B118" i="24"/>
  <c r="B119" i="24"/>
  <c r="B120" i="24"/>
  <c r="B121" i="24"/>
  <c r="B122" i="24"/>
  <c r="B123" i="24"/>
  <c r="B124" i="24"/>
  <c r="B125" i="24"/>
  <c r="B126" i="24"/>
  <c r="B127" i="24"/>
  <c r="B128" i="24"/>
  <c r="B129" i="24"/>
  <c r="C143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B55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B101" i="23"/>
  <c r="B102" i="23"/>
  <c r="B103" i="23"/>
  <c r="B104" i="23"/>
  <c r="B105" i="23"/>
  <c r="B106" i="23"/>
  <c r="B107" i="23"/>
  <c r="B108" i="23"/>
  <c r="B109" i="23"/>
  <c r="B110" i="23"/>
  <c r="B111" i="23"/>
  <c r="B112" i="23"/>
  <c r="C101" i="23"/>
  <c r="C102" i="23"/>
  <c r="C103" i="23"/>
  <c r="C104" i="23"/>
  <c r="C105" i="23"/>
  <c r="C106" i="23"/>
  <c r="C107" i="23"/>
  <c r="C108" i="23"/>
  <c r="C109" i="23"/>
  <c r="C110" i="23"/>
  <c r="C111" i="23"/>
  <c r="C112" i="23"/>
  <c r="B168" i="23"/>
  <c r="C168" i="23"/>
  <c r="B169" i="23"/>
  <c r="C169" i="23"/>
  <c r="B170" i="23"/>
  <c r="C170" i="23"/>
  <c r="B171" i="23"/>
  <c r="C171" i="23"/>
  <c r="B172" i="23"/>
  <c r="C172" i="23"/>
  <c r="B173" i="23"/>
  <c r="C173" i="23"/>
  <c r="B174" i="23"/>
  <c r="C174" i="23"/>
  <c r="B175" i="23"/>
  <c r="C175" i="23"/>
  <c r="B176" i="23"/>
  <c r="C176" i="23"/>
  <c r="B177" i="23"/>
  <c r="C177" i="23"/>
  <c r="B178" i="23"/>
  <c r="C178" i="23"/>
  <c r="B179" i="23"/>
  <c r="C179" i="23"/>
  <c r="B248" i="23"/>
  <c r="B249" i="23"/>
  <c r="B250" i="23"/>
  <c r="B251" i="23"/>
  <c r="B252" i="23"/>
  <c r="B253" i="23"/>
  <c r="B254" i="23"/>
  <c r="B255" i="23"/>
  <c r="B256" i="23"/>
  <c r="B257" i="23"/>
  <c r="B258" i="23"/>
  <c r="B259" i="23"/>
  <c r="C248" i="23"/>
  <c r="C249" i="23"/>
  <c r="C250" i="23"/>
  <c r="C251" i="23"/>
  <c r="C252" i="23"/>
  <c r="C253" i="23"/>
  <c r="C254" i="23"/>
  <c r="C255" i="23"/>
  <c r="C256" i="23"/>
  <c r="C257" i="23"/>
  <c r="C258" i="23"/>
  <c r="C259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R39" i="8"/>
  <c r="L39" i="8"/>
  <c r="R40" i="8"/>
  <c r="L40" i="8"/>
  <c r="R41" i="8"/>
  <c r="L41" i="8"/>
  <c r="R42" i="8"/>
  <c r="L42" i="8"/>
  <c r="R43" i="8"/>
  <c r="L43" i="8"/>
  <c r="R44" i="8"/>
  <c r="L44" i="8"/>
  <c r="R45" i="8"/>
  <c r="L45" i="8"/>
  <c r="R46" i="8"/>
  <c r="L46" i="8"/>
  <c r="R47" i="8"/>
  <c r="L47" i="8"/>
  <c r="R48" i="8"/>
  <c r="L48" i="8"/>
  <c r="R49" i="8"/>
  <c r="L49" i="8"/>
  <c r="R50" i="8"/>
  <c r="L50" i="8"/>
  <c r="C180" i="23"/>
  <c r="B94" i="23"/>
  <c r="B98" i="23"/>
  <c r="B99" i="23"/>
  <c r="C94" i="23"/>
  <c r="C98" i="23"/>
  <c r="C99" i="23"/>
  <c r="C280" i="23"/>
  <c r="C308" i="23"/>
  <c r="C232" i="23"/>
  <c r="C260" i="23"/>
  <c r="C210" i="23"/>
  <c r="B64" i="23"/>
  <c r="B38" i="23"/>
  <c r="B27" i="23"/>
  <c r="B30" i="23" s="1"/>
  <c r="B29" i="23" s="1"/>
  <c r="B19" i="21"/>
  <c r="B146" i="21" s="1"/>
  <c r="B198" i="21" s="1"/>
  <c r="B20" i="21"/>
  <c r="B147" i="21"/>
  <c r="B199" i="21" s="1"/>
  <c r="B21" i="21"/>
  <c r="B148" i="21"/>
  <c r="B200" i="21"/>
  <c r="B22" i="21"/>
  <c r="B149" i="21"/>
  <c r="B201" i="21" s="1"/>
  <c r="B23" i="21"/>
  <c r="B150" i="21"/>
  <c r="B202" i="21"/>
  <c r="B24" i="21"/>
  <c r="B151" i="21" s="1"/>
  <c r="B203" i="21" s="1"/>
  <c r="B25" i="21"/>
  <c r="B152" i="21" s="1"/>
  <c r="B204" i="21" s="1"/>
  <c r="B26" i="21"/>
  <c r="B153" i="21" s="1"/>
  <c r="B205" i="21" s="1"/>
  <c r="B27" i="21"/>
  <c r="B154" i="21" s="1"/>
  <c r="B206" i="21" s="1"/>
  <c r="B28" i="21"/>
  <c r="B155" i="21" s="1"/>
  <c r="B207" i="21" s="1"/>
  <c r="B29" i="21"/>
  <c r="B156" i="21" s="1"/>
  <c r="B208" i="21" s="1"/>
  <c r="B30" i="21"/>
  <c r="B157" i="21"/>
  <c r="B209" i="21" s="1"/>
  <c r="C19" i="21"/>
  <c r="C146" i="21" s="1"/>
  <c r="C198" i="21" s="1"/>
  <c r="C20" i="21"/>
  <c r="C147" i="21"/>
  <c r="C199" i="21" s="1"/>
  <c r="C21" i="21"/>
  <c r="C148" i="21" s="1"/>
  <c r="C200" i="21" s="1"/>
  <c r="C22" i="21"/>
  <c r="C149" i="21"/>
  <c r="C201" i="21" s="1"/>
  <c r="C23" i="21"/>
  <c r="C150" i="21" s="1"/>
  <c r="C202" i="21" s="1"/>
  <c r="C24" i="21"/>
  <c r="C151" i="21"/>
  <c r="C203" i="21" s="1"/>
  <c r="C25" i="21"/>
  <c r="C152" i="21" s="1"/>
  <c r="C204" i="21" s="1"/>
  <c r="C26" i="21"/>
  <c r="C153" i="21"/>
  <c r="C205" i="21" s="1"/>
  <c r="C27" i="21"/>
  <c r="C154" i="21"/>
  <c r="C206" i="21"/>
  <c r="C28" i="21"/>
  <c r="C155" i="21" s="1"/>
  <c r="C207" i="21" s="1"/>
  <c r="C29" i="21"/>
  <c r="C156" i="21" s="1"/>
  <c r="C208" i="21" s="1"/>
  <c r="C30" i="21"/>
  <c r="C157" i="21" s="1"/>
  <c r="C209" i="21" s="1"/>
  <c r="A172" i="21"/>
  <c r="A226" i="21" s="1"/>
  <c r="A230" i="21" s="1"/>
  <c r="A235" i="21" s="1"/>
  <c r="B103" i="21"/>
  <c r="A61" i="21"/>
  <c r="B61" i="21"/>
  <c r="C61" i="21" s="1"/>
  <c r="C105" i="21" s="1"/>
  <c r="B158" i="21"/>
  <c r="B210" i="21" s="1"/>
  <c r="A62" i="21"/>
  <c r="B62" i="21" s="1"/>
  <c r="A63" i="21"/>
  <c r="B63" i="21" s="1"/>
  <c r="A64" i="21"/>
  <c r="B64" i="21"/>
  <c r="B108" i="21" s="1"/>
  <c r="A65" i="21"/>
  <c r="B65" i="21" s="1"/>
  <c r="A66" i="21"/>
  <c r="B66" i="21" s="1"/>
  <c r="A67" i="21"/>
  <c r="B67" i="21"/>
  <c r="C67" i="21" s="1"/>
  <c r="C111" i="21" s="1"/>
  <c r="A68" i="21"/>
  <c r="B68" i="21" s="1"/>
  <c r="A69" i="21"/>
  <c r="B69" i="21"/>
  <c r="C69" i="21" s="1"/>
  <c r="C113" i="21" s="1"/>
  <c r="B113" i="21"/>
  <c r="A70" i="21"/>
  <c r="B70" i="21" s="1"/>
  <c r="A71" i="21"/>
  <c r="B71" i="21"/>
  <c r="C71" i="21" s="1"/>
  <c r="C115" i="21" s="1"/>
  <c r="A72" i="21"/>
  <c r="B72" i="21" s="1"/>
  <c r="C158" i="21"/>
  <c r="C210" i="21" s="1"/>
  <c r="B212" i="21"/>
  <c r="B44" i="21"/>
  <c r="B16" i="21"/>
  <c r="C44" i="21"/>
  <c r="C14" i="21"/>
  <c r="C16" i="21" s="1"/>
  <c r="E4" i="8"/>
  <c r="E5" i="8"/>
  <c r="E6" i="8"/>
  <c r="E7" i="8"/>
  <c r="E8" i="8"/>
  <c r="E9" i="8"/>
  <c r="E10" i="8"/>
  <c r="E11" i="8"/>
  <c r="E12" i="8"/>
  <c r="E13" i="8"/>
  <c r="E14" i="8"/>
  <c r="E15" i="8"/>
  <c r="E32" i="8" s="1"/>
  <c r="B45" i="19"/>
  <c r="E160" i="37"/>
  <c r="D160" i="37"/>
  <c r="C159" i="37"/>
  <c r="G159" i="37" s="1"/>
  <c r="B159" i="37"/>
  <c r="F159" i="37" s="1"/>
  <c r="C158" i="37"/>
  <c r="G158" i="37" s="1"/>
  <c r="B158" i="37"/>
  <c r="F158" i="37" s="1"/>
  <c r="C157" i="37"/>
  <c r="G157" i="37" s="1"/>
  <c r="B157" i="37"/>
  <c r="F157" i="37" s="1"/>
  <c r="C156" i="37"/>
  <c r="G156" i="37" s="1"/>
  <c r="B156" i="37"/>
  <c r="F156" i="37" s="1"/>
  <c r="C155" i="37"/>
  <c r="G155" i="37" s="1"/>
  <c r="G160" i="37" s="1"/>
  <c r="D165" i="37" s="1"/>
  <c r="B155" i="37"/>
  <c r="F155" i="37" s="1"/>
  <c r="E160" i="36"/>
  <c r="D160" i="36"/>
  <c r="C159" i="36"/>
  <c r="G159" i="36" s="1"/>
  <c r="B159" i="36"/>
  <c r="F159" i="36" s="1"/>
  <c r="C158" i="36"/>
  <c r="G158" i="36" s="1"/>
  <c r="B158" i="36"/>
  <c r="F158" i="36" s="1"/>
  <c r="C157" i="36"/>
  <c r="G157" i="36" s="1"/>
  <c r="B157" i="36"/>
  <c r="F157" i="36" s="1"/>
  <c r="C156" i="36"/>
  <c r="G156" i="36" s="1"/>
  <c r="B156" i="36"/>
  <c r="F156" i="36" s="1"/>
  <c r="C155" i="36"/>
  <c r="G155" i="36" s="1"/>
  <c r="B155" i="36"/>
  <c r="F155" i="36" s="1"/>
  <c r="E160" i="35"/>
  <c r="D160" i="35"/>
  <c r="C159" i="35"/>
  <c r="G159" i="35" s="1"/>
  <c r="B159" i="35"/>
  <c r="F159" i="35" s="1"/>
  <c r="C158" i="35"/>
  <c r="G158" i="35" s="1"/>
  <c r="B158" i="35"/>
  <c r="F158" i="35" s="1"/>
  <c r="C157" i="35"/>
  <c r="G157" i="35" s="1"/>
  <c r="B157" i="35"/>
  <c r="F157" i="35" s="1"/>
  <c r="C156" i="35"/>
  <c r="G156" i="35" s="1"/>
  <c r="B156" i="35"/>
  <c r="F156" i="35" s="1"/>
  <c r="C155" i="35"/>
  <c r="G155" i="35" s="1"/>
  <c r="B155" i="35"/>
  <c r="F155" i="35" s="1"/>
  <c r="E160" i="34"/>
  <c r="D160" i="34"/>
  <c r="C159" i="34"/>
  <c r="G159" i="34" s="1"/>
  <c r="B159" i="34"/>
  <c r="F159" i="34" s="1"/>
  <c r="C158" i="34"/>
  <c r="G158" i="34" s="1"/>
  <c r="B158" i="34"/>
  <c r="F158" i="34" s="1"/>
  <c r="C157" i="34"/>
  <c r="G157" i="34" s="1"/>
  <c r="B157" i="34"/>
  <c r="F157" i="34" s="1"/>
  <c r="C156" i="34"/>
  <c r="G156" i="34" s="1"/>
  <c r="B156" i="34"/>
  <c r="F156" i="34" s="1"/>
  <c r="C155" i="34"/>
  <c r="G155" i="34" s="1"/>
  <c r="B155" i="34"/>
  <c r="F155" i="34" s="1"/>
  <c r="E160" i="33"/>
  <c r="D160" i="33"/>
  <c r="C159" i="33"/>
  <c r="G159" i="33" s="1"/>
  <c r="B159" i="33"/>
  <c r="F159" i="33" s="1"/>
  <c r="C158" i="33"/>
  <c r="G158" i="33" s="1"/>
  <c r="B158" i="33"/>
  <c r="F158" i="33" s="1"/>
  <c r="C157" i="33"/>
  <c r="G157" i="33" s="1"/>
  <c r="B157" i="33"/>
  <c r="F157" i="33" s="1"/>
  <c r="C156" i="33"/>
  <c r="G156" i="33" s="1"/>
  <c r="B156" i="33"/>
  <c r="F156" i="33" s="1"/>
  <c r="C155" i="33"/>
  <c r="G155" i="33" s="1"/>
  <c r="G160" i="33" s="1"/>
  <c r="B155" i="33"/>
  <c r="F155" i="33" s="1"/>
  <c r="E160" i="32"/>
  <c r="D160" i="32"/>
  <c r="C159" i="32"/>
  <c r="G159" i="32" s="1"/>
  <c r="B159" i="32"/>
  <c r="F159" i="32" s="1"/>
  <c r="C158" i="32"/>
  <c r="G158" i="32" s="1"/>
  <c r="B158" i="32"/>
  <c r="F158" i="32" s="1"/>
  <c r="C157" i="32"/>
  <c r="G157" i="32" s="1"/>
  <c r="B157" i="32"/>
  <c r="F157" i="32" s="1"/>
  <c r="C156" i="32"/>
  <c r="G156" i="32" s="1"/>
  <c r="B156" i="32"/>
  <c r="F156" i="32" s="1"/>
  <c r="C155" i="32"/>
  <c r="G155" i="32" s="1"/>
  <c r="B155" i="32"/>
  <c r="F155" i="32" s="1"/>
  <c r="E160" i="31"/>
  <c r="D160" i="31"/>
  <c r="C159" i="31"/>
  <c r="G159" i="31" s="1"/>
  <c r="B159" i="31"/>
  <c r="F159" i="31" s="1"/>
  <c r="C158" i="31"/>
  <c r="G158" i="31" s="1"/>
  <c r="B158" i="31"/>
  <c r="F158" i="31" s="1"/>
  <c r="C157" i="31"/>
  <c r="G157" i="31" s="1"/>
  <c r="B157" i="31"/>
  <c r="F157" i="31" s="1"/>
  <c r="C156" i="31"/>
  <c r="G156" i="31" s="1"/>
  <c r="B156" i="31"/>
  <c r="F156" i="31" s="1"/>
  <c r="C155" i="31"/>
  <c r="G155" i="31" s="1"/>
  <c r="B155" i="31"/>
  <c r="F155" i="31" s="1"/>
  <c r="E160" i="30"/>
  <c r="D160" i="30"/>
  <c r="C159" i="30"/>
  <c r="G159" i="30" s="1"/>
  <c r="B159" i="30"/>
  <c r="F159" i="30" s="1"/>
  <c r="C158" i="30"/>
  <c r="G158" i="30" s="1"/>
  <c r="B158" i="30"/>
  <c r="F158" i="30" s="1"/>
  <c r="C157" i="30"/>
  <c r="G157" i="30" s="1"/>
  <c r="B157" i="30"/>
  <c r="F157" i="30" s="1"/>
  <c r="C156" i="30"/>
  <c r="G156" i="30" s="1"/>
  <c r="B156" i="30"/>
  <c r="F156" i="30" s="1"/>
  <c r="C155" i="30"/>
  <c r="G155" i="30" s="1"/>
  <c r="G160" i="30" s="1"/>
  <c r="D165" i="30" s="1"/>
  <c r="B155" i="30"/>
  <c r="F155" i="30" s="1"/>
  <c r="E160" i="29"/>
  <c r="D160" i="29"/>
  <c r="C159" i="29"/>
  <c r="G159" i="29" s="1"/>
  <c r="B159" i="29"/>
  <c r="F159" i="29" s="1"/>
  <c r="C158" i="29"/>
  <c r="G158" i="29" s="1"/>
  <c r="B158" i="29"/>
  <c r="F158" i="29" s="1"/>
  <c r="C157" i="29"/>
  <c r="G157" i="29" s="1"/>
  <c r="B157" i="29"/>
  <c r="F157" i="29" s="1"/>
  <c r="C156" i="29"/>
  <c r="G156" i="29" s="1"/>
  <c r="B156" i="29"/>
  <c r="F156" i="29" s="1"/>
  <c r="C155" i="29"/>
  <c r="G155" i="29" s="1"/>
  <c r="G160" i="29" s="1"/>
  <c r="D165" i="29" s="1"/>
  <c r="B155" i="29"/>
  <c r="F155" i="29" s="1"/>
  <c r="F160" i="29" s="1"/>
  <c r="E160" i="28"/>
  <c r="D160" i="28"/>
  <c r="C159" i="28"/>
  <c r="G159" i="28" s="1"/>
  <c r="B159" i="28"/>
  <c r="F159" i="28" s="1"/>
  <c r="C158" i="28"/>
  <c r="G158" i="28" s="1"/>
  <c r="B158" i="28"/>
  <c r="F158" i="28" s="1"/>
  <c r="C157" i="28"/>
  <c r="G157" i="28" s="1"/>
  <c r="B157" i="28"/>
  <c r="F157" i="28" s="1"/>
  <c r="C156" i="28"/>
  <c r="G156" i="28" s="1"/>
  <c r="B156" i="28"/>
  <c r="F156" i="28" s="1"/>
  <c r="C155" i="28"/>
  <c r="G155" i="28" s="1"/>
  <c r="B155" i="28"/>
  <c r="F155" i="28" s="1"/>
  <c r="E160" i="27"/>
  <c r="D160" i="27"/>
  <c r="C159" i="27"/>
  <c r="G159" i="27" s="1"/>
  <c r="B159" i="27"/>
  <c r="F159" i="27" s="1"/>
  <c r="C158" i="27"/>
  <c r="G158" i="27" s="1"/>
  <c r="B158" i="27"/>
  <c r="F158" i="27" s="1"/>
  <c r="C157" i="27"/>
  <c r="G157" i="27" s="1"/>
  <c r="B157" i="27"/>
  <c r="F157" i="27" s="1"/>
  <c r="C156" i="27"/>
  <c r="G156" i="27" s="1"/>
  <c r="B156" i="27"/>
  <c r="F156" i="27" s="1"/>
  <c r="C155" i="27"/>
  <c r="G155" i="27" s="1"/>
  <c r="B155" i="27"/>
  <c r="F155" i="27" s="1"/>
  <c r="C51" i="8"/>
  <c r="D5" i="26"/>
  <c r="C8" i="25"/>
  <c r="C13" i="25" s="1"/>
  <c r="E160" i="11"/>
  <c r="D160" i="11"/>
  <c r="C159" i="11"/>
  <c r="G159" i="11" s="1"/>
  <c r="B159" i="11"/>
  <c r="F159" i="11" s="1"/>
  <c r="C158" i="11"/>
  <c r="G158" i="11" s="1"/>
  <c r="B158" i="11"/>
  <c r="F158" i="11" s="1"/>
  <c r="C157" i="11"/>
  <c r="G157" i="11" s="1"/>
  <c r="C156" i="11"/>
  <c r="G156" i="11" s="1"/>
  <c r="B155" i="11"/>
  <c r="F155" i="11" s="1"/>
  <c r="C155" i="11"/>
  <c r="G155" i="11" s="1"/>
  <c r="A30" i="23"/>
  <c r="A69" i="24" s="1"/>
  <c r="A83" i="24" s="1"/>
  <c r="B156" i="11"/>
  <c r="F156" i="11" s="1"/>
  <c r="B157" i="11"/>
  <c r="F157" i="11" s="1"/>
  <c r="S43" i="8"/>
  <c r="S40" i="8"/>
  <c r="S39" i="8"/>
  <c r="S51" i="8" s="1"/>
  <c r="S50" i="8"/>
  <c r="S41" i="8"/>
  <c r="S49" i="8"/>
  <c r="S48" i="8"/>
  <c r="S47" i="8"/>
  <c r="S46" i="8"/>
  <c r="S44" i="8"/>
  <c r="S42" i="8"/>
  <c r="S45" i="8"/>
  <c r="D51" i="8"/>
  <c r="M49" i="8"/>
  <c r="M50" i="8"/>
  <c r="P50" i="8" s="1"/>
  <c r="A40" i="8"/>
  <c r="J40" i="8"/>
  <c r="A41" i="8"/>
  <c r="J41" i="8" s="1"/>
  <c r="A42" i="8"/>
  <c r="J42" i="8"/>
  <c r="A43" i="8"/>
  <c r="J43" i="8" s="1"/>
  <c r="A44" i="8"/>
  <c r="J44" i="8" s="1"/>
  <c r="A45" i="8"/>
  <c r="J45" i="8" s="1"/>
  <c r="A46" i="8"/>
  <c r="J46" i="8" s="1"/>
  <c r="A47" i="8"/>
  <c r="J47" i="8" s="1"/>
  <c r="A48" i="8"/>
  <c r="J48" i="8"/>
  <c r="A49" i="8"/>
  <c r="J49" i="8" s="1"/>
  <c r="A39" i="8"/>
  <c r="J39" i="8" s="1"/>
  <c r="E22" i="8"/>
  <c r="E23" i="8"/>
  <c r="E24" i="8"/>
  <c r="E25" i="8"/>
  <c r="E26" i="8"/>
  <c r="E27" i="8"/>
  <c r="E28" i="8"/>
  <c r="E29" i="8"/>
  <c r="E30" i="8"/>
  <c r="E31" i="8"/>
  <c r="E21" i="8"/>
  <c r="A25" i="24"/>
  <c r="A38" i="24"/>
  <c r="A58" i="24"/>
  <c r="A72" i="24" s="1"/>
  <c r="A86" i="24" s="1"/>
  <c r="A119" i="24" s="1"/>
  <c r="A132" i="24" s="1"/>
  <c r="A152" i="24" s="1"/>
  <c r="A166" i="24" s="1"/>
  <c r="A180" i="24" s="1"/>
  <c r="A215" i="24" s="1"/>
  <c r="A228" i="24" s="1"/>
  <c r="A243" i="24" s="1"/>
  <c r="A265" i="24" s="1"/>
  <c r="A278" i="24" s="1"/>
  <c r="A295" i="24" s="1"/>
  <c r="A26" i="24"/>
  <c r="A39" i="24"/>
  <c r="A59" i="24"/>
  <c r="A73" i="24" s="1"/>
  <c r="A87" i="24" s="1"/>
  <c r="A120" i="24" s="1"/>
  <c r="A133" i="24" s="1"/>
  <c r="A153" i="24" s="1"/>
  <c r="A167" i="24" s="1"/>
  <c r="A181" i="24" s="1"/>
  <c r="A216" i="24" s="1"/>
  <c r="A229" i="24" s="1"/>
  <c r="A244" i="24" s="1"/>
  <c r="A266" i="24" s="1"/>
  <c r="A279" i="24" s="1"/>
  <c r="A296" i="24" s="1"/>
  <c r="A27" i="24"/>
  <c r="A40" i="24"/>
  <c r="A60" i="24"/>
  <c r="A74" i="24" s="1"/>
  <c r="A88" i="24" s="1"/>
  <c r="A121" i="24" s="1"/>
  <c r="A134" i="24" s="1"/>
  <c r="A154" i="24" s="1"/>
  <c r="A168" i="24" s="1"/>
  <c r="A182" i="24" s="1"/>
  <c r="A217" i="24" s="1"/>
  <c r="A230" i="24" s="1"/>
  <c r="A245" i="24" s="1"/>
  <c r="A267" i="24" s="1"/>
  <c r="A280" i="24" s="1"/>
  <c r="A297" i="24" s="1"/>
  <c r="A28" i="24"/>
  <c r="A41" i="24"/>
  <c r="A61" i="24"/>
  <c r="A75" i="24" s="1"/>
  <c r="A89" i="24" s="1"/>
  <c r="A122" i="24" s="1"/>
  <c r="A135" i="24" s="1"/>
  <c r="A155" i="24" s="1"/>
  <c r="A169" i="24" s="1"/>
  <c r="A183" i="24" s="1"/>
  <c r="A218" i="24" s="1"/>
  <c r="A231" i="24" s="1"/>
  <c r="A246" i="24" s="1"/>
  <c r="A268" i="24" s="1"/>
  <c r="A281" i="24" s="1"/>
  <c r="A298" i="24" s="1"/>
  <c r="A29" i="24"/>
  <c r="A42" i="24"/>
  <c r="A62" i="24"/>
  <c r="A76" i="24" s="1"/>
  <c r="A90" i="24" s="1"/>
  <c r="A123" i="24" s="1"/>
  <c r="A136" i="24" s="1"/>
  <c r="A156" i="24" s="1"/>
  <c r="A170" i="24" s="1"/>
  <c r="A184" i="24" s="1"/>
  <c r="A219" i="24" s="1"/>
  <c r="A232" i="24" s="1"/>
  <c r="A247" i="24" s="1"/>
  <c r="A269" i="24" s="1"/>
  <c r="A282" i="24" s="1"/>
  <c r="A299" i="24" s="1"/>
  <c r="A30" i="24"/>
  <c r="A43" i="24"/>
  <c r="A63" i="24"/>
  <c r="A77" i="24" s="1"/>
  <c r="A91" i="24" s="1"/>
  <c r="A124" i="24" s="1"/>
  <c r="A137" i="24" s="1"/>
  <c r="A157" i="24" s="1"/>
  <c r="A171" i="24" s="1"/>
  <c r="A185" i="24" s="1"/>
  <c r="A220" i="24" s="1"/>
  <c r="A233" i="24" s="1"/>
  <c r="A248" i="24" s="1"/>
  <c r="A270" i="24" s="1"/>
  <c r="A283" i="24" s="1"/>
  <c r="A300" i="24" s="1"/>
  <c r="A31" i="24"/>
  <c r="A44" i="24"/>
  <c r="A64" i="24"/>
  <c r="A78" i="24" s="1"/>
  <c r="A92" i="24" s="1"/>
  <c r="A125" i="24" s="1"/>
  <c r="A138" i="24" s="1"/>
  <c r="A158" i="24" s="1"/>
  <c r="A172" i="24" s="1"/>
  <c r="A186" i="24" s="1"/>
  <c r="A221" i="24" s="1"/>
  <c r="A234" i="24" s="1"/>
  <c r="A249" i="24" s="1"/>
  <c r="A271" i="24" s="1"/>
  <c r="A284" i="24" s="1"/>
  <c r="A301" i="24" s="1"/>
  <c r="A32" i="24"/>
  <c r="A45" i="24"/>
  <c r="A65" i="24"/>
  <c r="A79" i="24" s="1"/>
  <c r="A93" i="24" s="1"/>
  <c r="A126" i="24" s="1"/>
  <c r="A139" i="24" s="1"/>
  <c r="A159" i="24" s="1"/>
  <c r="A173" i="24" s="1"/>
  <c r="A187" i="24" s="1"/>
  <c r="A222" i="24" s="1"/>
  <c r="A235" i="24" s="1"/>
  <c r="A250" i="24" s="1"/>
  <c r="A272" i="24" s="1"/>
  <c r="A285" i="24" s="1"/>
  <c r="A302" i="24" s="1"/>
  <c r="A33" i="24"/>
  <c r="A46" i="24"/>
  <c r="A66" i="24"/>
  <c r="A80" i="24" s="1"/>
  <c r="A94" i="24" s="1"/>
  <c r="A127" i="24" s="1"/>
  <c r="A140" i="24" s="1"/>
  <c r="A160" i="24" s="1"/>
  <c r="A174" i="24" s="1"/>
  <c r="A188" i="24" s="1"/>
  <c r="A223" i="24" s="1"/>
  <c r="A236" i="24" s="1"/>
  <c r="A251" i="24" s="1"/>
  <c r="A273" i="24" s="1"/>
  <c r="A286" i="24" s="1"/>
  <c r="A303" i="24" s="1"/>
  <c r="A34" i="24"/>
  <c r="A47" i="24"/>
  <c r="A67" i="24"/>
  <c r="A81" i="24" s="1"/>
  <c r="A95" i="24" s="1"/>
  <c r="A128" i="24" s="1"/>
  <c r="A141" i="24" s="1"/>
  <c r="A161" i="24" s="1"/>
  <c r="A175" i="24" s="1"/>
  <c r="A189" i="24" s="1"/>
  <c r="A224" i="24" s="1"/>
  <c r="A237" i="24" s="1"/>
  <c r="A252" i="24" s="1"/>
  <c r="A274" i="24" s="1"/>
  <c r="A287" i="24" s="1"/>
  <c r="A304" i="24" s="1"/>
  <c r="A35" i="24"/>
  <c r="A48" i="24"/>
  <c r="A68" i="24"/>
  <c r="A82" i="24" s="1"/>
  <c r="A96" i="24" s="1"/>
  <c r="A129" i="24" s="1"/>
  <c r="A142" i="24" s="1"/>
  <c r="A162" i="24" s="1"/>
  <c r="A176" i="24" s="1"/>
  <c r="A190" i="24" s="1"/>
  <c r="A225" i="24" s="1"/>
  <c r="A238" i="24" s="1"/>
  <c r="A253" i="24" s="1"/>
  <c r="A275" i="24" s="1"/>
  <c r="A288" i="24" s="1"/>
  <c r="A305" i="24" s="1"/>
  <c r="A24" i="24"/>
  <c r="A37" i="24"/>
  <c r="A57" i="24"/>
  <c r="A71" i="24" s="1"/>
  <c r="A85" i="24" s="1"/>
  <c r="A118" i="24" s="1"/>
  <c r="A131" i="24" s="1"/>
  <c r="A151" i="24" s="1"/>
  <c r="A165" i="24" s="1"/>
  <c r="A179" i="24" s="1"/>
  <c r="A214" i="24" s="1"/>
  <c r="A227" i="24" s="1"/>
  <c r="A242" i="24" s="1"/>
  <c r="A264" i="24" s="1"/>
  <c r="A277" i="24" s="1"/>
  <c r="A294" i="24" s="1"/>
  <c r="A16" i="23"/>
  <c r="A42" i="23"/>
  <c r="A66" i="23"/>
  <c r="A102" i="23" s="1"/>
  <c r="A115" i="23" s="1"/>
  <c r="A128" i="23" s="1"/>
  <c r="A156" i="23" s="1"/>
  <c r="A169" i="23" s="1"/>
  <c r="A183" i="23" s="1"/>
  <c r="A199" i="23" s="1"/>
  <c r="A213" i="23" s="1"/>
  <c r="A236" i="23" s="1"/>
  <c r="A249" i="23" s="1"/>
  <c r="A264" i="23" s="1"/>
  <c r="A284" i="23" s="1"/>
  <c r="A297" i="23" s="1"/>
  <c r="A311" i="23" s="1"/>
  <c r="A17" i="23"/>
  <c r="A43" i="23"/>
  <c r="A67" i="23" s="1"/>
  <c r="A103" i="23" s="1"/>
  <c r="A116" i="23" s="1"/>
  <c r="A129" i="23" s="1"/>
  <c r="A157" i="23" s="1"/>
  <c r="A170" i="23" s="1"/>
  <c r="A184" i="23" s="1"/>
  <c r="A200" i="23" s="1"/>
  <c r="A214" i="23" s="1"/>
  <c r="A237" i="23" s="1"/>
  <c r="A250" i="23" s="1"/>
  <c r="A265" i="23" s="1"/>
  <c r="A285" i="23" s="1"/>
  <c r="A298" i="23" s="1"/>
  <c r="A312" i="23" s="1"/>
  <c r="A18" i="23"/>
  <c r="A44" i="23" s="1"/>
  <c r="A68" i="23" s="1"/>
  <c r="A104" i="23" s="1"/>
  <c r="A117" i="23" s="1"/>
  <c r="A130" i="23" s="1"/>
  <c r="A158" i="23" s="1"/>
  <c r="A171" i="23" s="1"/>
  <c r="A185" i="23" s="1"/>
  <c r="A201" i="23" s="1"/>
  <c r="A215" i="23" s="1"/>
  <c r="A238" i="23" s="1"/>
  <c r="A251" i="23" s="1"/>
  <c r="A266" i="23" s="1"/>
  <c r="A286" i="23" s="1"/>
  <c r="A299" i="23" s="1"/>
  <c r="A313" i="23" s="1"/>
  <c r="A19" i="23"/>
  <c r="A45" i="23" s="1"/>
  <c r="A69" i="23" s="1"/>
  <c r="A105" i="23" s="1"/>
  <c r="A118" i="23" s="1"/>
  <c r="A131" i="23" s="1"/>
  <c r="A159" i="23" s="1"/>
  <c r="A172" i="23" s="1"/>
  <c r="A186" i="23" s="1"/>
  <c r="A202" i="23" s="1"/>
  <c r="A216" i="23" s="1"/>
  <c r="A239" i="23" s="1"/>
  <c r="A252" i="23" s="1"/>
  <c r="A267" i="23" s="1"/>
  <c r="A287" i="23" s="1"/>
  <c r="A300" i="23" s="1"/>
  <c r="A314" i="23" s="1"/>
  <c r="A20" i="23"/>
  <c r="A46" i="23" s="1"/>
  <c r="A70" i="23" s="1"/>
  <c r="A106" i="23" s="1"/>
  <c r="A119" i="23" s="1"/>
  <c r="A132" i="23" s="1"/>
  <c r="A160" i="23" s="1"/>
  <c r="A173" i="23" s="1"/>
  <c r="A187" i="23" s="1"/>
  <c r="A203" i="23" s="1"/>
  <c r="A217" i="23" s="1"/>
  <c r="A240" i="23" s="1"/>
  <c r="A253" i="23" s="1"/>
  <c r="A268" i="23" s="1"/>
  <c r="A288" i="23" s="1"/>
  <c r="A301" i="23" s="1"/>
  <c r="A315" i="23" s="1"/>
  <c r="A21" i="23"/>
  <c r="A47" i="23"/>
  <c r="A71" i="23" s="1"/>
  <c r="A107" i="23" s="1"/>
  <c r="A120" i="23" s="1"/>
  <c r="A133" i="23" s="1"/>
  <c r="A161" i="23" s="1"/>
  <c r="A174" i="23" s="1"/>
  <c r="A188" i="23" s="1"/>
  <c r="A204" i="23" s="1"/>
  <c r="A218" i="23" s="1"/>
  <c r="A241" i="23" s="1"/>
  <c r="A254" i="23" s="1"/>
  <c r="A269" i="23" s="1"/>
  <c r="A289" i="23" s="1"/>
  <c r="A302" i="23" s="1"/>
  <c r="A316" i="23" s="1"/>
  <c r="A22" i="23"/>
  <c r="A48" i="23" s="1"/>
  <c r="A72" i="23" s="1"/>
  <c r="A108" i="23" s="1"/>
  <c r="A121" i="23" s="1"/>
  <c r="A134" i="23" s="1"/>
  <c r="A162" i="23" s="1"/>
  <c r="A175" i="23" s="1"/>
  <c r="A189" i="23" s="1"/>
  <c r="A205" i="23" s="1"/>
  <c r="A219" i="23" s="1"/>
  <c r="A242" i="23" s="1"/>
  <c r="A255" i="23" s="1"/>
  <c r="A270" i="23" s="1"/>
  <c r="A290" i="23" s="1"/>
  <c r="A303" i="23" s="1"/>
  <c r="A317" i="23" s="1"/>
  <c r="A23" i="23"/>
  <c r="A49" i="23" s="1"/>
  <c r="A73" i="23" s="1"/>
  <c r="A109" i="23" s="1"/>
  <c r="A122" i="23" s="1"/>
  <c r="A135" i="23" s="1"/>
  <c r="A163" i="23" s="1"/>
  <c r="A176" i="23" s="1"/>
  <c r="A190" i="23" s="1"/>
  <c r="A206" i="23" s="1"/>
  <c r="A220" i="23" s="1"/>
  <c r="A243" i="23" s="1"/>
  <c r="A256" i="23" s="1"/>
  <c r="A271" i="23" s="1"/>
  <c r="A291" i="23" s="1"/>
  <c r="A304" i="23" s="1"/>
  <c r="A318" i="23" s="1"/>
  <c r="A24" i="23"/>
  <c r="A50" i="23" s="1"/>
  <c r="A74" i="23" s="1"/>
  <c r="A110" i="23" s="1"/>
  <c r="A123" i="23" s="1"/>
  <c r="A136" i="23" s="1"/>
  <c r="A164" i="23" s="1"/>
  <c r="A177" i="23" s="1"/>
  <c r="A191" i="23" s="1"/>
  <c r="A207" i="23" s="1"/>
  <c r="A221" i="23" s="1"/>
  <c r="A244" i="23" s="1"/>
  <c r="A257" i="23" s="1"/>
  <c r="A272" i="23" s="1"/>
  <c r="A292" i="23" s="1"/>
  <c r="A305" i="23" s="1"/>
  <c r="A319" i="23" s="1"/>
  <c r="A25" i="23"/>
  <c r="A51" i="23" s="1"/>
  <c r="A75" i="23" s="1"/>
  <c r="A111" i="23" s="1"/>
  <c r="A124" i="23" s="1"/>
  <c r="A137" i="23" s="1"/>
  <c r="A165" i="23" s="1"/>
  <c r="A178" i="23" s="1"/>
  <c r="A192" i="23" s="1"/>
  <c r="A208" i="23" s="1"/>
  <c r="A222" i="23" s="1"/>
  <c r="A245" i="23" s="1"/>
  <c r="A258" i="23" s="1"/>
  <c r="A273" i="23" s="1"/>
  <c r="A293" i="23" s="1"/>
  <c r="A306" i="23" s="1"/>
  <c r="A320" i="23" s="1"/>
  <c r="A26" i="23"/>
  <c r="A52" i="23" s="1"/>
  <c r="A76" i="23" s="1"/>
  <c r="A112" i="23" s="1"/>
  <c r="A125" i="23" s="1"/>
  <c r="A138" i="23" s="1"/>
  <c r="A166" i="23" s="1"/>
  <c r="A179" i="23" s="1"/>
  <c r="A193" i="23" s="1"/>
  <c r="A209" i="23" s="1"/>
  <c r="A223" i="23" s="1"/>
  <c r="A246" i="23" s="1"/>
  <c r="A259" i="23" s="1"/>
  <c r="A274" i="23" s="1"/>
  <c r="A294" i="23" s="1"/>
  <c r="A307" i="23" s="1"/>
  <c r="A321" i="23" s="1"/>
  <c r="A15" i="23"/>
  <c r="A41" i="23" s="1"/>
  <c r="A65" i="23" s="1"/>
  <c r="A101" i="23" s="1"/>
  <c r="A114" i="23" s="1"/>
  <c r="A127" i="23" s="1"/>
  <c r="A155" i="23" s="1"/>
  <c r="A168" i="23" s="1"/>
  <c r="A182" i="23" s="1"/>
  <c r="A198" i="23" s="1"/>
  <c r="A212" i="23" s="1"/>
  <c r="A235" i="23" s="1"/>
  <c r="A248" i="23" s="1"/>
  <c r="A263" i="23" s="1"/>
  <c r="A283" i="23" s="1"/>
  <c r="A296" i="23" s="1"/>
  <c r="A310" i="23" s="1"/>
  <c r="A75" i="21"/>
  <c r="A106" i="21"/>
  <c r="A119" i="21" s="1"/>
  <c r="A134" i="21" s="1"/>
  <c r="A147" i="21" s="1"/>
  <c r="A161" i="21" s="1"/>
  <c r="A186" i="21" s="1"/>
  <c r="A199" i="21" s="1"/>
  <c r="A215" i="21" s="1"/>
  <c r="A76" i="21"/>
  <c r="A107" i="21" s="1"/>
  <c r="A120" i="21" s="1"/>
  <c r="A135" i="21" s="1"/>
  <c r="A148" i="21" s="1"/>
  <c r="A162" i="21" s="1"/>
  <c r="A187" i="21" s="1"/>
  <c r="A200" i="21" s="1"/>
  <c r="A216" i="21" s="1"/>
  <c r="A77" i="21"/>
  <c r="A108" i="21"/>
  <c r="A121" i="21" s="1"/>
  <c r="A136" i="21" s="1"/>
  <c r="A149" i="21" s="1"/>
  <c r="A163" i="21" s="1"/>
  <c r="A188" i="21" s="1"/>
  <c r="A201" i="21" s="1"/>
  <c r="A217" i="21" s="1"/>
  <c r="A78" i="21"/>
  <c r="A109" i="21"/>
  <c r="A122" i="21" s="1"/>
  <c r="A137" i="21" s="1"/>
  <c r="A150" i="21" s="1"/>
  <c r="A164" i="21" s="1"/>
  <c r="A189" i="21" s="1"/>
  <c r="A202" i="21" s="1"/>
  <c r="A218" i="21" s="1"/>
  <c r="A79" i="21"/>
  <c r="A110" i="21"/>
  <c r="A123" i="21"/>
  <c r="A138" i="21" s="1"/>
  <c r="A151" i="21" s="1"/>
  <c r="A165" i="21" s="1"/>
  <c r="A190" i="21" s="1"/>
  <c r="A203" i="21" s="1"/>
  <c r="A219" i="21" s="1"/>
  <c r="A80" i="21"/>
  <c r="A111" i="21" s="1"/>
  <c r="A124" i="21" s="1"/>
  <c r="A139" i="21" s="1"/>
  <c r="A152" i="21" s="1"/>
  <c r="A166" i="21" s="1"/>
  <c r="A191" i="21" s="1"/>
  <c r="A204" i="21" s="1"/>
  <c r="A220" i="21" s="1"/>
  <c r="A81" i="21"/>
  <c r="A112" i="21" s="1"/>
  <c r="A125" i="21" s="1"/>
  <c r="A140" i="21" s="1"/>
  <c r="A153" i="21" s="1"/>
  <c r="A167" i="21" s="1"/>
  <c r="A192" i="21" s="1"/>
  <c r="A205" i="21" s="1"/>
  <c r="A221" i="21" s="1"/>
  <c r="A82" i="21"/>
  <c r="A113" i="21" s="1"/>
  <c r="A126" i="21" s="1"/>
  <c r="A141" i="21" s="1"/>
  <c r="A154" i="21" s="1"/>
  <c r="A168" i="21" s="1"/>
  <c r="A193" i="21" s="1"/>
  <c r="A206" i="21" s="1"/>
  <c r="A222" i="21" s="1"/>
  <c r="A83" i="21"/>
  <c r="A114" i="21" s="1"/>
  <c r="A127" i="21" s="1"/>
  <c r="A142" i="21" s="1"/>
  <c r="A155" i="21" s="1"/>
  <c r="A169" i="21" s="1"/>
  <c r="A194" i="21" s="1"/>
  <c r="A207" i="21" s="1"/>
  <c r="A223" i="21" s="1"/>
  <c r="A84" i="21"/>
  <c r="A115" i="21" s="1"/>
  <c r="A128" i="21" s="1"/>
  <c r="A143" i="21" s="1"/>
  <c r="A156" i="21" s="1"/>
  <c r="A170" i="21" s="1"/>
  <c r="A195" i="21" s="1"/>
  <c r="A208" i="21" s="1"/>
  <c r="A224" i="21" s="1"/>
  <c r="A85" i="21"/>
  <c r="A116" i="21" s="1"/>
  <c r="A129" i="21" s="1"/>
  <c r="A144" i="21" s="1"/>
  <c r="A157" i="21" s="1"/>
  <c r="A171" i="21" s="1"/>
  <c r="A196" i="21" s="1"/>
  <c r="A209" i="21" s="1"/>
  <c r="A225" i="21" s="1"/>
  <c r="A74" i="21"/>
  <c r="A105" i="21" s="1"/>
  <c r="A118" i="21" s="1"/>
  <c r="A133" i="21" s="1"/>
  <c r="A146" i="21" s="1"/>
  <c r="A160" i="21" s="1"/>
  <c r="A185" i="21" s="1"/>
  <c r="A198" i="21" s="1"/>
  <c r="A214" i="21" s="1"/>
  <c r="A48" i="21"/>
  <c r="A49" i="21"/>
  <c r="A50" i="21"/>
  <c r="A51" i="21"/>
  <c r="A52" i="21"/>
  <c r="A53" i="21"/>
  <c r="A54" i="21"/>
  <c r="A55" i="21"/>
  <c r="A56" i="21"/>
  <c r="A57" i="21"/>
  <c r="A58" i="21"/>
  <c r="A47" i="21"/>
  <c r="A33" i="21"/>
  <c r="A34" i="21"/>
  <c r="A35" i="21"/>
  <c r="A36" i="21"/>
  <c r="A37" i="21"/>
  <c r="A38" i="21"/>
  <c r="A39" i="21"/>
  <c r="A40" i="21"/>
  <c r="A41" i="21"/>
  <c r="A42" i="21"/>
  <c r="A43" i="21"/>
  <c r="A32" i="21"/>
  <c r="C55" i="24"/>
  <c r="B309" i="23"/>
  <c r="C309" i="23"/>
  <c r="B261" i="23"/>
  <c r="C261" i="23"/>
  <c r="E118" i="24"/>
  <c r="E226" i="24" s="1"/>
  <c r="E276" i="24" s="1"/>
  <c r="E247" i="23"/>
  <c r="E295" i="23"/>
  <c r="C325" i="24"/>
  <c r="C22" i="24" s="1"/>
  <c r="B325" i="24"/>
  <c r="B22" i="24" s="1"/>
  <c r="C117" i="24"/>
  <c r="C209" i="24" s="1"/>
  <c r="C259" i="24" s="1"/>
  <c r="B117" i="24"/>
  <c r="B209" i="24" s="1"/>
  <c r="B259" i="24" s="1"/>
  <c r="E261" i="23"/>
  <c r="C231" i="23"/>
  <c r="B231" i="23"/>
  <c r="E167" i="23"/>
  <c r="E197" i="23"/>
  <c r="D100" i="23"/>
  <c r="C212" i="21"/>
  <c r="D158" i="21"/>
  <c r="D210" i="21" s="1"/>
  <c r="E145" i="21"/>
  <c r="E197" i="21"/>
  <c r="D145" i="21"/>
  <c r="D197" i="21" s="1"/>
  <c r="E117" i="21"/>
  <c r="C101" i="21"/>
  <c r="C181" i="21" s="1"/>
  <c r="B101" i="21"/>
  <c r="B181" i="21" s="1"/>
  <c r="E45" i="21"/>
  <c r="M40" i="8"/>
  <c r="M41" i="8"/>
  <c r="P41" i="8" s="1"/>
  <c r="M42" i="8"/>
  <c r="P42" i="8" s="1"/>
  <c r="T42" i="8" s="1"/>
  <c r="M43" i="8"/>
  <c r="P43" i="8" s="1"/>
  <c r="T43" i="8" s="1"/>
  <c r="M44" i="8"/>
  <c r="P44" i="8" s="1"/>
  <c r="M45" i="8"/>
  <c r="P45" i="8" s="1"/>
  <c r="M46" i="8"/>
  <c r="P46" i="8" s="1"/>
  <c r="M47" i="8"/>
  <c r="P47" i="8" s="1"/>
  <c r="M48" i="8"/>
  <c r="P48" i="8" s="1"/>
  <c r="M39" i="8"/>
  <c r="C203" i="23"/>
  <c r="C301" i="23"/>
  <c r="C204" i="23"/>
  <c r="C300" i="23"/>
  <c r="C202" i="23"/>
  <c r="C306" i="23"/>
  <c r="C208" i="23"/>
  <c r="C200" i="23"/>
  <c r="C298" i="23"/>
  <c r="C296" i="23"/>
  <c r="C198" i="23"/>
  <c r="C303" i="23"/>
  <c r="C205" i="23"/>
  <c r="B205" i="23"/>
  <c r="B303" i="23"/>
  <c r="B296" i="23"/>
  <c r="B200" i="23"/>
  <c r="B298" i="23"/>
  <c r="B198" i="23"/>
  <c r="F16" i="8"/>
  <c r="G16" i="8"/>
  <c r="C302" i="23"/>
  <c r="B204" i="23"/>
  <c r="B302" i="23"/>
  <c r="C209" i="23"/>
  <c r="C307" i="23"/>
  <c r="C201" i="23"/>
  <c r="C299" i="23"/>
  <c r="C304" i="23"/>
  <c r="C206" i="23"/>
  <c r="C297" i="23"/>
  <c r="C199" i="23"/>
  <c r="C207" i="23"/>
  <c r="C305" i="23"/>
  <c r="B206" i="23"/>
  <c r="B304" i="23"/>
  <c r="B300" i="23"/>
  <c r="B202" i="23"/>
  <c r="B207" i="23"/>
  <c r="B305" i="23"/>
  <c r="B299" i="23"/>
  <c r="B201" i="23"/>
  <c r="B297" i="23"/>
  <c r="B199" i="23"/>
  <c r="B209" i="23"/>
  <c r="B307" i="23"/>
  <c r="B208" i="23"/>
  <c r="B306" i="23"/>
  <c r="B301" i="23"/>
  <c r="B203" i="23"/>
  <c r="B51" i="8"/>
  <c r="R51" i="8"/>
  <c r="F33" i="8"/>
  <c r="B107" i="21" l="1"/>
  <c r="C63" i="21"/>
  <c r="C107" i="21" s="1"/>
  <c r="B106" i="21"/>
  <c r="C62" i="21"/>
  <c r="C106" i="21" s="1"/>
  <c r="B73" i="23"/>
  <c r="T47" i="8"/>
  <c r="C70" i="21"/>
  <c r="C114" i="21" s="1"/>
  <c r="B114" i="21"/>
  <c r="B70" i="23"/>
  <c r="T44" i="8"/>
  <c r="B116" i="21"/>
  <c r="C72" i="21"/>
  <c r="C116" i="21" s="1"/>
  <c r="B72" i="23"/>
  <c r="T46" i="8"/>
  <c r="C68" i="21"/>
  <c r="C112" i="21" s="1"/>
  <c r="B112" i="21"/>
  <c r="B69" i="23"/>
  <c r="B74" i="23"/>
  <c r="T48" i="8"/>
  <c r="B76" i="23"/>
  <c r="T50" i="8"/>
  <c r="C66" i="21"/>
  <c r="C110" i="21" s="1"/>
  <c r="B110" i="21"/>
  <c r="A97" i="24"/>
  <c r="A163" i="24" s="1"/>
  <c r="A177" i="24" s="1"/>
  <c r="A191" i="24" s="1"/>
  <c r="A193" i="24" s="1"/>
  <c r="A254" i="24" s="1"/>
  <c r="A306" i="24" s="1"/>
  <c r="A98" i="24"/>
  <c r="C65" i="21"/>
  <c r="C109" i="21" s="1"/>
  <c r="B109" i="21"/>
  <c r="B71" i="23"/>
  <c r="T45" i="8"/>
  <c r="B47" i="23" s="1"/>
  <c r="T41" i="8"/>
  <c r="B67" i="23"/>
  <c r="B115" i="21"/>
  <c r="B105" i="21"/>
  <c r="A50" i="8"/>
  <c r="J50" i="8" s="1"/>
  <c r="A54" i="23"/>
  <c r="A79" i="23" s="1"/>
  <c r="A81" i="23" s="1"/>
  <c r="A139" i="23" s="1"/>
  <c r="A194" i="23" s="1"/>
  <c r="A224" i="23" s="1"/>
  <c r="A275" i="23" s="1"/>
  <c r="A322" i="23" s="1"/>
  <c r="A326" i="23" s="1"/>
  <c r="A331" i="23" s="1"/>
  <c r="C64" i="21"/>
  <c r="C108" i="21" s="1"/>
  <c r="F160" i="33"/>
  <c r="F160" i="37"/>
  <c r="C165" i="37" s="1"/>
  <c r="P49" i="8"/>
  <c r="F160" i="32"/>
  <c r="F160" i="36"/>
  <c r="C165" i="36" s="1"/>
  <c r="P40" i="8"/>
  <c r="B66" i="23" s="1"/>
  <c r="B111" i="21"/>
  <c r="P39" i="8"/>
  <c r="T39" i="8" s="1"/>
  <c r="F160" i="31"/>
  <c r="G160" i="31"/>
  <c r="D165" i="31" s="1"/>
  <c r="B44" i="19"/>
  <c r="B47" i="19"/>
  <c r="B46" i="19"/>
  <c r="B51" i="19"/>
  <c r="B50" i="19"/>
  <c r="B40" i="19"/>
  <c r="B49" i="19"/>
  <c r="B41" i="19"/>
  <c r="B42" i="19"/>
  <c r="B43" i="19"/>
  <c r="B48" i="19"/>
  <c r="G160" i="36"/>
  <c r="D165" i="36" s="1"/>
  <c r="F160" i="35"/>
  <c r="C165" i="35" s="1"/>
  <c r="G160" i="35"/>
  <c r="D165" i="35" s="1"/>
  <c r="G160" i="34"/>
  <c r="D165" i="34" s="1"/>
  <c r="F160" i="34"/>
  <c r="C165" i="34" s="1"/>
  <c r="G160" i="32"/>
  <c r="D165" i="32" s="1"/>
  <c r="F160" i="30"/>
  <c r="C165" i="30" s="1"/>
  <c r="F160" i="28"/>
  <c r="C165" i="28" s="1"/>
  <c r="G160" i="28"/>
  <c r="F160" i="27"/>
  <c r="C165" i="27" s="1"/>
  <c r="G160" i="27"/>
  <c r="G160" i="11"/>
  <c r="D165" i="11" s="1"/>
  <c r="F160" i="11"/>
  <c r="D165" i="27"/>
  <c r="D165" i="33"/>
  <c r="C165" i="29"/>
  <c r="C165" i="32"/>
  <c r="C165" i="33"/>
  <c r="C165" i="11"/>
  <c r="C165" i="31"/>
  <c r="D165" i="28"/>
  <c r="U43" i="8"/>
  <c r="B45" i="23"/>
  <c r="B44" i="23"/>
  <c r="U42" i="8"/>
  <c r="T40" i="8"/>
  <c r="T49" i="8"/>
  <c r="B75" i="23"/>
  <c r="U45" i="8"/>
  <c r="L51" i="8"/>
  <c r="B68" i="23"/>
  <c r="B46" i="23" l="1"/>
  <c r="U44" i="8"/>
  <c r="B48" i="23"/>
  <c r="U46" i="8"/>
  <c r="U47" i="8"/>
  <c r="B49" i="23"/>
  <c r="B43" i="23"/>
  <c r="U41" i="8"/>
  <c r="B65" i="23"/>
  <c r="U50" i="8"/>
  <c r="B52" i="23"/>
  <c r="B50" i="23"/>
  <c r="U48" i="8"/>
  <c r="A41" i="19"/>
  <c r="A46" i="19"/>
  <c r="A50" i="19"/>
  <c r="A45" i="19"/>
  <c r="A43" i="19"/>
  <c r="A44" i="19"/>
  <c r="A47" i="19"/>
  <c r="A51" i="19"/>
  <c r="A49" i="19"/>
  <c r="A48" i="19"/>
  <c r="A42" i="19"/>
  <c r="A40" i="19"/>
  <c r="U49" i="8"/>
  <c r="B51" i="23"/>
  <c r="B42" i="23"/>
  <c r="U40" i="8"/>
  <c r="B79" i="23"/>
  <c r="B41" i="23"/>
  <c r="T51" i="8"/>
  <c r="U39" i="8"/>
  <c r="X10" i="19" a="1"/>
  <c r="AF15" i="19"/>
  <c r="AM12" i="19"/>
  <c r="F7" i="19" a="1"/>
  <c r="M5" i="19"/>
  <c r="AO8" i="19"/>
  <c r="AE9" i="19"/>
  <c r="C7" i="19"/>
  <c r="O9" i="19" a="1"/>
  <c r="AD15" i="19"/>
  <c r="I10" i="8" a="1"/>
  <c r="H11" i="8" a="1"/>
  <c r="C8" i="19"/>
  <c r="N14" i="19"/>
  <c r="AP9" i="19" a="1"/>
  <c r="X13" i="19" a="1"/>
  <c r="E12" i="19"/>
  <c r="AP6" i="19" a="1"/>
  <c r="AE10" i="19"/>
  <c r="W4" i="19"/>
  <c r="AN9" i="19"/>
  <c r="AM10" i="19"/>
  <c r="V5" i="19"/>
  <c r="V8" i="19"/>
  <c r="D4" i="19"/>
  <c r="AN11" i="19"/>
  <c r="D13" i="19"/>
  <c r="M12" i="19"/>
  <c r="H5" i="8" a="1"/>
  <c r="M9" i="19"/>
  <c r="AD6" i="19"/>
  <c r="AM7" i="19"/>
  <c r="H8" i="8" a="1"/>
  <c r="AP4" i="19" a="1"/>
  <c r="L13" i="19"/>
  <c r="AM13" i="19"/>
  <c r="AM5" i="19"/>
  <c r="C10" i="19"/>
  <c r="AM11" i="19"/>
  <c r="W7" i="19"/>
  <c r="L15" i="19"/>
  <c r="I4" i="8" a="1"/>
  <c r="U6" i="19"/>
  <c r="H15" i="8" a="1"/>
  <c r="M15" i="19"/>
  <c r="C13" i="19"/>
  <c r="L4" i="19"/>
  <c r="AN5" i="19"/>
  <c r="M4" i="19"/>
  <c r="V6" i="19"/>
  <c r="AO11" i="19"/>
  <c r="I13" i="8" a="1"/>
  <c r="C5" i="19"/>
  <c r="AM14" i="19"/>
  <c r="AO12" i="19"/>
  <c r="AE5" i="19"/>
  <c r="U8" i="19"/>
  <c r="AD9" i="19"/>
  <c r="L7" i="19"/>
  <c r="F13" i="19" a="1"/>
  <c r="AE4" i="19"/>
  <c r="F14" i="19" a="1"/>
  <c r="AP7" i="19" a="1"/>
  <c r="W5" i="19"/>
  <c r="X15" i="19" a="1"/>
  <c r="N13" i="19"/>
  <c r="AE11" i="19"/>
  <c r="V12" i="19"/>
  <c r="AO4" i="19"/>
  <c r="V10" i="19"/>
  <c r="X11" i="19" a="1"/>
  <c r="X4" i="19" a="1"/>
  <c r="AG8" i="19" a="1"/>
  <c r="E13" i="19"/>
  <c r="M10" i="19"/>
  <c r="E11" i="19"/>
  <c r="H6" i="8" a="1"/>
  <c r="C14" i="19"/>
  <c r="L11" i="19"/>
  <c r="V4" i="19"/>
  <c r="E9" i="19"/>
  <c r="H4" i="8" a="1"/>
  <c r="AG12" i="19" a="1"/>
  <c r="I6" i="8" a="1"/>
  <c r="L8" i="19"/>
  <c r="X12" i="19" a="1"/>
  <c r="H9" i="8" a="1"/>
  <c r="N5" i="19"/>
  <c r="C9" i="19"/>
  <c r="M13" i="19"/>
  <c r="AO10" i="19"/>
  <c r="W13" i="19"/>
  <c r="N6" i="19"/>
  <c r="L14" i="19"/>
  <c r="U9" i="19"/>
  <c r="AP15" i="19" a="1"/>
  <c r="AO14" i="19"/>
  <c r="D9" i="19"/>
  <c r="AD5" i="19"/>
  <c r="AG15" i="19" a="1"/>
  <c r="AN14" i="19"/>
  <c r="F12" i="19" a="1"/>
  <c r="H13" i="8" a="1"/>
  <c r="O5" i="19" a="1"/>
  <c r="AP13" i="19" a="1"/>
  <c r="O15" i="19" a="1"/>
  <c r="D12" i="19"/>
  <c r="AP8" i="19" a="1"/>
  <c r="V13" i="19"/>
  <c r="O7" i="19" a="1"/>
  <c r="I15" i="8" a="1"/>
  <c r="I7" i="8" a="1"/>
  <c r="U14" i="19"/>
  <c r="AD7" i="19"/>
  <c r="W8" i="19"/>
  <c r="AN10" i="19"/>
  <c r="L6" i="19"/>
  <c r="H14" i="8" a="1"/>
  <c r="AN13" i="19"/>
  <c r="U10" i="19"/>
  <c r="L5" i="19"/>
  <c r="W9" i="19"/>
  <c r="L12" i="19"/>
  <c r="W14" i="19"/>
  <c r="AD10" i="19"/>
  <c r="F6" i="19" a="1"/>
  <c r="U11" i="19"/>
  <c r="V15" i="19"/>
  <c r="E6" i="19"/>
  <c r="AG14" i="19" a="1"/>
  <c r="N11" i="19"/>
  <c r="AP10" i="19" a="1"/>
  <c r="AG4" i="19" a="1"/>
  <c r="W11" i="19"/>
  <c r="AG13" i="19" a="1"/>
  <c r="U5" i="19"/>
  <c r="F9" i="19" a="1"/>
  <c r="U4" i="19"/>
  <c r="AO7" i="19"/>
  <c r="AD14" i="19"/>
  <c r="AF6" i="19"/>
  <c r="N15" i="19"/>
  <c r="AM8" i="19"/>
  <c r="M8" i="19"/>
  <c r="M14" i="19"/>
  <c r="AO6" i="19"/>
  <c r="O13" i="19" a="1"/>
  <c r="U15" i="19"/>
  <c r="AG7" i="19" a="1"/>
  <c r="AE15" i="19"/>
  <c r="AM6" i="19"/>
  <c r="AP14" i="19" a="1"/>
  <c r="AE7" i="19"/>
  <c r="AE13" i="19"/>
  <c r="F5" i="19" a="1"/>
  <c r="AF11" i="19"/>
  <c r="AF10" i="19"/>
  <c r="AD11" i="19"/>
  <c r="AD12" i="19"/>
  <c r="AD4" i="19"/>
  <c r="AG10" i="19" a="1"/>
  <c r="U7" i="19"/>
  <c r="I5" i="8" a="1"/>
  <c r="AE14" i="19"/>
  <c r="O10" i="19" a="1"/>
  <c r="M11" i="19"/>
  <c r="N10" i="19"/>
  <c r="AN15" i="19"/>
  <c r="I12" i="8" a="1"/>
  <c r="X6" i="19" a="1"/>
  <c r="AG6" i="19" a="1"/>
  <c r="D8" i="19"/>
  <c r="F15" i="19" a="1"/>
  <c r="W12" i="19"/>
  <c r="AG9" i="19" a="1"/>
  <c r="AN6" i="19"/>
  <c r="M6" i="19"/>
  <c r="D10" i="19"/>
  <c r="D11" i="19"/>
  <c r="AF4" i="19"/>
  <c r="O8" i="19" a="1"/>
  <c r="U12" i="19"/>
  <c r="AO9" i="19"/>
  <c r="F8" i="19" a="1"/>
  <c r="AP5" i="19" a="1"/>
  <c r="O12" i="19" a="1"/>
  <c r="V7" i="19"/>
  <c r="E5" i="19"/>
  <c r="AO15" i="19"/>
  <c r="AM4" i="19"/>
  <c r="X14" i="19" a="1"/>
  <c r="I9" i="8" a="1"/>
  <c r="H10" i="8" a="1"/>
  <c r="AG5" i="19" a="1"/>
  <c r="N12" i="19"/>
  <c r="V9" i="19"/>
  <c r="N7" i="19"/>
  <c r="E15" i="19"/>
  <c r="E14" i="19"/>
  <c r="AO13" i="19"/>
  <c r="V11" i="19"/>
  <c r="AF12" i="19"/>
  <c r="O14" i="19" a="1"/>
  <c r="C11" i="19"/>
  <c r="H12" i="8" a="1"/>
  <c r="W15" i="19"/>
  <c r="W6" i="19"/>
  <c r="X8" i="19" a="1"/>
  <c r="AF13" i="19"/>
  <c r="AN7" i="19"/>
  <c r="AF5" i="19"/>
  <c r="I14" i="8" a="1"/>
  <c r="AF9" i="19"/>
  <c r="AF8" i="19"/>
  <c r="E4" i="19"/>
  <c r="V14" i="19"/>
  <c r="U13" i="19"/>
  <c r="F4" i="19" a="1"/>
  <c r="AM15" i="19"/>
  <c r="AN8" i="19"/>
  <c r="I11" i="8" a="1"/>
  <c r="E8" i="19"/>
  <c r="C4" i="19"/>
  <c r="C15" i="19"/>
  <c r="F10" i="19" a="1"/>
  <c r="X7" i="19" a="1"/>
  <c r="AN4" i="19"/>
  <c r="AF14" i="19"/>
  <c r="AN12" i="19"/>
  <c r="N8" i="19"/>
  <c r="E7" i="19"/>
  <c r="AD8" i="19"/>
  <c r="C6" i="19"/>
  <c r="F11" i="19" a="1"/>
  <c r="I8" i="8" a="1"/>
  <c r="AO5" i="19"/>
  <c r="E10" i="19"/>
  <c r="AP11" i="19" a="1"/>
  <c r="M7" i="19"/>
  <c r="L9" i="19"/>
  <c r="D15" i="19"/>
  <c r="AF7" i="19"/>
  <c r="AP12" i="19" a="1"/>
  <c r="D6" i="19"/>
  <c r="AM9" i="19"/>
  <c r="D14" i="19"/>
  <c r="X5" i="19" a="1"/>
  <c r="C12" i="19"/>
  <c r="O4" i="19" a="1"/>
  <c r="X9" i="19" a="1"/>
  <c r="W10" i="19"/>
  <c r="H7" i="8" a="1"/>
  <c r="AD13" i="19"/>
  <c r="N4" i="19"/>
  <c r="AG11" i="19" a="1"/>
  <c r="AE8" i="19"/>
  <c r="O6" i="19" a="1"/>
  <c r="O11" i="19" a="1"/>
  <c r="L10" i="19"/>
  <c r="AE6" i="19"/>
  <c r="N9" i="19"/>
  <c r="D5" i="19"/>
  <c r="D7" i="19"/>
  <c r="AE12" i="19"/>
  <c r="F15" i="19" l="1"/>
  <c r="I15" i="19" s="1"/>
  <c r="AP8" i="19"/>
  <c r="AS8" i="19" s="1"/>
  <c r="X12" i="19"/>
  <c r="S10" i="19"/>
  <c r="X13" i="19"/>
  <c r="O11" i="19"/>
  <c r="R11" i="19" s="1"/>
  <c r="H7" i="8"/>
  <c r="B35" i="21" s="1"/>
  <c r="J8" i="19"/>
  <c r="H14" i="8"/>
  <c r="B42" i="21" s="1"/>
  <c r="J12" i="19"/>
  <c r="S12" i="19"/>
  <c r="AP9" i="19"/>
  <c r="AG7" i="19"/>
  <c r="S7" i="19"/>
  <c r="H12" i="8"/>
  <c r="B40" i="21" s="1"/>
  <c r="AG6" i="19"/>
  <c r="AP4" i="19"/>
  <c r="AS4" i="19" s="1"/>
  <c r="AP15" i="19"/>
  <c r="AG8" i="19"/>
  <c r="AJ8" i="19" s="1"/>
  <c r="AK12" i="19"/>
  <c r="AG13" i="19"/>
  <c r="I11" i="8"/>
  <c r="C39" i="21" s="1"/>
  <c r="AB7" i="19"/>
  <c r="X6" i="19"/>
  <c r="O15" i="19"/>
  <c r="I6" i="8"/>
  <c r="C34" i="21" s="1"/>
  <c r="X4" i="19"/>
  <c r="AA4" i="19" s="1"/>
  <c r="F5" i="19"/>
  <c r="O6" i="19"/>
  <c r="S4" i="19"/>
  <c r="AB15" i="19"/>
  <c r="AT8" i="19"/>
  <c r="O14" i="19"/>
  <c r="O12" i="19"/>
  <c r="I12" i="8"/>
  <c r="C40" i="21" s="1"/>
  <c r="AT10" i="19"/>
  <c r="AP13" i="19"/>
  <c r="J13" i="19"/>
  <c r="AT9" i="19"/>
  <c r="X11" i="19"/>
  <c r="H11" i="8"/>
  <c r="B39" i="21" s="1"/>
  <c r="J7" i="19"/>
  <c r="I13" i="8"/>
  <c r="C41" i="21" s="1"/>
  <c r="J6" i="19"/>
  <c r="AP11" i="19"/>
  <c r="AP5" i="19"/>
  <c r="AT15" i="19"/>
  <c r="H8" i="8"/>
  <c r="B36" i="21" s="1"/>
  <c r="AG12" i="19"/>
  <c r="AB10" i="19"/>
  <c r="I10" i="8"/>
  <c r="C38" i="21" s="1"/>
  <c r="AK13" i="19"/>
  <c r="O13" i="19"/>
  <c r="R13" i="19" s="1"/>
  <c r="X9" i="19"/>
  <c r="F4" i="19"/>
  <c r="AB11" i="19"/>
  <c r="F8" i="19"/>
  <c r="O5" i="19"/>
  <c r="AK8" i="19"/>
  <c r="AP12" i="19"/>
  <c r="S11" i="19"/>
  <c r="AT11" i="19"/>
  <c r="H4" i="8"/>
  <c r="AB12" i="19"/>
  <c r="O9" i="19"/>
  <c r="R9" i="19" s="1"/>
  <c r="J5" i="19"/>
  <c r="O4" i="19"/>
  <c r="R4" i="19" s="1"/>
  <c r="AG4" i="19"/>
  <c r="AJ4" i="19" s="1"/>
  <c r="S15" i="19"/>
  <c r="AB14" i="19"/>
  <c r="O10" i="19"/>
  <c r="R10" i="19" s="1"/>
  <c r="H13" i="8"/>
  <c r="B41" i="21" s="1"/>
  <c r="AK11" i="19"/>
  <c r="AK7" i="19"/>
  <c r="AT5" i="19"/>
  <c r="F6" i="19"/>
  <c r="I6" i="19" s="1"/>
  <c r="I4" i="8"/>
  <c r="O8" i="19"/>
  <c r="AK14" i="19"/>
  <c r="F12" i="19"/>
  <c r="AK10" i="19"/>
  <c r="AK9" i="19"/>
  <c r="AG11" i="19"/>
  <c r="AT12" i="19"/>
  <c r="I5" i="8"/>
  <c r="C33" i="21" s="1"/>
  <c r="J4" i="19"/>
  <c r="AB4" i="19"/>
  <c r="X15" i="19"/>
  <c r="AP14" i="19"/>
  <c r="AS14" i="19" s="1"/>
  <c r="S14" i="19"/>
  <c r="AP10" i="19"/>
  <c r="AT13" i="19"/>
  <c r="AB9" i="19"/>
  <c r="J11" i="19"/>
  <c r="I7" i="8"/>
  <c r="C35" i="21" s="1"/>
  <c r="AT14" i="19"/>
  <c r="S13" i="19"/>
  <c r="AP6" i="19"/>
  <c r="AS6" i="19" s="1"/>
  <c r="S5" i="19"/>
  <c r="AK6" i="19"/>
  <c r="J15" i="19"/>
  <c r="I8" i="8"/>
  <c r="C36" i="21" s="1"/>
  <c r="I14" i="8"/>
  <c r="C42" i="21" s="1"/>
  <c r="J10" i="19"/>
  <c r="AG10" i="19"/>
  <c r="S9" i="19"/>
  <c r="AP7" i="19"/>
  <c r="AS7" i="19" s="1"/>
  <c r="F7" i="19"/>
  <c r="I7" i="19" s="1"/>
  <c r="S8" i="19"/>
  <c r="X5" i="19"/>
  <c r="AA5" i="19" s="1"/>
  <c r="AT4" i="19"/>
  <c r="AG5" i="19"/>
  <c r="S6" i="19"/>
  <c r="I15" i="8"/>
  <c r="C43" i="21" s="1"/>
  <c r="AG15" i="19"/>
  <c r="AB8" i="19"/>
  <c r="F14" i="19"/>
  <c r="F9" i="19"/>
  <c r="F11" i="19"/>
  <c r="X7" i="19"/>
  <c r="AT7" i="19"/>
  <c r="H10" i="8"/>
  <c r="B38" i="21" s="1"/>
  <c r="AT6" i="19"/>
  <c r="H6" i="8"/>
  <c r="B34" i="21" s="1"/>
  <c r="AK4" i="19"/>
  <c r="AK15" i="19"/>
  <c r="J14" i="19"/>
  <c r="AG14" i="19"/>
  <c r="F10" i="19"/>
  <c r="I10" i="19" s="1"/>
  <c r="I9" i="8"/>
  <c r="C37" i="21" s="1"/>
  <c r="AG9" i="19"/>
  <c r="O7" i="19"/>
  <c r="H5" i="8"/>
  <c r="B33" i="21" s="1"/>
  <c r="AB5" i="19"/>
  <c r="F13" i="19"/>
  <c r="I13" i="19" s="1"/>
  <c r="X10" i="19"/>
  <c r="AK5" i="19"/>
  <c r="AB6" i="19"/>
  <c r="H15" i="8"/>
  <c r="B43" i="21" s="1"/>
  <c r="X8" i="19"/>
  <c r="X14" i="19"/>
  <c r="AB13" i="19"/>
  <c r="J9" i="19"/>
  <c r="H9" i="8"/>
  <c r="B37" i="21" s="1"/>
  <c r="U51" i="8"/>
  <c r="U57" i="8" s="1"/>
  <c r="B54" i="23"/>
  <c r="B53" i="23" s="1"/>
  <c r="B78" i="23"/>
  <c r="B4" i="19" l="1"/>
  <c r="G4" i="19" s="1"/>
  <c r="H4" i="19" s="1"/>
  <c r="C136" i="21"/>
  <c r="C188" i="21"/>
  <c r="C121" i="21"/>
  <c r="C50" i="21"/>
  <c r="R5" i="19"/>
  <c r="I5" i="19"/>
  <c r="B5" i="19"/>
  <c r="Y5" i="19" s="1"/>
  <c r="AJ7" i="19"/>
  <c r="B56" i="21"/>
  <c r="B127" i="21"/>
  <c r="B194" i="21"/>
  <c r="B142" i="21"/>
  <c r="AA14" i="19"/>
  <c r="I8" i="19"/>
  <c r="B8" i="19"/>
  <c r="AQ8" i="19" s="1"/>
  <c r="B196" i="21"/>
  <c r="B58" i="21"/>
  <c r="B144" i="21"/>
  <c r="B129" i="21"/>
  <c r="B54" i="21"/>
  <c r="B192" i="21"/>
  <c r="B125" i="21"/>
  <c r="B140" i="21"/>
  <c r="R15" i="19"/>
  <c r="C187" i="21"/>
  <c r="C135" i="21"/>
  <c r="C49" i="21"/>
  <c r="C120" i="21"/>
  <c r="B124" i="21"/>
  <c r="B53" i="21"/>
  <c r="B139" i="21"/>
  <c r="B191" i="21"/>
  <c r="AS10" i="19"/>
  <c r="I12" i="19"/>
  <c r="B12" i="19"/>
  <c r="G12" i="19" s="1"/>
  <c r="AA11" i="19"/>
  <c r="AA6" i="19"/>
  <c r="AJ10" i="19"/>
  <c r="AA9" i="19"/>
  <c r="B57" i="21"/>
  <c r="B143" i="21"/>
  <c r="B128" i="21"/>
  <c r="B195" i="21"/>
  <c r="AJ11" i="19"/>
  <c r="AA7" i="19"/>
  <c r="R8" i="19"/>
  <c r="C140" i="21"/>
  <c r="C192" i="21"/>
  <c r="C54" i="21"/>
  <c r="C125" i="21"/>
  <c r="AS9" i="19"/>
  <c r="B13" i="19"/>
  <c r="P13" i="19" s="1"/>
  <c r="I11" i="19"/>
  <c r="B11" i="19"/>
  <c r="P11" i="19" s="1"/>
  <c r="C195" i="21"/>
  <c r="C57" i="21"/>
  <c r="C143" i="21"/>
  <c r="C128" i="21"/>
  <c r="AA15" i="19"/>
  <c r="AS13" i="19"/>
  <c r="AJ13" i="19"/>
  <c r="B7" i="19"/>
  <c r="AQ7" i="19" s="1"/>
  <c r="B9" i="19"/>
  <c r="P9" i="19" s="1"/>
  <c r="C137" i="21"/>
  <c r="C122" i="21"/>
  <c r="C189" i="21"/>
  <c r="C51" i="21"/>
  <c r="I4" i="19"/>
  <c r="C139" i="21"/>
  <c r="C191" i="21"/>
  <c r="C53" i="21"/>
  <c r="C124" i="21"/>
  <c r="AA10" i="19"/>
  <c r="B50" i="21"/>
  <c r="B121" i="21"/>
  <c r="B136" i="21"/>
  <c r="B188" i="21"/>
  <c r="R6" i="19"/>
  <c r="B187" i="21"/>
  <c r="B49" i="21"/>
  <c r="B135" i="21"/>
  <c r="B120" i="21"/>
  <c r="B48" i="21"/>
  <c r="B134" i="21"/>
  <c r="B119" i="21"/>
  <c r="B186" i="21"/>
  <c r="I14" i="19"/>
  <c r="B14" i="19"/>
  <c r="AQ14" i="19" s="1"/>
  <c r="C32" i="21"/>
  <c r="I16" i="8"/>
  <c r="B32" i="21"/>
  <c r="H16" i="8"/>
  <c r="C141" i="21"/>
  <c r="C55" i="21"/>
  <c r="C126" i="21"/>
  <c r="C193" i="21"/>
  <c r="R7" i="19"/>
  <c r="C48" i="21"/>
  <c r="C186" i="21"/>
  <c r="C134" i="21"/>
  <c r="C119" i="21"/>
  <c r="B6" i="19"/>
  <c r="AQ6" i="19" s="1"/>
  <c r="AJ12" i="19"/>
  <c r="R12" i="19"/>
  <c r="AA13" i="19"/>
  <c r="AS11" i="19"/>
  <c r="C142" i="21"/>
  <c r="C194" i="21"/>
  <c r="C56" i="21"/>
  <c r="C127" i="21"/>
  <c r="AJ9" i="19"/>
  <c r="AJ15" i="19"/>
  <c r="B51" i="21"/>
  <c r="B189" i="21"/>
  <c r="B137" i="21"/>
  <c r="B122" i="21"/>
  <c r="R14" i="19"/>
  <c r="AS15" i="19"/>
  <c r="C123" i="21"/>
  <c r="C52" i="21"/>
  <c r="C190" i="21"/>
  <c r="C138" i="21"/>
  <c r="C58" i="21"/>
  <c r="C196" i="21"/>
  <c r="C144" i="21"/>
  <c r="C129" i="21"/>
  <c r="AA8" i="19"/>
  <c r="AA12" i="19"/>
  <c r="B10" i="19"/>
  <c r="P10" i="19" s="1"/>
  <c r="AS12" i="19"/>
  <c r="AQ12" i="19"/>
  <c r="AJ6" i="19"/>
  <c r="B123" i="21"/>
  <c r="B190" i="21"/>
  <c r="B52" i="21"/>
  <c r="B138" i="21"/>
  <c r="AJ14" i="19"/>
  <c r="AJ5" i="19"/>
  <c r="I9" i="19"/>
  <c r="AS5" i="19"/>
  <c r="B55" i="21"/>
  <c r="B141" i="21"/>
  <c r="B126" i="21"/>
  <c r="B193" i="21"/>
  <c r="B15" i="19"/>
  <c r="G15" i="19" s="1"/>
  <c r="B81" i="23"/>
  <c r="B80" i="23"/>
  <c r="U55" i="8" s="1"/>
  <c r="P4" i="19" l="1"/>
  <c r="T4" i="19" s="1"/>
  <c r="G13" i="19"/>
  <c r="H13" i="19" s="1"/>
  <c r="AH4" i="19"/>
  <c r="AL4" i="19" s="1"/>
  <c r="Y4" i="19"/>
  <c r="AC4" i="19" s="1"/>
  <c r="AQ4" i="19"/>
  <c r="AU4" i="19" s="1"/>
  <c r="AH8" i="19"/>
  <c r="AL8" i="19" s="1"/>
  <c r="P7" i="19"/>
  <c r="T7" i="19" s="1"/>
  <c r="G7" i="19"/>
  <c r="H7" i="19" s="1"/>
  <c r="Y6" i="19"/>
  <c r="Z6" i="19" s="1"/>
  <c r="P8" i="19"/>
  <c r="T8" i="19" s="1"/>
  <c r="Y8" i="19"/>
  <c r="AC8" i="19" s="1"/>
  <c r="AH5" i="19"/>
  <c r="AL5" i="19" s="1"/>
  <c r="G8" i="19"/>
  <c r="K8" i="19" s="1"/>
  <c r="G9" i="19"/>
  <c r="K9" i="19" s="1"/>
  <c r="G5" i="19"/>
  <c r="H5" i="19" s="1"/>
  <c r="P15" i="19"/>
  <c r="T15" i="19" s="1"/>
  <c r="AH10" i="19"/>
  <c r="AL10" i="19" s="1"/>
  <c r="AH7" i="19"/>
  <c r="AL7" i="19" s="1"/>
  <c r="Y11" i="19"/>
  <c r="AC11" i="19" s="1"/>
  <c r="Y13" i="19"/>
  <c r="Z13" i="19" s="1"/>
  <c r="AQ11" i="19"/>
  <c r="AU11" i="19" s="1"/>
  <c r="Y7" i="19"/>
  <c r="Z7" i="19" s="1"/>
  <c r="Y12" i="19"/>
  <c r="AC12" i="19" s="1"/>
  <c r="AQ13" i="19"/>
  <c r="AU13" i="19" s="1"/>
  <c r="Y15" i="19"/>
  <c r="AC15" i="19" s="1"/>
  <c r="AQ5" i="19"/>
  <c r="AU5" i="19" s="1"/>
  <c r="B240" i="23"/>
  <c r="B288" i="23"/>
  <c r="B136" i="24"/>
  <c r="B42" i="24"/>
  <c r="C225" i="24"/>
  <c r="C253" i="24" s="1"/>
  <c r="C125" i="23"/>
  <c r="C138" i="23" s="1"/>
  <c r="C85" i="21"/>
  <c r="C275" i="24"/>
  <c r="C305" i="24" s="1"/>
  <c r="AR6" i="19"/>
  <c r="AU6" i="19"/>
  <c r="AR14" i="19"/>
  <c r="AU14" i="19"/>
  <c r="C81" i="21"/>
  <c r="C271" i="24"/>
  <c r="C301" i="24" s="1"/>
  <c r="C221" i="24"/>
  <c r="C249" i="24" s="1"/>
  <c r="C121" i="23"/>
  <c r="C134" i="23" s="1"/>
  <c r="C133" i="24"/>
  <c r="C285" i="23"/>
  <c r="C237" i="23"/>
  <c r="C39" i="24"/>
  <c r="B119" i="23"/>
  <c r="B132" i="23" s="1"/>
  <c r="B269" i="24"/>
  <c r="B299" i="24" s="1"/>
  <c r="B79" i="21"/>
  <c r="B219" i="24"/>
  <c r="B247" i="24" s="1"/>
  <c r="C42" i="24"/>
  <c r="C240" i="23"/>
  <c r="C288" i="23"/>
  <c r="C136" i="24"/>
  <c r="C221" i="21"/>
  <c r="C162" i="23"/>
  <c r="C219" i="23" s="1"/>
  <c r="C157" i="23"/>
  <c r="C214" i="23" s="1"/>
  <c r="C216" i="21"/>
  <c r="B292" i="23"/>
  <c r="B244" i="23"/>
  <c r="B46" i="24"/>
  <c r="B140" i="24"/>
  <c r="C138" i="24"/>
  <c r="C290" i="23"/>
  <c r="C44" i="24"/>
  <c r="C242" i="23"/>
  <c r="B284" i="23"/>
  <c r="B38" i="24"/>
  <c r="B236" i="23"/>
  <c r="B132" i="24"/>
  <c r="B161" i="21"/>
  <c r="B163" i="21" s="1"/>
  <c r="B165" i="21" s="1"/>
  <c r="B167" i="21" s="1"/>
  <c r="B169" i="21" s="1"/>
  <c r="B171" i="21" s="1"/>
  <c r="C245" i="23"/>
  <c r="C47" i="24"/>
  <c r="C141" i="24"/>
  <c r="C293" i="23"/>
  <c r="C220" i="24"/>
  <c r="C248" i="24" s="1"/>
  <c r="C270" i="24"/>
  <c r="C300" i="24" s="1"/>
  <c r="C120" i="23"/>
  <c r="C133" i="23" s="1"/>
  <c r="C80" i="21"/>
  <c r="B223" i="24"/>
  <c r="B251" i="24" s="1"/>
  <c r="B273" i="24"/>
  <c r="B303" i="24" s="1"/>
  <c r="B83" i="21"/>
  <c r="B123" i="23"/>
  <c r="B136" i="23" s="1"/>
  <c r="C140" i="24"/>
  <c r="C244" i="23"/>
  <c r="C292" i="23"/>
  <c r="C46" i="24"/>
  <c r="AR12" i="19"/>
  <c r="AU12" i="19"/>
  <c r="C268" i="24"/>
  <c r="C298" i="24" s="1"/>
  <c r="C118" i="23"/>
  <c r="C131" i="23" s="1"/>
  <c r="C78" i="21"/>
  <c r="C218" i="24"/>
  <c r="C246" i="24" s="1"/>
  <c r="C224" i="24"/>
  <c r="C252" i="24" s="1"/>
  <c r="C274" i="24"/>
  <c r="C304" i="24" s="1"/>
  <c r="C124" i="23"/>
  <c r="C137" i="23" s="1"/>
  <c r="C84" i="21"/>
  <c r="K12" i="19"/>
  <c r="H12" i="19"/>
  <c r="B162" i="23"/>
  <c r="B219" i="23" s="1"/>
  <c r="B221" i="21"/>
  <c r="B290" i="23"/>
  <c r="B242" i="23"/>
  <c r="B44" i="24"/>
  <c r="B138" i="24"/>
  <c r="B291" i="23"/>
  <c r="B45" i="24"/>
  <c r="B139" i="24"/>
  <c r="B243" i="23"/>
  <c r="P14" i="19"/>
  <c r="C163" i="23"/>
  <c r="C220" i="23" s="1"/>
  <c r="C222" i="21"/>
  <c r="B285" i="23"/>
  <c r="B39" i="24"/>
  <c r="B133" i="24"/>
  <c r="B237" i="23"/>
  <c r="C218" i="21"/>
  <c r="C159" i="23"/>
  <c r="C216" i="23" s="1"/>
  <c r="C224" i="21"/>
  <c r="C165" i="23"/>
  <c r="C222" i="23" s="1"/>
  <c r="Y10" i="19"/>
  <c r="B221" i="24"/>
  <c r="B249" i="24" s="1"/>
  <c r="B271" i="24"/>
  <c r="B301" i="24" s="1"/>
  <c r="B121" i="23"/>
  <c r="B134" i="23" s="1"/>
  <c r="B81" i="21"/>
  <c r="B164" i="23"/>
  <c r="B221" i="23" s="1"/>
  <c r="B223" i="21"/>
  <c r="C223" i="24"/>
  <c r="C251" i="24" s="1"/>
  <c r="C83" i="21"/>
  <c r="C123" i="23"/>
  <c r="C136" i="23" s="1"/>
  <c r="C273" i="24"/>
  <c r="C303" i="24" s="1"/>
  <c r="H15" i="19"/>
  <c r="K15" i="19"/>
  <c r="C241" i="23"/>
  <c r="C289" i="23"/>
  <c r="C137" i="24"/>
  <c r="C43" i="24"/>
  <c r="B163" i="23"/>
  <c r="B220" i="23" s="1"/>
  <c r="B222" i="21"/>
  <c r="B272" i="24"/>
  <c r="B302" i="24" s="1"/>
  <c r="B82" i="21"/>
  <c r="B122" i="23"/>
  <c r="B135" i="23" s="1"/>
  <c r="B222" i="24"/>
  <c r="B250" i="24" s="1"/>
  <c r="G10" i="19"/>
  <c r="B216" i="24"/>
  <c r="B244" i="24" s="1"/>
  <c r="B76" i="21"/>
  <c r="B266" i="24"/>
  <c r="B296" i="24" s="1"/>
  <c r="B116" i="23"/>
  <c r="B129" i="23" s="1"/>
  <c r="G11" i="19"/>
  <c r="AH11" i="19"/>
  <c r="AQ10" i="19"/>
  <c r="Z5" i="19"/>
  <c r="AC5" i="19"/>
  <c r="C269" i="24"/>
  <c r="C299" i="24" s="1"/>
  <c r="C119" i="23"/>
  <c r="C132" i="23" s="1"/>
  <c r="C79" i="21"/>
  <c r="C219" i="24"/>
  <c r="C247" i="24" s="1"/>
  <c r="T10" i="19"/>
  <c r="Q10" i="19"/>
  <c r="C82" i="21"/>
  <c r="C222" i="24"/>
  <c r="C250" i="24" s="1"/>
  <c r="C272" i="24"/>
  <c r="C302" i="24" s="1"/>
  <c r="C122" i="23"/>
  <c r="C135" i="23" s="1"/>
  <c r="B216" i="21"/>
  <c r="B157" i="23"/>
  <c r="B214" i="23" s="1"/>
  <c r="C135" i="24"/>
  <c r="C41" i="24"/>
  <c r="C239" i="23"/>
  <c r="C287" i="23"/>
  <c r="T11" i="19"/>
  <c r="Q11" i="19"/>
  <c r="B142" i="24"/>
  <c r="B294" i="23"/>
  <c r="B48" i="24"/>
  <c r="B246" i="23"/>
  <c r="C215" i="21"/>
  <c r="C156" i="23"/>
  <c r="C213" i="23" s="1"/>
  <c r="C215" i="24"/>
  <c r="C243" i="24" s="1"/>
  <c r="C115" i="23"/>
  <c r="C128" i="23" s="1"/>
  <c r="C265" i="24"/>
  <c r="C295" i="24" s="1"/>
  <c r="C75" i="21"/>
  <c r="B239" i="23"/>
  <c r="B287" i="23"/>
  <c r="B41" i="24"/>
  <c r="B135" i="24"/>
  <c r="C139" i="24"/>
  <c r="C45" i="24"/>
  <c r="C291" i="23"/>
  <c r="C243" i="23"/>
  <c r="P6" i="19"/>
  <c r="B165" i="23"/>
  <c r="B222" i="23" s="1"/>
  <c r="B224" i="21"/>
  <c r="B161" i="23"/>
  <c r="B218" i="23" s="1"/>
  <c r="B220" i="21"/>
  <c r="B225" i="24"/>
  <c r="B253" i="24" s="1"/>
  <c r="B275" i="24"/>
  <c r="B305" i="24" s="1"/>
  <c r="B85" i="21"/>
  <c r="B125" i="23"/>
  <c r="B138" i="23" s="1"/>
  <c r="P5" i="19"/>
  <c r="C236" i="23"/>
  <c r="C284" i="23"/>
  <c r="C132" i="24"/>
  <c r="C161" i="21"/>
  <c r="C163" i="21" s="1"/>
  <c r="C165" i="21" s="1"/>
  <c r="C167" i="21" s="1"/>
  <c r="C169" i="21" s="1"/>
  <c r="C171" i="21" s="1"/>
  <c r="C38" i="24"/>
  <c r="C164" i="23"/>
  <c r="C221" i="23" s="1"/>
  <c r="C223" i="21"/>
  <c r="B159" i="23"/>
  <c r="B216" i="23" s="1"/>
  <c r="B218" i="21"/>
  <c r="P12" i="19"/>
  <c r="Q9" i="19"/>
  <c r="T9" i="19"/>
  <c r="K13" i="19"/>
  <c r="B289" i="23"/>
  <c r="B43" i="24"/>
  <c r="B137" i="24"/>
  <c r="B241" i="23"/>
  <c r="B166" i="23"/>
  <c r="B223" i="23" s="1"/>
  <c r="B225" i="21"/>
  <c r="B156" i="23"/>
  <c r="B213" i="23" s="1"/>
  <c r="B215" i="21"/>
  <c r="B118" i="23"/>
  <c r="B131" i="23" s="1"/>
  <c r="B78" i="21"/>
  <c r="B218" i="24"/>
  <c r="B246" i="24" s="1"/>
  <c r="B268" i="24"/>
  <c r="B298" i="24" s="1"/>
  <c r="B47" i="21"/>
  <c r="B185" i="21"/>
  <c r="B118" i="21"/>
  <c r="B133" i="21"/>
  <c r="B217" i="21"/>
  <c r="B158" i="23"/>
  <c r="B215" i="23" s="1"/>
  <c r="Q13" i="19"/>
  <c r="T13" i="19"/>
  <c r="B293" i="23"/>
  <c r="B245" i="23"/>
  <c r="B141" i="24"/>
  <c r="B47" i="24"/>
  <c r="B220" i="24"/>
  <c r="B248" i="24" s="1"/>
  <c r="B120" i="23"/>
  <c r="B133" i="23" s="1"/>
  <c r="B270" i="24"/>
  <c r="B300" i="24" s="1"/>
  <c r="B80" i="21"/>
  <c r="C77" i="21"/>
  <c r="C117" i="23"/>
  <c r="C130" i="23" s="1"/>
  <c r="C267" i="24"/>
  <c r="C297" i="24" s="1"/>
  <c r="C217" i="24"/>
  <c r="C245" i="24" s="1"/>
  <c r="C161" i="23"/>
  <c r="C218" i="23" s="1"/>
  <c r="C220" i="21"/>
  <c r="AQ15" i="19"/>
  <c r="AH15" i="19"/>
  <c r="AH12" i="19"/>
  <c r="B134" i="24"/>
  <c r="B286" i="23"/>
  <c r="B40" i="24"/>
  <c r="B238" i="23"/>
  <c r="AR7" i="19"/>
  <c r="AU7" i="19"/>
  <c r="AQ9" i="19"/>
  <c r="B84" i="21"/>
  <c r="B224" i="24"/>
  <c r="B252" i="24" s="1"/>
  <c r="B274" i="24"/>
  <c r="B304" i="24" s="1"/>
  <c r="B124" i="23"/>
  <c r="B137" i="23" s="1"/>
  <c r="AU8" i="19"/>
  <c r="AR8" i="19"/>
  <c r="B219" i="21"/>
  <c r="B160" i="23"/>
  <c r="B217" i="23" s="1"/>
  <c r="B75" i="21"/>
  <c r="B215" i="24"/>
  <c r="B243" i="24" s="1"/>
  <c r="B115" i="23"/>
  <c r="B128" i="23" s="1"/>
  <c r="B265" i="24"/>
  <c r="B295" i="24" s="1"/>
  <c r="AH14" i="19"/>
  <c r="C294" i="23"/>
  <c r="C246" i="23"/>
  <c r="C142" i="24"/>
  <c r="C48" i="24"/>
  <c r="C47" i="21"/>
  <c r="C185" i="21"/>
  <c r="C133" i="21"/>
  <c r="C118" i="21"/>
  <c r="AH13" i="19"/>
  <c r="Y9" i="19"/>
  <c r="C217" i="21"/>
  <c r="C158" i="23"/>
  <c r="C215" i="23" s="1"/>
  <c r="C219" i="21"/>
  <c r="C160" i="23"/>
  <c r="C217" i="23" s="1"/>
  <c r="AH6" i="19"/>
  <c r="C225" i="21"/>
  <c r="C166" i="23"/>
  <c r="C223" i="23" s="1"/>
  <c r="AH9" i="19"/>
  <c r="G6" i="19"/>
  <c r="G14" i="19"/>
  <c r="B267" i="24"/>
  <c r="B297" i="24" s="1"/>
  <c r="B117" i="23"/>
  <c r="B130" i="23" s="1"/>
  <c r="B217" i="24"/>
  <c r="B245" i="24" s="1"/>
  <c r="B77" i="21"/>
  <c r="C216" i="24"/>
  <c r="C244" i="24" s="1"/>
  <c r="C116" i="23"/>
  <c r="C129" i="23" s="1"/>
  <c r="C76" i="21"/>
  <c r="C266" i="24"/>
  <c r="C296" i="24" s="1"/>
  <c r="Y14" i="19"/>
  <c r="C238" i="23"/>
  <c r="C286" i="23"/>
  <c r="C40" i="24"/>
  <c r="C134" i="24"/>
  <c r="Q4" i="19"/>
  <c r="AR4" i="19"/>
  <c r="K4" i="19"/>
  <c r="Z4" i="19" l="1"/>
  <c r="AI4" i="19"/>
  <c r="AV4" i="19" s="1"/>
  <c r="C40" i="19" s="1"/>
  <c r="Q7" i="19"/>
  <c r="AI8" i="19"/>
  <c r="AC6" i="19"/>
  <c r="K7" i="19"/>
  <c r="AW4" i="19"/>
  <c r="D40" i="19" s="1"/>
  <c r="E40" i="19" s="1"/>
  <c r="H9" i="19"/>
  <c r="Q8" i="19"/>
  <c r="AI5" i="19"/>
  <c r="H8" i="19"/>
  <c r="AC7" i="19"/>
  <c r="AR11" i="19"/>
  <c r="Z8" i="19"/>
  <c r="AC13" i="19"/>
  <c r="AR13" i="19"/>
  <c r="K5" i="19"/>
  <c r="Z11" i="19"/>
  <c r="Q15" i="19"/>
  <c r="AI10" i="19"/>
  <c r="Z12" i="19"/>
  <c r="Z15" i="19"/>
  <c r="AR5" i="19"/>
  <c r="AI7" i="19"/>
  <c r="C187" i="24"/>
  <c r="C159" i="24"/>
  <c r="C173" i="24"/>
  <c r="C182" i="24"/>
  <c r="C168" i="24"/>
  <c r="C154" i="24"/>
  <c r="C162" i="24"/>
  <c r="C190" i="24"/>
  <c r="C176" i="24"/>
  <c r="AR9" i="19"/>
  <c r="AU9" i="19"/>
  <c r="B37" i="24"/>
  <c r="B235" i="23"/>
  <c r="B283" i="23"/>
  <c r="B160" i="21"/>
  <c r="B162" i="21" s="1"/>
  <c r="B164" i="21" s="1"/>
  <c r="B166" i="21" s="1"/>
  <c r="B168" i="21" s="1"/>
  <c r="B170" i="21" s="1"/>
  <c r="B131" i="24"/>
  <c r="B63" i="24"/>
  <c r="B91" i="24"/>
  <c r="B77" i="24"/>
  <c r="Q5" i="19"/>
  <c r="T5" i="19"/>
  <c r="AR10" i="19"/>
  <c r="AU10" i="19"/>
  <c r="C77" i="24"/>
  <c r="C63" i="24"/>
  <c r="C91" i="24"/>
  <c r="B65" i="24"/>
  <c r="B93" i="24"/>
  <c r="B79" i="24"/>
  <c r="C270" i="23"/>
  <c r="C317" i="23"/>
  <c r="B321" i="23"/>
  <c r="B274" i="23"/>
  <c r="B214" i="24"/>
  <c r="B242" i="24" s="1"/>
  <c r="B114" i="23"/>
  <c r="B127" i="23" s="1"/>
  <c r="B264" i="24"/>
  <c r="B294" i="24" s="1"/>
  <c r="B74" i="21"/>
  <c r="B61" i="24"/>
  <c r="B75" i="24"/>
  <c r="B89" i="24"/>
  <c r="B68" i="24"/>
  <c r="B82" i="24"/>
  <c r="B96" i="24"/>
  <c r="C269" i="23"/>
  <c r="C316" i="23"/>
  <c r="B64" i="24"/>
  <c r="B78" i="24"/>
  <c r="B92" i="24"/>
  <c r="AC14" i="19"/>
  <c r="Z14" i="19"/>
  <c r="AL6" i="19"/>
  <c r="AI6" i="19"/>
  <c r="B88" i="24"/>
  <c r="B74" i="24"/>
  <c r="B60" i="24"/>
  <c r="B317" i="23"/>
  <c r="B270" i="23"/>
  <c r="C172" i="24"/>
  <c r="C158" i="24"/>
  <c r="C186" i="24"/>
  <c r="AW8" i="19"/>
  <c r="D44" i="19" s="1"/>
  <c r="E44" i="19" s="1"/>
  <c r="AI11" i="19"/>
  <c r="AL11" i="19"/>
  <c r="C78" i="24"/>
  <c r="C92" i="24"/>
  <c r="C64" i="24"/>
  <c r="B267" i="23"/>
  <c r="B314" i="23"/>
  <c r="B162" i="24"/>
  <c r="B176" i="24"/>
  <c r="B190" i="24"/>
  <c r="B188" i="24"/>
  <c r="B174" i="24"/>
  <c r="B160" i="24"/>
  <c r="C68" i="24"/>
  <c r="C96" i="24"/>
  <c r="C82" i="24"/>
  <c r="C264" i="23"/>
  <c r="C311" i="23"/>
  <c r="B173" i="24"/>
  <c r="B159" i="24"/>
  <c r="B187" i="24"/>
  <c r="C268" i="23"/>
  <c r="C315" i="23"/>
  <c r="B155" i="23"/>
  <c r="B214" i="21"/>
  <c r="B168" i="24"/>
  <c r="B154" i="24"/>
  <c r="B182" i="24"/>
  <c r="B81" i="24"/>
  <c r="B95" i="24"/>
  <c r="B67" i="24"/>
  <c r="Q12" i="19"/>
  <c r="T12" i="19"/>
  <c r="B94" i="24"/>
  <c r="B80" i="24"/>
  <c r="B66" i="24"/>
  <c r="B183" i="24"/>
  <c r="B155" i="24"/>
  <c r="B169" i="24"/>
  <c r="K11" i="19"/>
  <c r="H11" i="19"/>
  <c r="AI14" i="19"/>
  <c r="AL14" i="19"/>
  <c r="AI12" i="19"/>
  <c r="AL12" i="19"/>
  <c r="B189" i="24"/>
  <c r="B161" i="24"/>
  <c r="B175" i="24"/>
  <c r="B265" i="23"/>
  <c r="B312" i="23"/>
  <c r="C175" i="24"/>
  <c r="C189" i="24"/>
  <c r="C161" i="24"/>
  <c r="B319" i="23"/>
  <c r="B272" i="23"/>
  <c r="C73" i="24"/>
  <c r="C59" i="24"/>
  <c r="C87" i="24"/>
  <c r="AI15" i="19"/>
  <c r="AL15" i="19"/>
  <c r="B320" i="23"/>
  <c r="B273" i="23"/>
  <c r="B153" i="24"/>
  <c r="B167" i="24"/>
  <c r="B181" i="24"/>
  <c r="C80" i="24"/>
  <c r="C66" i="24"/>
  <c r="C94" i="24"/>
  <c r="C81" i="24"/>
  <c r="C95" i="24"/>
  <c r="C67" i="24"/>
  <c r="C265" i="23"/>
  <c r="C312" i="23"/>
  <c r="C76" i="24"/>
  <c r="C62" i="24"/>
  <c r="C90" i="24"/>
  <c r="Z9" i="19"/>
  <c r="AC9" i="19"/>
  <c r="AR15" i="19"/>
  <c r="AU15" i="19"/>
  <c r="C314" i="23"/>
  <c r="C267" i="23"/>
  <c r="H10" i="19"/>
  <c r="K10" i="19"/>
  <c r="B87" i="24"/>
  <c r="B73" i="24"/>
  <c r="B59" i="24"/>
  <c r="C320" i="23"/>
  <c r="C273" i="23"/>
  <c r="Z10" i="19"/>
  <c r="AC10" i="19"/>
  <c r="C61" i="24"/>
  <c r="C75" i="24"/>
  <c r="C89" i="24"/>
  <c r="C272" i="23"/>
  <c r="C319" i="23"/>
  <c r="C153" i="24"/>
  <c r="C167" i="24"/>
  <c r="C181" i="24"/>
  <c r="B266" i="23"/>
  <c r="B313" i="23"/>
  <c r="AL13" i="19"/>
  <c r="AI13" i="19"/>
  <c r="C72" i="24"/>
  <c r="C86" i="24"/>
  <c r="C58" i="24"/>
  <c r="T6" i="19"/>
  <c r="Q6" i="19"/>
  <c r="C183" i="24"/>
  <c r="C155" i="24"/>
  <c r="C169" i="24"/>
  <c r="C188" i="24"/>
  <c r="C174" i="24"/>
  <c r="C160" i="24"/>
  <c r="B166" i="24"/>
  <c r="B180" i="24"/>
  <c r="B152" i="24"/>
  <c r="B62" i="24"/>
  <c r="B76" i="24"/>
  <c r="B90" i="24"/>
  <c r="C74" i="24"/>
  <c r="C60" i="24"/>
  <c r="C88" i="24"/>
  <c r="C185" i="24"/>
  <c r="C171" i="24"/>
  <c r="C157" i="24"/>
  <c r="C283" i="23"/>
  <c r="C37" i="24"/>
  <c r="C131" i="24"/>
  <c r="C160" i="21"/>
  <c r="C162" i="21" s="1"/>
  <c r="C164" i="21" s="1"/>
  <c r="C166" i="21" s="1"/>
  <c r="C168" i="21" s="1"/>
  <c r="C170" i="21" s="1"/>
  <c r="C235" i="23"/>
  <c r="C271" i="23"/>
  <c r="C318" i="23"/>
  <c r="B264" i="23"/>
  <c r="B311" i="23"/>
  <c r="B156" i="24"/>
  <c r="B184" i="24"/>
  <c r="B170" i="24"/>
  <c r="C170" i="24"/>
  <c r="C184" i="24"/>
  <c r="C156" i="24"/>
  <c r="C321" i="23"/>
  <c r="C274" i="23"/>
  <c r="C214" i="21"/>
  <c r="C155" i="23"/>
  <c r="C166" i="24"/>
  <c r="C152" i="24"/>
  <c r="C180" i="24"/>
  <c r="T14" i="19"/>
  <c r="Q14" i="19"/>
  <c r="B86" i="24"/>
  <c r="B58" i="24"/>
  <c r="B72" i="24"/>
  <c r="AI9" i="19"/>
  <c r="AL9" i="19"/>
  <c r="B157" i="24"/>
  <c r="B171" i="24"/>
  <c r="B185" i="24"/>
  <c r="B158" i="24"/>
  <c r="B172" i="24"/>
  <c r="B186" i="24"/>
  <c r="C313" i="23"/>
  <c r="C266" i="23"/>
  <c r="K14" i="19"/>
  <c r="H14" i="19"/>
  <c r="K6" i="19"/>
  <c r="H6" i="19"/>
  <c r="C114" i="23"/>
  <c r="C127" i="23" s="1"/>
  <c r="C74" i="21"/>
  <c r="C264" i="24"/>
  <c r="C294" i="24" s="1"/>
  <c r="C214" i="24"/>
  <c r="C242" i="24" s="1"/>
  <c r="B316" i="23"/>
  <c r="B269" i="23"/>
  <c r="C93" i="24"/>
  <c r="C79" i="24"/>
  <c r="C65" i="24"/>
  <c r="B271" i="23"/>
  <c r="B318" i="23"/>
  <c r="B268" i="23"/>
  <c r="B315" i="23"/>
  <c r="AV7" i="19" l="1"/>
  <c r="C43" i="19" s="1"/>
  <c r="AV5" i="19"/>
  <c r="C41" i="19" s="1"/>
  <c r="AW7" i="19"/>
  <c r="D43" i="19" s="1"/>
  <c r="E43" i="19" s="1"/>
  <c r="F43" i="19" s="1"/>
  <c r="AW5" i="19"/>
  <c r="D41" i="19" s="1"/>
  <c r="E41" i="19" s="1"/>
  <c r="AV8" i="19"/>
  <c r="C44" i="19" s="1"/>
  <c r="F44" i="19" s="1"/>
  <c r="AV13" i="19"/>
  <c r="C49" i="19" s="1"/>
  <c r="AW13" i="19"/>
  <c r="D49" i="19" s="1"/>
  <c r="E49" i="19" s="1"/>
  <c r="AV12" i="19"/>
  <c r="C48" i="19" s="1"/>
  <c r="AW9" i="19"/>
  <c r="D45" i="19" s="1"/>
  <c r="E45" i="19" s="1"/>
  <c r="AV9" i="19"/>
  <c r="C45" i="19" s="1"/>
  <c r="AW12" i="19"/>
  <c r="D48" i="19" s="1"/>
  <c r="E48" i="19" s="1"/>
  <c r="F48" i="19" s="1"/>
  <c r="AV15" i="19"/>
  <c r="C51" i="19" s="1"/>
  <c r="AW15" i="19"/>
  <c r="D51" i="19" s="1"/>
  <c r="E51" i="19" s="1"/>
  <c r="AW6" i="19"/>
  <c r="D42" i="19" s="1"/>
  <c r="E42" i="19" s="1"/>
  <c r="AV6" i="19"/>
  <c r="C42" i="19" s="1"/>
  <c r="B139" i="23"/>
  <c r="B140" i="23" s="1"/>
  <c r="B310" i="23"/>
  <c r="B263" i="23"/>
  <c r="B57" i="24"/>
  <c r="B71" i="24"/>
  <c r="B85" i="24"/>
  <c r="AW14" i="19"/>
  <c r="D50" i="19" s="1"/>
  <c r="E50" i="19" s="1"/>
  <c r="AV14" i="19"/>
  <c r="C50" i="19" s="1"/>
  <c r="AV11" i="19"/>
  <c r="C47" i="19" s="1"/>
  <c r="AW11" i="19"/>
  <c r="D47" i="19" s="1"/>
  <c r="E47" i="19" s="1"/>
  <c r="F47" i="19" s="1"/>
  <c r="B226" i="21"/>
  <c r="B227" i="21" s="1"/>
  <c r="B212" i="23"/>
  <c r="B182" i="23"/>
  <c r="B183" i="23" s="1"/>
  <c r="B184" i="23" s="1"/>
  <c r="B185" i="23" s="1"/>
  <c r="B186" i="23" s="1"/>
  <c r="B187" i="23" s="1"/>
  <c r="B188" i="23" s="1"/>
  <c r="B189" i="23" s="1"/>
  <c r="B190" i="23" s="1"/>
  <c r="B191" i="23" s="1"/>
  <c r="B192" i="23" s="1"/>
  <c r="B193" i="23" s="1"/>
  <c r="C165" i="24"/>
  <c r="C179" i="24"/>
  <c r="C151" i="24"/>
  <c r="AW10" i="19"/>
  <c r="D46" i="19" s="1"/>
  <c r="E46" i="19" s="1"/>
  <c r="C57" i="24"/>
  <c r="C71" i="24"/>
  <c r="C85" i="24"/>
  <c r="AV10" i="19"/>
  <c r="C46" i="19" s="1"/>
  <c r="B86" i="21"/>
  <c r="B87" i="21" s="1"/>
  <c r="U54" i="8" s="1"/>
  <c r="U56" i="8" s="1"/>
  <c r="C310" i="23"/>
  <c r="C263" i="23"/>
  <c r="B306" i="24"/>
  <c r="B179" i="24"/>
  <c r="B151" i="24"/>
  <c r="B165" i="24"/>
  <c r="C182" i="23"/>
  <c r="C183" i="23" s="1"/>
  <c r="C184" i="23" s="1"/>
  <c r="C185" i="23" s="1"/>
  <c r="C186" i="23" s="1"/>
  <c r="C187" i="23" s="1"/>
  <c r="C188" i="23" s="1"/>
  <c r="C189" i="23" s="1"/>
  <c r="C190" i="23" s="1"/>
  <c r="C191" i="23" s="1"/>
  <c r="C192" i="23" s="1"/>
  <c r="C193" i="23" s="1"/>
  <c r="C212" i="23"/>
  <c r="B172" i="21"/>
  <c r="B173" i="21" s="1"/>
  <c r="B254" i="24"/>
  <c r="F40" i="19"/>
  <c r="F41" i="19" l="1"/>
  <c r="F51" i="19"/>
  <c r="F42" i="19"/>
  <c r="F49" i="19"/>
  <c r="B230" i="21"/>
  <c r="B235" i="21" s="1"/>
  <c r="B83" i="24"/>
  <c r="B97" i="24"/>
  <c r="F45" i="19"/>
  <c r="F46" i="19"/>
  <c r="F50" i="19"/>
  <c r="B191" i="24"/>
  <c r="B192" i="24" s="1"/>
  <c r="B255" i="24"/>
  <c r="B310" i="24"/>
  <c r="B177" i="24"/>
  <c r="B178" i="24" s="1"/>
  <c r="B194" i="23"/>
  <c r="B195" i="23" s="1"/>
  <c r="B69" i="24"/>
  <c r="B224" i="23"/>
  <c r="B225" i="23" s="1"/>
  <c r="B307" i="24"/>
  <c r="B311" i="24"/>
  <c r="B275" i="23"/>
  <c r="B276" i="23" s="1"/>
  <c r="B163" i="24"/>
  <c r="B322" i="23"/>
  <c r="B323" i="23" s="1"/>
  <c r="E229" i="21"/>
  <c r="E5" i="26" l="1"/>
  <c r="E233" i="21"/>
  <c r="B98" i="24"/>
  <c r="B312" i="24" s="1"/>
  <c r="B164" i="24"/>
  <c r="B193" i="24"/>
  <c r="B326" i="23"/>
  <c r="B99" i="24" l="1"/>
  <c r="C325" i="23"/>
  <c r="B331" i="23"/>
  <c r="B313" i="24"/>
  <c r="B314" i="24" s="1"/>
  <c r="G5" i="26" s="1"/>
  <c r="B194" i="24"/>
  <c r="F5" i="26" l="1"/>
  <c r="H5" i="26" s="1"/>
  <c r="D13" i="25" s="1"/>
  <c r="B330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<sst xmlns="http://schemas.openxmlformats.org/spreadsheetml/2006/main" count="1494" uniqueCount="368">
  <si>
    <t>-</t>
  </si>
  <si>
    <t>%</t>
  </si>
  <si>
    <t>Unit</t>
  </si>
  <si>
    <t>Parameter</t>
  </si>
  <si>
    <t>Source</t>
  </si>
  <si>
    <t>kg</t>
  </si>
  <si>
    <t>kg-dm/day</t>
  </si>
  <si>
    <t xml:space="preserve">2006 IPCC guideline, volume 4, chapter 10 </t>
  </si>
  <si>
    <t>Direct N2O Emissions</t>
  </si>
  <si>
    <t xml:space="preserve">                               Value</t>
  </si>
  <si>
    <t xml:space="preserve">                              Value </t>
  </si>
  <si>
    <t>Indirect N2O Emissions</t>
  </si>
  <si>
    <r>
      <t>EF</t>
    </r>
    <r>
      <rPr>
        <i/>
        <vertAlign val="subscript"/>
        <sz val="10"/>
        <rFont val="Arial"/>
        <family val="2"/>
      </rPr>
      <t>N2O,D,j</t>
    </r>
  </si>
  <si>
    <t>EF4</t>
  </si>
  <si>
    <t>EF1</t>
  </si>
  <si>
    <t>EF5</t>
  </si>
  <si>
    <t>kg/animal/day</t>
  </si>
  <si>
    <t>numbers</t>
  </si>
  <si>
    <t>m3 CH4/kg-VS</t>
  </si>
  <si>
    <t xml:space="preserve">                                      Value </t>
  </si>
  <si>
    <t xml:space="preserve">A) Phase I: Anaerobic digester </t>
  </si>
  <si>
    <t xml:space="preserve">Total CH4 emissions </t>
  </si>
  <si>
    <t>B) PHASE II: Aerobic treatment</t>
  </si>
  <si>
    <t>LEAKEAGE</t>
  </si>
  <si>
    <t>MCFd</t>
  </si>
  <si>
    <t>Rvs,n</t>
  </si>
  <si>
    <t>from Land Application(tCO2e)</t>
  </si>
  <si>
    <t>at the project site</t>
  </si>
  <si>
    <t>Fraction of manure handled in system j</t>
  </si>
  <si>
    <t>calculated</t>
  </si>
  <si>
    <t xml:space="preserve">calculated </t>
  </si>
  <si>
    <t>Annex 1, ACM0010</t>
  </si>
  <si>
    <t>table 11.3, chapter 11, volume 4, 2006 IPCC</t>
  </si>
  <si>
    <t>Market Swine</t>
  </si>
  <si>
    <t>Breeding Swine</t>
  </si>
  <si>
    <t xml:space="preserve">BASELINE EMISSIONS </t>
  </si>
  <si>
    <t>i) CH4 emissions</t>
  </si>
  <si>
    <r>
      <t>GWP</t>
    </r>
    <r>
      <rPr>
        <i/>
        <vertAlign val="subscript"/>
        <sz val="10"/>
        <color indexed="8"/>
        <rFont val="Arial"/>
        <family val="2"/>
      </rPr>
      <t>CH4</t>
    </r>
  </si>
  <si>
    <r>
      <t>D</t>
    </r>
    <r>
      <rPr>
        <i/>
        <vertAlign val="subscript"/>
        <sz val="10"/>
        <color indexed="8"/>
        <rFont val="Arial"/>
        <family val="2"/>
      </rPr>
      <t>CH4</t>
    </r>
  </si>
  <si>
    <t>ii) N2O emissions</t>
  </si>
  <si>
    <t>2006 IPCC default value, vol. 4, ch. 10, tbl. 10.21</t>
  </si>
  <si>
    <t>2006 IPCC default value, vol. 4, ch. 10, tbl. 11.3</t>
  </si>
  <si>
    <r>
      <t>a) CH4 emissions: PE</t>
    </r>
    <r>
      <rPr>
        <i/>
        <sz val="8"/>
        <color indexed="9"/>
        <rFont val="Arial"/>
        <family val="2"/>
      </rPr>
      <t>Aer,y</t>
    </r>
  </si>
  <si>
    <t>Conservative Factor</t>
  </si>
  <si>
    <t xml:space="preserve">i) Methane emissions from AWMS where gas is captured (PEAD, y): </t>
  </si>
  <si>
    <t>ii) Methane emissions from aerobic AWMS treatment (PEAer, y):</t>
  </si>
  <si>
    <t>iii) N2O emissions from manure management</t>
  </si>
  <si>
    <t>MS%j</t>
  </si>
  <si>
    <r>
      <t>EF</t>
    </r>
    <r>
      <rPr>
        <sz val="8"/>
        <rFont val="Arial"/>
        <family val="2"/>
      </rPr>
      <t xml:space="preserve">N2O,D,j </t>
    </r>
  </si>
  <si>
    <t xml:space="preserve">PROJECT EMISSION </t>
  </si>
  <si>
    <t xml:space="preserve">i) Estimation of N2O emissions: </t>
  </si>
  <si>
    <t>ii)Methane emissions from disposal of treated manure</t>
  </si>
  <si>
    <r>
      <t>GWP</t>
    </r>
    <r>
      <rPr>
        <sz val="8"/>
        <rFont val="Arial"/>
        <family val="2"/>
      </rPr>
      <t>CH4</t>
    </r>
  </si>
  <si>
    <r>
      <t>D</t>
    </r>
    <r>
      <rPr>
        <sz val="8"/>
        <rFont val="Arial"/>
        <family val="2"/>
      </rPr>
      <t>CH4</t>
    </r>
  </si>
  <si>
    <t>table 11.1, chapter 11, volume 4, 2006 IPCC</t>
  </si>
  <si>
    <r>
      <t>a. LE</t>
    </r>
    <r>
      <rPr>
        <i/>
        <sz val="8"/>
        <color indexed="9"/>
        <rFont val="Arial"/>
        <family val="2"/>
      </rPr>
      <t xml:space="preserve">B,CH4 </t>
    </r>
    <r>
      <rPr>
        <b/>
        <sz val="10"/>
        <color indexed="9"/>
        <rFont val="Arial"/>
        <family val="2"/>
      </rPr>
      <t>CH4- land application</t>
    </r>
  </si>
  <si>
    <r>
      <t>VS</t>
    </r>
    <r>
      <rPr>
        <i/>
        <sz val="8"/>
        <color indexed="9"/>
        <rFont val="Arial"/>
        <family val="2"/>
      </rPr>
      <t>LT,M</t>
    </r>
  </si>
  <si>
    <r>
      <t>N</t>
    </r>
    <r>
      <rPr>
        <i/>
        <vertAlign val="subscript"/>
        <sz val="10"/>
        <color indexed="9"/>
        <rFont val="Arial"/>
        <family val="2"/>
      </rPr>
      <t>population(head, animal population)</t>
    </r>
  </si>
  <si>
    <r>
      <t>B</t>
    </r>
    <r>
      <rPr>
        <i/>
        <sz val="8"/>
        <color indexed="9"/>
        <rFont val="Arial"/>
        <family val="2"/>
      </rPr>
      <t>0,LT</t>
    </r>
  </si>
  <si>
    <t>2006 IPCC default value, vol. 4, ch. 10, tbl. 10A-7,8</t>
  </si>
  <si>
    <t>kg/animal-yr</t>
  </si>
  <si>
    <r>
      <t>R</t>
    </r>
    <r>
      <rPr>
        <sz val="8"/>
        <rFont val="Arial"/>
        <family val="2"/>
      </rPr>
      <t>VS</t>
    </r>
  </si>
  <si>
    <r>
      <t>VS</t>
    </r>
    <r>
      <rPr>
        <sz val="8"/>
        <rFont val="Arial"/>
        <family val="2"/>
      </rPr>
      <t>LT,y</t>
    </r>
  </si>
  <si>
    <r>
      <t>N</t>
    </r>
    <r>
      <rPr>
        <sz val="8"/>
        <rFont val="Arial"/>
        <family val="2"/>
      </rPr>
      <t>LT</t>
    </r>
  </si>
  <si>
    <r>
      <t>NEX</t>
    </r>
    <r>
      <rPr>
        <sz val="7"/>
        <rFont val="Arial"/>
        <family val="2"/>
      </rPr>
      <t>LT,y</t>
    </r>
  </si>
  <si>
    <t>Calulated</t>
  </si>
  <si>
    <r>
      <t>VS</t>
    </r>
    <r>
      <rPr>
        <sz val="8"/>
        <color indexed="8"/>
        <rFont val="Arial"/>
        <family val="2"/>
      </rPr>
      <t>default</t>
    </r>
  </si>
  <si>
    <r>
      <t>PE</t>
    </r>
    <r>
      <rPr>
        <b/>
        <vertAlign val="subscript"/>
        <sz val="10"/>
        <color indexed="9"/>
        <rFont val="Arial"/>
        <family val="2"/>
      </rPr>
      <t>N2O,Y</t>
    </r>
    <r>
      <rPr>
        <b/>
        <sz val="10"/>
        <color indexed="9"/>
        <rFont val="Arial"/>
        <family val="2"/>
      </rPr>
      <t>=310*(44/28)*1/1000*EF</t>
    </r>
    <r>
      <rPr>
        <b/>
        <vertAlign val="subscript"/>
        <sz val="10"/>
        <color indexed="9"/>
        <rFont val="Arial"/>
        <family val="2"/>
      </rPr>
      <t>N2O</t>
    </r>
    <r>
      <rPr>
        <b/>
        <sz val="10"/>
        <color indexed="9"/>
        <rFont val="Arial"/>
        <family val="2"/>
      </rPr>
      <t>*NEX*N</t>
    </r>
  </si>
  <si>
    <t>kg N/1000kg animal mass/day</t>
  </si>
  <si>
    <r>
      <t>N</t>
    </r>
    <r>
      <rPr>
        <sz val="7"/>
        <rFont val="Arial"/>
        <family val="2"/>
      </rPr>
      <t>LT</t>
    </r>
  </si>
  <si>
    <t>2006 IPCC guideline, volume 4, chapter 10, tbl. 10A-7</t>
  </si>
  <si>
    <t>Calculated</t>
  </si>
  <si>
    <t>Default value ACM0010</t>
  </si>
  <si>
    <t>days</t>
  </si>
  <si>
    <t>MCF with cons. Factor</t>
  </si>
  <si>
    <t xml:space="preserve">Calculated  </t>
  </si>
  <si>
    <t>2006 IPCC Guidelines, volume 4, chapter 11, table 11.3</t>
  </si>
  <si>
    <t>ACM0010 Version 5, page 10</t>
  </si>
  <si>
    <t>2006 IPCC default value, vol. 4, ch. 10, tbl.10.22 (According to Chapter 8.2 in US-EPA (2001), "a covered lagoon will not lose NH3-N to the atmosphere")</t>
  </si>
  <si>
    <r>
      <t>E</t>
    </r>
    <r>
      <rPr>
        <b/>
        <sz val="7"/>
        <rFont val="Arial"/>
        <family val="2"/>
      </rPr>
      <t>N2O,D,y</t>
    </r>
    <phoneticPr fontId="0" type="noConversion"/>
  </si>
  <si>
    <t>2006 IPCC default value, vol. 4, ch. 11, tbl.11.3 (According to Chapter 8.2 in US-EPA (2001), "a covered lagoon will not lose NH3-N to the atmosphere")</t>
    <phoneticPr fontId="0" type="noConversion"/>
  </si>
  <si>
    <r>
      <t>GWP</t>
    </r>
    <r>
      <rPr>
        <i/>
        <vertAlign val="subscript"/>
        <sz val="10"/>
        <color indexed="8"/>
        <rFont val="Arial"/>
        <family val="2"/>
      </rPr>
      <t>CH4</t>
    </r>
    <phoneticPr fontId="0" type="noConversion"/>
  </si>
  <si>
    <r>
      <t>EF</t>
    </r>
    <r>
      <rPr>
        <i/>
        <vertAlign val="subscript"/>
        <sz val="10"/>
        <color indexed="8"/>
        <rFont val="Arial"/>
        <family val="2"/>
      </rPr>
      <t>CH4,default</t>
    </r>
    <phoneticPr fontId="0" type="noConversion"/>
  </si>
  <si>
    <r>
      <t>EC</t>
    </r>
    <r>
      <rPr>
        <vertAlign val="subscript"/>
        <sz val="10"/>
        <rFont val="Arial"/>
        <family val="2"/>
      </rPr>
      <t>PJ,j,y</t>
    </r>
    <phoneticPr fontId="0" type="noConversion"/>
  </si>
  <si>
    <r>
      <t>EF</t>
    </r>
    <r>
      <rPr>
        <vertAlign val="subscript"/>
        <sz val="10"/>
        <rFont val="Arial"/>
        <family val="2"/>
      </rPr>
      <t>EF,j,y</t>
    </r>
    <phoneticPr fontId="0" type="noConversion"/>
  </si>
  <si>
    <r>
      <t>TDL</t>
    </r>
    <r>
      <rPr>
        <vertAlign val="subscript"/>
        <sz val="10"/>
        <rFont val="Arial"/>
        <family val="2"/>
      </rPr>
      <t>j,y</t>
    </r>
    <phoneticPr fontId="0" type="noConversion"/>
  </si>
  <si>
    <r>
      <t>PE</t>
    </r>
    <r>
      <rPr>
        <b/>
        <vertAlign val="subscript"/>
        <sz val="10"/>
        <rFont val="Arial"/>
        <family val="2"/>
      </rPr>
      <t>EC,y</t>
    </r>
    <phoneticPr fontId="0" type="noConversion"/>
  </si>
  <si>
    <t>Unit</t>
    <phoneticPr fontId="0" type="noConversion"/>
  </si>
  <si>
    <t>Source</t>
    <phoneticPr fontId="0" type="noConversion"/>
  </si>
  <si>
    <t xml:space="preserve">Value </t>
    <phoneticPr fontId="0" type="noConversion"/>
  </si>
  <si>
    <t>Parameter</t>
    <phoneticPr fontId="0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</si>
  <si>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/MWh</t>
    </r>
    <phoneticPr fontId="0" type="noConversion"/>
  </si>
  <si>
    <t xml:space="preserve">calculated </t>
    <phoneticPr fontId="0" type="noConversion"/>
  </si>
  <si>
    <r>
      <t>PE</t>
    </r>
    <r>
      <rPr>
        <b/>
        <vertAlign val="subscript"/>
        <sz val="10"/>
        <rFont val="Arial"/>
        <family val="2"/>
      </rPr>
      <t>CH4,y</t>
    </r>
    <phoneticPr fontId="0" type="noConversion"/>
  </si>
  <si>
    <r>
      <t>EF</t>
    </r>
    <r>
      <rPr>
        <i/>
        <vertAlign val="subscript"/>
        <sz val="10"/>
        <rFont val="Arial"/>
        <family val="2"/>
      </rPr>
      <t>N2O,ID,j</t>
    </r>
    <phoneticPr fontId="0" type="noConversion"/>
  </si>
  <si>
    <t>Composting -In-Vessel</t>
    <phoneticPr fontId="0" type="noConversion"/>
  </si>
  <si>
    <t>2006 IPCC default value, vol. 4, ch. 10, tbl. 10.21 Anaerobic digester</t>
    <phoneticPr fontId="0" type="noConversion"/>
  </si>
  <si>
    <t xml:space="preserve">2006 IPCC default value, vol. 4, ch. 11, tbl.11.3 </t>
    <phoneticPr fontId="0" type="noConversion"/>
  </si>
  <si>
    <t>TAM</t>
  </si>
  <si>
    <t>2006 IPCC default value, vol. 4, ch. 10, tbl. 10.19</t>
    <phoneticPr fontId="0" type="noConversion"/>
  </si>
  <si>
    <t xml:space="preserve">2006 IPCC default value, vol. 4, ch. 10, tbl.10.22 </t>
    <phoneticPr fontId="0" type="noConversion"/>
  </si>
  <si>
    <t>kg N/animal/year</t>
    <phoneticPr fontId="0" type="noConversion"/>
  </si>
  <si>
    <r>
      <t>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O/kg N</t>
    </r>
    <phoneticPr fontId="0" type="noConversion"/>
  </si>
  <si>
    <t>No of heads</t>
    <phoneticPr fontId="0" type="noConversion"/>
  </si>
  <si>
    <t>Period</t>
  </si>
  <si>
    <t>total</t>
  </si>
  <si>
    <t>Title of the project activity</t>
  </si>
  <si>
    <t>GS ID of the project activity</t>
    <phoneticPr fontId="36" type="noConversion"/>
  </si>
  <si>
    <t>Version number of this calculation sheet</t>
    <phoneticPr fontId="36" type="noConversion"/>
  </si>
  <si>
    <t>Date</t>
    <phoneticPr fontId="36" type="noConversion"/>
  </si>
  <si>
    <t>Market Swine</t>
    <phoneticPr fontId="0" type="noConversion"/>
  </si>
  <si>
    <t>Breeding Swine</t>
    <phoneticPr fontId="0" type="noConversion"/>
  </si>
  <si>
    <t>1. Mean value and standard deviations for strata</t>
    <phoneticPr fontId="36" type="noConversion"/>
  </si>
  <si>
    <t xml:space="preserve"> </t>
  </si>
  <si>
    <t xml:space="preserve"> Population total</t>
    <phoneticPr fontId="36" type="noConversion"/>
  </si>
  <si>
    <r>
      <t xml:space="preserve"> </t>
    </r>
    <r>
      <rPr>
        <b/>
        <sz val="12"/>
        <color indexed="8"/>
        <rFont val="Calibri"/>
        <family val="2"/>
      </rPr>
      <t>m</t>
    </r>
    <r>
      <rPr>
        <b/>
        <vertAlign val="subscript"/>
        <sz val="12"/>
        <color indexed="8"/>
        <rFont val="Calibri"/>
        <family val="2"/>
      </rPr>
      <t>Strat</t>
    </r>
    <phoneticPr fontId="36" type="noConversion"/>
  </si>
  <si>
    <r>
      <t>s.e. (m</t>
    </r>
    <r>
      <rPr>
        <b/>
        <vertAlign val="subscript"/>
        <sz val="12"/>
        <rFont val="Calibri"/>
        <family val="2"/>
      </rPr>
      <t>Strat</t>
    </r>
    <r>
      <rPr>
        <b/>
        <sz val="12"/>
        <rFont val="Calibri"/>
        <family val="2"/>
      </rPr>
      <t>)</t>
    </r>
    <phoneticPr fontId="36" type="noConversion"/>
  </si>
  <si>
    <t xml:space="preserve">(N)  </t>
    <phoneticPr fontId="36" type="noConversion"/>
  </si>
  <si>
    <r>
      <t>m</t>
    </r>
    <r>
      <rPr>
        <vertAlign val="subscript"/>
        <sz val="11"/>
        <rFont val="Calibri"/>
        <family val="2"/>
      </rPr>
      <t>i</t>
    </r>
    <phoneticPr fontId="36" type="noConversion"/>
  </si>
  <si>
    <r>
      <t xml:space="preserve"> </t>
    </r>
    <r>
      <rPr>
        <sz val="10.5"/>
        <color indexed="8"/>
        <rFont val="Calibri"/>
        <family val="2"/>
      </rPr>
      <t>SD</t>
    </r>
    <r>
      <rPr>
        <vertAlign val="subscript"/>
        <sz val="10.5"/>
        <color indexed="8"/>
        <rFont val="Calibri"/>
        <family val="2"/>
      </rPr>
      <t>i</t>
    </r>
    <phoneticPr fontId="36" type="noConversion"/>
  </si>
  <si>
    <r>
      <t>n</t>
    </r>
    <r>
      <rPr>
        <vertAlign val="subscript"/>
        <sz val="11"/>
        <rFont val="Calibri"/>
        <family val="2"/>
      </rPr>
      <t>i</t>
    </r>
    <phoneticPr fontId="36" type="noConversion"/>
  </si>
  <si>
    <r>
      <t>g</t>
    </r>
    <r>
      <rPr>
        <vertAlign val="subscript"/>
        <sz val="11"/>
        <rFont val="Calibri"/>
        <family val="2"/>
      </rPr>
      <t>i</t>
    </r>
    <phoneticPr fontId="36" type="noConversion"/>
  </si>
  <si>
    <r>
      <t>g</t>
    </r>
    <r>
      <rPr>
        <vertAlign val="subscript"/>
        <sz val="11"/>
        <rFont val="Calibri"/>
        <family val="2"/>
      </rPr>
      <t>i</t>
    </r>
    <r>
      <rPr>
        <sz val="11"/>
        <rFont val="Calibri"/>
        <family val="2"/>
      </rPr>
      <t>/N</t>
    </r>
    <phoneticPr fontId="36" type="noConversion"/>
  </si>
  <si>
    <r>
      <t>g</t>
    </r>
    <r>
      <rPr>
        <vertAlign val="subscript"/>
        <sz val="11"/>
        <rFont val="Calibri"/>
        <family val="2"/>
      </rPr>
      <t>i</t>
    </r>
    <r>
      <rPr>
        <sz val="11"/>
        <rFont val="Calibri"/>
        <family val="2"/>
      </rPr>
      <t>*m</t>
    </r>
    <r>
      <rPr>
        <vertAlign val="subscript"/>
        <sz val="11"/>
        <rFont val="Calibri"/>
        <family val="2"/>
      </rPr>
      <t>i</t>
    </r>
    <r>
      <rPr>
        <sz val="11"/>
        <rFont val="Calibri"/>
        <family val="2"/>
      </rPr>
      <t>/N</t>
    </r>
    <phoneticPr fontId="36" type="noConversion"/>
  </si>
  <si>
    <r>
      <t>1-(n</t>
    </r>
    <r>
      <rPr>
        <vertAlign val="subscript"/>
        <sz val="11"/>
        <rFont val="Calibri"/>
        <family val="2"/>
      </rPr>
      <t>i</t>
    </r>
    <r>
      <rPr>
        <sz val="11"/>
        <rFont val="Calibri"/>
        <family val="2"/>
      </rPr>
      <t>/g</t>
    </r>
    <r>
      <rPr>
        <vertAlign val="subscript"/>
        <sz val="11"/>
        <rFont val="Calibri"/>
        <family val="2"/>
      </rPr>
      <t>i</t>
    </r>
    <r>
      <rPr>
        <sz val="11"/>
        <rFont val="Calibri"/>
        <family val="2"/>
      </rPr>
      <t>)</t>
    </r>
    <phoneticPr fontId="36" type="noConversion"/>
  </si>
  <si>
    <r>
      <t>SD</t>
    </r>
    <r>
      <rPr>
        <vertAlign val="subscript"/>
        <sz val="11"/>
        <rFont val="Calibri"/>
        <family val="2"/>
      </rPr>
      <t>i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/n</t>
    </r>
    <r>
      <rPr>
        <vertAlign val="subscript"/>
        <sz val="11"/>
        <rFont val="Calibri"/>
        <family val="2"/>
      </rPr>
      <t>i</t>
    </r>
    <phoneticPr fontId="36" type="noConversion"/>
  </si>
  <si>
    <t>2. The stratified estimated overall mean:</t>
    <phoneticPr fontId="36" type="noConversion"/>
  </si>
  <si>
    <r>
      <t xml:space="preserve"> m</t>
    </r>
    <r>
      <rPr>
        <b/>
        <vertAlign val="subscript"/>
        <sz val="11"/>
        <rFont val="Calibri"/>
        <family val="2"/>
      </rPr>
      <t xml:space="preserve">Strat </t>
    </r>
    <r>
      <rPr>
        <b/>
        <sz val="11"/>
        <rFont val="Calibri"/>
        <family val="2"/>
      </rPr>
      <t xml:space="preserve"> </t>
    </r>
    <phoneticPr fontId="36" type="noConversion"/>
  </si>
  <si>
    <t xml:space="preserve"> The stratified estimated overall mean  </t>
  </si>
  <si>
    <r>
      <t xml:space="preserve"> g</t>
    </r>
    <r>
      <rPr>
        <b/>
        <vertAlign val="subscript"/>
        <sz val="11"/>
        <rFont val="Calibri"/>
        <family val="2"/>
      </rPr>
      <t xml:space="preserve">i  </t>
    </r>
    <phoneticPr fontId="36" type="noConversion"/>
  </si>
  <si>
    <r>
      <t xml:space="preserve"> Size of the i</t>
    </r>
    <r>
      <rPr>
        <vertAlign val="superscript"/>
        <sz val="11"/>
        <rFont val="Calibri"/>
        <family val="2"/>
      </rPr>
      <t>th</t>
    </r>
    <r>
      <rPr>
        <sz val="11"/>
        <rFont val="Calibri"/>
        <family val="2"/>
      </rPr>
      <t xml:space="preserve"> district where i=a,…,k  </t>
    </r>
    <phoneticPr fontId="36" type="noConversion"/>
  </si>
  <si>
    <t xml:space="preserve"> N  </t>
  </si>
  <si>
    <r>
      <t xml:space="preserve"> m</t>
    </r>
    <r>
      <rPr>
        <b/>
        <vertAlign val="subscript"/>
        <sz val="11"/>
        <rFont val="Calibri"/>
        <family val="2"/>
      </rPr>
      <t xml:space="preserve">i  </t>
    </r>
    <phoneticPr fontId="36" type="noConversion"/>
  </si>
  <si>
    <r>
      <t xml:space="preserve"> Mean of the i</t>
    </r>
    <r>
      <rPr>
        <vertAlign val="superscript"/>
        <sz val="11"/>
        <rFont val="Calibri"/>
        <family val="2"/>
      </rPr>
      <t>th</t>
    </r>
    <r>
      <rPr>
        <sz val="11"/>
        <rFont val="Calibri"/>
        <family val="2"/>
      </rPr>
      <t xml:space="preserve"> district where i= a,…,k  </t>
    </r>
    <phoneticPr fontId="36" type="noConversion"/>
  </si>
  <si>
    <t>3. The standard error of the stratified estimated overall mean:</t>
    <phoneticPr fontId="36" type="noConversion"/>
  </si>
  <si>
    <r>
      <t>s.e. (m</t>
    </r>
    <r>
      <rPr>
        <b/>
        <vertAlign val="subscript"/>
        <sz val="11"/>
        <rFont val="Calibri"/>
        <family val="2"/>
      </rPr>
      <t>Strat</t>
    </r>
    <r>
      <rPr>
        <b/>
        <sz val="11"/>
        <rFont val="Calibri"/>
        <family val="2"/>
      </rPr>
      <t xml:space="preserve">)   </t>
    </r>
    <phoneticPr fontId="36" type="noConversion"/>
  </si>
  <si>
    <t xml:space="preserve"> Standard error of the stratified estimated overall mean</t>
    <phoneticPr fontId="36" type="noConversion"/>
  </si>
  <si>
    <r>
      <t xml:space="preserve"> n</t>
    </r>
    <r>
      <rPr>
        <b/>
        <vertAlign val="subscript"/>
        <sz val="11"/>
        <rFont val="Calibri"/>
        <family val="2"/>
      </rPr>
      <t xml:space="preserve">i </t>
    </r>
    <r>
      <rPr>
        <b/>
        <sz val="11"/>
        <rFont val="Calibri"/>
        <family val="2"/>
      </rPr>
      <t xml:space="preserve"> </t>
    </r>
    <phoneticPr fontId="36" type="noConversion"/>
  </si>
  <si>
    <r>
      <t xml:space="preserve"> Number of sampled units the i</t>
    </r>
    <r>
      <rPr>
        <vertAlign val="superscript"/>
        <sz val="11"/>
        <rFont val="Calibri"/>
        <family val="2"/>
      </rPr>
      <t>th</t>
    </r>
    <r>
      <rPr>
        <sz val="11"/>
        <rFont val="Calibri"/>
        <family val="2"/>
      </rPr>
      <t xml:space="preserve"> district where i=a,…,k  </t>
    </r>
    <phoneticPr fontId="36" type="noConversion"/>
  </si>
  <si>
    <r>
      <t xml:space="preserve"> SD</t>
    </r>
    <r>
      <rPr>
        <b/>
        <vertAlign val="subscript"/>
        <sz val="11"/>
        <rFont val="Calibri"/>
        <family val="2"/>
      </rPr>
      <t>i</t>
    </r>
    <r>
      <rPr>
        <b/>
        <vertAlign val="superscript"/>
        <sz val="11"/>
        <rFont val="Calibri"/>
        <family val="2"/>
      </rPr>
      <t>2</t>
    </r>
    <r>
      <rPr>
        <b/>
        <sz val="11"/>
        <rFont val="Calibri"/>
        <family val="2"/>
      </rPr>
      <t xml:space="preserve">  </t>
    </r>
    <phoneticPr fontId="36" type="noConversion"/>
  </si>
  <si>
    <r>
      <t xml:space="preserve"> Variance of the i</t>
    </r>
    <r>
      <rPr>
        <vertAlign val="superscript"/>
        <sz val="11"/>
        <rFont val="Calibri"/>
        <family val="2"/>
      </rPr>
      <t>th</t>
    </r>
    <r>
      <rPr>
        <sz val="11"/>
        <rFont val="Calibri"/>
        <family val="2"/>
      </rPr>
      <t xml:space="preserve"> district where i=a,…,k </t>
    </r>
    <phoneticPr fontId="36" type="noConversion"/>
  </si>
  <si>
    <t>4. t-value</t>
    <phoneticPr fontId="36" type="noConversion"/>
  </si>
  <si>
    <t>5. Precision</t>
    <phoneticPr fontId="36" type="noConversion"/>
  </si>
  <si>
    <t xml:space="preserve">Precision   </t>
    <phoneticPr fontId="36" type="noConversion"/>
  </si>
  <si>
    <r>
      <t xml:space="preserve">The precision associated with an estimate is: 
</t>
    </r>
    <r>
      <rPr>
        <b/>
        <sz val="12"/>
        <rFont val="Calibri"/>
        <family val="2"/>
      </rPr>
      <t>t-value × standard error of the mean</t>
    </r>
    <phoneticPr fontId="36" type="noConversion"/>
  </si>
  <si>
    <t>6. Calculation results</t>
    <phoneticPr fontId="36" type="noConversion"/>
  </si>
  <si>
    <t>t-value</t>
    <phoneticPr fontId="36" type="noConversion"/>
  </si>
  <si>
    <r>
      <t xml:space="preserve">Precision </t>
    </r>
    <r>
      <rPr>
        <b/>
        <sz val="12"/>
        <color indexed="8"/>
        <rFont val="Calibri"/>
        <family val="2"/>
      </rPr>
      <t xml:space="preserve"> </t>
    </r>
    <r>
      <rPr>
        <b/>
        <sz val="12"/>
        <rFont val="Calibri"/>
        <family val="2"/>
      </rPr>
      <t xml:space="preserve"> </t>
    </r>
    <phoneticPr fontId="36" type="noConversion"/>
  </si>
  <si>
    <t>Relative Precision</t>
    <phoneticPr fontId="36" type="noConversion"/>
  </si>
  <si>
    <t>-</t>
    <phoneticPr fontId="0" type="noConversion"/>
  </si>
  <si>
    <t>BASELINE EMISSIONS       BEy =</t>
    <phoneticPr fontId="0" type="noConversion"/>
  </si>
  <si>
    <r>
      <t>Vf1(m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phoneticPr fontId="36" type="noConversion"/>
  </si>
  <si>
    <r>
      <t>Vf2(m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phoneticPr fontId="36" type="noConversion"/>
  </si>
  <si>
    <r>
      <t>GWP</t>
    </r>
    <r>
      <rPr>
        <vertAlign val="subscript"/>
        <sz val="10"/>
        <rFont val="Arial"/>
        <family val="2"/>
      </rPr>
      <t>CH4</t>
    </r>
    <phoneticPr fontId="0" type="noConversion"/>
  </si>
  <si>
    <r>
      <t>D</t>
    </r>
    <r>
      <rPr>
        <vertAlign val="subscript"/>
        <sz val="10"/>
        <rFont val="Arial"/>
        <family val="2"/>
      </rPr>
      <t>CH4</t>
    </r>
    <phoneticPr fontId="0" type="noConversion"/>
  </si>
  <si>
    <r>
      <t>F</t>
    </r>
    <r>
      <rPr>
        <vertAlign val="subscript"/>
        <sz val="10"/>
        <rFont val="Arial"/>
        <family val="2"/>
      </rPr>
      <t>Aer</t>
    </r>
    <phoneticPr fontId="0" type="noConversion"/>
  </si>
  <si>
    <r>
      <t>1-R</t>
    </r>
    <r>
      <rPr>
        <vertAlign val="subscript"/>
        <sz val="10"/>
        <rFont val="Arial"/>
        <family val="2"/>
      </rPr>
      <t>vs,n</t>
    </r>
    <phoneticPr fontId="0" type="noConversion"/>
  </si>
  <si>
    <r>
      <t>B</t>
    </r>
    <r>
      <rPr>
        <vertAlign val="subscript"/>
        <sz val="10"/>
        <rFont val="Arial"/>
        <family val="2"/>
      </rPr>
      <t>0,LT</t>
    </r>
    <phoneticPr fontId="0" type="noConversion"/>
  </si>
  <si>
    <r>
      <t>N</t>
    </r>
    <r>
      <rPr>
        <vertAlign val="subscript"/>
        <sz val="10"/>
        <rFont val="Arial"/>
        <family val="2"/>
      </rPr>
      <t>LT</t>
    </r>
    <phoneticPr fontId="0" type="noConversion"/>
  </si>
  <si>
    <r>
      <t>VS</t>
    </r>
    <r>
      <rPr>
        <vertAlign val="subscript"/>
        <sz val="10"/>
        <rFont val="Arial"/>
        <family val="2"/>
      </rPr>
      <t>LT,y</t>
    </r>
    <phoneticPr fontId="0" type="noConversion"/>
  </si>
  <si>
    <r>
      <t>MS%</t>
    </r>
    <r>
      <rPr>
        <vertAlign val="subscript"/>
        <sz val="10"/>
        <rFont val="Arial"/>
        <family val="2"/>
      </rPr>
      <t>j</t>
    </r>
    <phoneticPr fontId="0" type="noConversion"/>
  </si>
  <si>
    <r>
      <t>PE</t>
    </r>
    <r>
      <rPr>
        <b/>
        <vertAlign val="subscript"/>
        <sz val="10"/>
        <rFont val="Arial"/>
        <family val="2"/>
      </rPr>
      <t>Aer,y</t>
    </r>
    <phoneticPr fontId="0" type="noConversion"/>
  </si>
  <si>
    <t>kg-dm/ animal/year</t>
    <phoneticPr fontId="0" type="noConversion"/>
  </si>
  <si>
    <r>
      <t>B</t>
    </r>
    <r>
      <rPr>
        <i/>
        <vertAlign val="subscript"/>
        <sz val="8"/>
        <color indexed="8"/>
        <rFont val="Arial"/>
        <family val="2"/>
      </rPr>
      <t>o,LT</t>
    </r>
    <phoneticPr fontId="0" type="noConversion"/>
  </si>
  <si>
    <r>
      <t>W</t>
    </r>
    <r>
      <rPr>
        <i/>
        <vertAlign val="subscript"/>
        <sz val="8"/>
        <rFont val="Arial"/>
        <family val="2"/>
      </rPr>
      <t>site</t>
    </r>
    <phoneticPr fontId="0" type="noConversion"/>
  </si>
  <si>
    <r>
      <t>W</t>
    </r>
    <r>
      <rPr>
        <i/>
        <vertAlign val="subscript"/>
        <sz val="8"/>
        <rFont val="Arial"/>
        <family val="2"/>
      </rPr>
      <t>default</t>
    </r>
    <phoneticPr fontId="0" type="noConversion"/>
  </si>
  <si>
    <r>
      <t>N</t>
    </r>
    <r>
      <rPr>
        <i/>
        <vertAlign val="subscript"/>
        <sz val="8"/>
        <rFont val="Arial"/>
        <family val="2"/>
      </rPr>
      <t>LT</t>
    </r>
    <phoneticPr fontId="0" type="noConversion"/>
  </si>
  <si>
    <r>
      <t>MS%</t>
    </r>
    <r>
      <rPr>
        <vertAlign val="subscript"/>
        <sz val="8"/>
        <color indexed="8"/>
        <rFont val="Arial"/>
        <family val="2"/>
      </rPr>
      <t>Bl,j</t>
    </r>
    <phoneticPr fontId="0" type="noConversion"/>
  </si>
  <si>
    <r>
      <t>VS</t>
    </r>
    <r>
      <rPr>
        <vertAlign val="subscript"/>
        <sz val="8"/>
        <color indexed="8"/>
        <rFont val="Arial"/>
        <family val="2"/>
      </rPr>
      <t>LT,y</t>
    </r>
    <phoneticPr fontId="0" type="noConversion"/>
  </si>
  <si>
    <r>
      <t>NEX</t>
    </r>
    <r>
      <rPr>
        <i/>
        <vertAlign val="subscript"/>
        <sz val="8"/>
        <rFont val="Arial"/>
        <family val="2"/>
      </rPr>
      <t>IPCCdefault</t>
    </r>
    <phoneticPr fontId="0" type="noConversion"/>
  </si>
  <si>
    <r>
      <t>Conversion Factor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O-N to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  <phoneticPr fontId="0" type="noConversion"/>
  </si>
  <si>
    <r>
      <t>CF</t>
    </r>
    <r>
      <rPr>
        <vertAlign val="subscript"/>
        <sz val="10"/>
        <rFont val="Arial"/>
        <family val="2"/>
      </rPr>
      <t>N20,N-N</t>
    </r>
    <phoneticPr fontId="0" type="noConversion"/>
  </si>
  <si>
    <r>
      <t>E</t>
    </r>
    <r>
      <rPr>
        <b/>
        <vertAlign val="subscript"/>
        <sz val="10"/>
        <rFont val="Arial"/>
        <family val="2"/>
      </rPr>
      <t>N2O,D,y</t>
    </r>
    <phoneticPr fontId="0" type="noConversion"/>
  </si>
  <si>
    <r>
      <t>E</t>
    </r>
    <r>
      <rPr>
        <b/>
        <vertAlign val="subscript"/>
        <sz val="10"/>
        <rFont val="Arial"/>
        <family val="2"/>
      </rPr>
      <t>N2O,ID,y</t>
    </r>
    <phoneticPr fontId="0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</si>
  <si>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</t>
    </r>
    <phoneticPr fontId="0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</si>
  <si>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</t>
    </r>
    <phoneticPr fontId="0" type="noConversion"/>
  </si>
  <si>
    <r>
      <t>PE</t>
    </r>
    <r>
      <rPr>
        <b/>
        <vertAlign val="subscript"/>
        <sz val="10"/>
        <rFont val="Arial"/>
        <family val="2"/>
      </rPr>
      <t>FC,y</t>
    </r>
    <phoneticPr fontId="0" type="noConversion"/>
  </si>
  <si>
    <t>Page 12 of tool 14: Project and leakage emissions from anaerobic digesters</t>
    <phoneticPr fontId="0" type="noConversion"/>
  </si>
  <si>
    <r>
      <t>PE</t>
    </r>
    <r>
      <rPr>
        <b/>
        <vertAlign val="subscript"/>
        <sz val="10"/>
        <rFont val="Arial"/>
        <family val="2"/>
      </rPr>
      <t>AD</t>
    </r>
    <phoneticPr fontId="0" type="noConversion"/>
  </si>
  <si>
    <t>ACM0010 Version 5, page 8</t>
    <phoneticPr fontId="0" type="noConversion"/>
  </si>
  <si>
    <t>2006 IPCC guideline, volume 4, chapter 10, tbl. 10A-7</t>
    <phoneticPr fontId="0" type="noConversion"/>
  </si>
  <si>
    <t>t CH4</t>
    <phoneticPr fontId="0" type="noConversion"/>
  </si>
  <si>
    <t>Breeding Swine</t>
    <phoneticPr fontId="36" type="noConversion"/>
  </si>
  <si>
    <r>
      <t>w</t>
    </r>
    <r>
      <rPr>
        <vertAlign val="subscript"/>
        <sz val="10"/>
        <rFont val="Arial"/>
        <family val="2"/>
      </rPr>
      <t>site</t>
    </r>
    <phoneticPr fontId="36" type="noConversion"/>
  </si>
  <si>
    <r>
      <t>N</t>
    </r>
    <r>
      <rPr>
        <vertAlign val="subscript"/>
        <sz val="10"/>
        <rFont val="Arial"/>
        <family val="2"/>
      </rPr>
      <t>LT</t>
    </r>
    <phoneticPr fontId="36" type="noConversion"/>
  </si>
  <si>
    <t>average</t>
    <phoneticPr fontId="36" type="noConversion"/>
  </si>
  <si>
    <t>tCO2e</t>
  </si>
  <si>
    <r>
      <t>NEX</t>
    </r>
    <r>
      <rPr>
        <vertAlign val="subscript"/>
        <sz val="10"/>
        <rFont val="Arial"/>
        <family val="2"/>
      </rPr>
      <t>LT,y</t>
    </r>
    <phoneticPr fontId="0" type="noConversion"/>
  </si>
  <si>
    <r>
      <t>N</t>
    </r>
    <r>
      <rPr>
        <vertAlign val="subscript"/>
        <sz val="8"/>
        <color indexed="8"/>
        <rFont val="Arial"/>
        <family val="2"/>
      </rPr>
      <t>LT</t>
    </r>
    <phoneticPr fontId="0" type="noConversion"/>
  </si>
  <si>
    <t>Weight record table</t>
  </si>
  <si>
    <t>kg</t>
    <phoneticPr fontId="0" type="noConversion"/>
  </si>
  <si>
    <t>Calculated</t>
    <phoneticPr fontId="0" type="noConversion"/>
  </si>
  <si>
    <t>Fraction of manure handled in system j</t>
    <phoneticPr fontId="0" type="noConversion"/>
  </si>
  <si>
    <t>MWh</t>
    <phoneticPr fontId="0" type="noConversion"/>
  </si>
  <si>
    <t>calculated</t>
    <phoneticPr fontId="0" type="noConversion"/>
  </si>
  <si>
    <t>%</t>
    <phoneticPr fontId="0" type="noConversion"/>
  </si>
  <si>
    <t>LEy =</t>
    <phoneticPr fontId="0" type="noConversion"/>
  </si>
  <si>
    <r>
      <t>PEy (tCO</t>
    </r>
    <r>
      <rPr>
        <b/>
        <vertAlign val="subscript"/>
        <sz val="12"/>
        <rFont val="Arial"/>
        <family val="2"/>
      </rPr>
      <t>2</t>
    </r>
    <r>
      <rPr>
        <b/>
        <sz val="12"/>
        <rFont val="Arial"/>
        <family val="2"/>
      </rPr>
      <t>e)</t>
    </r>
    <phoneticPr fontId="0" type="noConversion"/>
  </si>
  <si>
    <t xml:space="preserve"> Value </t>
    <phoneticPr fontId="0" type="noConversion"/>
  </si>
  <si>
    <r>
      <t>η</t>
    </r>
    <r>
      <rPr>
        <vertAlign val="subscript"/>
        <sz val="10"/>
        <color indexed="8"/>
        <rFont val="Arial"/>
        <family val="2"/>
      </rPr>
      <t>flare,m</t>
    </r>
    <phoneticPr fontId="0" type="noConversion"/>
  </si>
  <si>
    <t>t CH4</t>
  </si>
  <si>
    <t>Tool to determine project emissions from flaring gases containing methane</t>
    <phoneticPr fontId="0" type="noConversion"/>
  </si>
  <si>
    <t>monthly electricity consumption</t>
    <phoneticPr fontId="36" type="noConversion"/>
  </si>
  <si>
    <t>Time</t>
    <phoneticPr fontId="36" type="noConversion"/>
  </si>
  <si>
    <t>SDG8</t>
    <phoneticPr fontId="36" type="noConversion"/>
  </si>
  <si>
    <t>SDG13</t>
    <phoneticPr fontId="36" type="noConversion"/>
  </si>
  <si>
    <t>IPCC AR5</t>
  </si>
  <si>
    <t>t/m3</t>
  </si>
  <si>
    <t>ACM0010 Version 5, page 8</t>
  </si>
  <si>
    <r>
      <t>MCF</t>
    </r>
    <r>
      <rPr>
        <vertAlign val="subscript"/>
        <sz val="10"/>
        <color indexed="8"/>
        <rFont val="Arial"/>
        <family val="2"/>
      </rPr>
      <t>j</t>
    </r>
    <phoneticPr fontId="0" type="noConversion"/>
  </si>
  <si>
    <r>
      <t>W</t>
    </r>
    <r>
      <rPr>
        <vertAlign val="subscript"/>
        <sz val="10"/>
        <color indexed="8"/>
        <rFont val="Arial"/>
        <family val="2"/>
      </rPr>
      <t>default</t>
    </r>
    <phoneticPr fontId="0" type="noConversion"/>
  </si>
  <si>
    <r>
      <t>tCO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>e</t>
    </r>
    <phoneticPr fontId="0" type="noConversion"/>
  </si>
  <si>
    <r>
      <t>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O-N/kg N</t>
    </r>
    <phoneticPr fontId="0" type="noConversion"/>
  </si>
  <si>
    <r>
      <t>N</t>
    </r>
    <r>
      <rPr>
        <i/>
        <vertAlign val="subscript"/>
        <sz val="10"/>
        <rFont val="Arial"/>
        <family val="2"/>
      </rPr>
      <t>rate(T)</t>
    </r>
    <phoneticPr fontId="0" type="noConversion"/>
  </si>
  <si>
    <r>
      <t>NEX</t>
    </r>
    <r>
      <rPr>
        <i/>
        <vertAlign val="subscript"/>
        <sz val="10"/>
        <rFont val="Arial"/>
        <family val="2"/>
      </rPr>
      <t>LT,y</t>
    </r>
    <phoneticPr fontId="0" type="noConversion"/>
  </si>
  <si>
    <r>
      <t>F</t>
    </r>
    <r>
      <rPr>
        <i/>
        <vertAlign val="subscript"/>
        <sz val="10"/>
        <rFont val="Arial"/>
        <family val="2"/>
      </rPr>
      <t>gasMS,j,LT</t>
    </r>
    <phoneticPr fontId="0" type="noConversion"/>
  </si>
  <si>
    <r>
      <t>NEX</t>
    </r>
    <r>
      <rPr>
        <vertAlign val="subscript"/>
        <sz val="8"/>
        <rFont val="Arial"/>
        <family val="2"/>
      </rPr>
      <t>LT</t>
    </r>
    <r>
      <rPr>
        <vertAlign val="subscript"/>
        <sz val="10"/>
        <rFont val="Arial"/>
        <family val="2"/>
      </rPr>
      <t>,y</t>
    </r>
    <phoneticPr fontId="0" type="noConversion"/>
  </si>
  <si>
    <t>kgN/animal/yr</t>
    <phoneticPr fontId="0" type="noConversion"/>
  </si>
  <si>
    <r>
      <t>GWP</t>
    </r>
    <r>
      <rPr>
        <vertAlign val="subscript"/>
        <sz val="10"/>
        <rFont val="Arial"/>
        <family val="2"/>
      </rPr>
      <t>N2O</t>
    </r>
    <phoneticPr fontId="0" type="noConversion"/>
  </si>
  <si>
    <t>Ministry of Ecology and Environment of the People's Republic of China</t>
    <phoneticPr fontId="0" type="noConversion"/>
  </si>
  <si>
    <t>Tool 05:Baseline, project and/or leakage emissions from electricity consumption and monitoring of electricity generation</t>
    <phoneticPr fontId="0" type="noConversion"/>
  </si>
  <si>
    <t xml:space="preserve">                                      Value </t>
    <phoneticPr fontId="0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</si>
  <si>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/tCH</t>
    </r>
    <r>
      <rPr>
        <vertAlign val="subscript"/>
        <sz val="10"/>
        <rFont val="Arial"/>
        <family val="2"/>
      </rPr>
      <t>4</t>
    </r>
    <phoneticPr fontId="0" type="noConversion"/>
  </si>
  <si>
    <t>IPCC AR5</t>
    <phoneticPr fontId="0" type="noConversion"/>
  </si>
  <si>
    <r>
      <t>tCH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 xml:space="preserve"> leaked / tCH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 xml:space="preserve"> produced</t>
    </r>
    <phoneticPr fontId="0" type="noConversion"/>
  </si>
  <si>
    <t>calculated, biogas flow is sourced from Daily operation report, Temperature and pressure is sourced from daily operatio record. CH4 is calculated as equation 19 in MR.</t>
    <phoneticPr fontId="0" type="noConversion"/>
  </si>
  <si>
    <r>
      <t>t/m</t>
    </r>
    <r>
      <rPr>
        <vertAlign val="superscript"/>
        <sz val="10"/>
        <rFont val="Arial"/>
        <family val="2"/>
      </rPr>
      <t>3</t>
    </r>
    <phoneticPr fontId="0" type="noConversion"/>
  </si>
  <si>
    <t>PDD</t>
    <phoneticPr fontId="0" type="noConversion"/>
  </si>
  <si>
    <r>
      <t>EF</t>
    </r>
    <r>
      <rPr>
        <vertAlign val="subscript"/>
        <sz val="8"/>
        <rFont val="Arial"/>
        <family val="2"/>
      </rPr>
      <t>N2O,ID</t>
    </r>
    <phoneticPr fontId="0" type="noConversion"/>
  </si>
  <si>
    <r>
      <t>F</t>
    </r>
    <r>
      <rPr>
        <vertAlign val="subscript"/>
        <sz val="10"/>
        <rFont val="Arial"/>
        <family val="2"/>
      </rPr>
      <t>gasMS,j,LT</t>
    </r>
    <phoneticPr fontId="0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</si>
  <si>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/t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  <phoneticPr fontId="0" type="noConversion"/>
  </si>
  <si>
    <r>
      <t>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O-N/year</t>
    </r>
    <phoneticPr fontId="0" type="noConversion"/>
  </si>
  <si>
    <r>
      <t>N</t>
    </r>
    <r>
      <rPr>
        <vertAlign val="subscript"/>
        <sz val="8"/>
        <rFont val="Arial"/>
        <family val="2"/>
      </rPr>
      <t>LT</t>
    </r>
    <phoneticPr fontId="0" type="noConversion"/>
  </si>
  <si>
    <r>
      <t>NEX</t>
    </r>
    <r>
      <rPr>
        <vertAlign val="subscript"/>
        <sz val="8"/>
        <rFont val="Arial"/>
        <family val="2"/>
      </rPr>
      <t>LT,y</t>
    </r>
    <phoneticPr fontId="0" type="noConversion"/>
  </si>
  <si>
    <r>
      <t>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O-N/kg N</t>
    </r>
    <phoneticPr fontId="0" type="noConversion"/>
  </si>
  <si>
    <r>
      <t>KgN-N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O-N/kg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-N+NO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>-N</t>
    </r>
    <phoneticPr fontId="0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</si>
  <si>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/tN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  <phoneticPr fontId="0" type="noConversion"/>
  </si>
  <si>
    <r>
      <t>LE</t>
    </r>
    <r>
      <rPr>
        <vertAlign val="subscript"/>
        <sz val="8"/>
        <rFont val="Arial"/>
        <family val="2"/>
      </rPr>
      <t>N2O,land</t>
    </r>
    <r>
      <rPr>
        <vertAlign val="subscript"/>
        <sz val="10"/>
        <rFont val="Arial"/>
        <family val="2"/>
      </rPr>
      <t>,y</t>
    </r>
    <phoneticPr fontId="0" type="noConversion"/>
  </si>
  <si>
    <r>
      <t xml:space="preserve"> 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O-N/year </t>
    </r>
    <phoneticPr fontId="0" type="noConversion"/>
  </si>
  <si>
    <r>
      <t>LE</t>
    </r>
    <r>
      <rPr>
        <vertAlign val="subscript"/>
        <sz val="8"/>
        <rFont val="Arial"/>
        <family val="2"/>
      </rPr>
      <t>N2O,runoff</t>
    </r>
    <r>
      <rPr>
        <vertAlign val="subscript"/>
        <sz val="10"/>
        <rFont val="Arial"/>
        <family val="2"/>
      </rPr>
      <t>,y</t>
    </r>
    <phoneticPr fontId="0" type="noConversion"/>
  </si>
  <si>
    <r>
      <t>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O-N/year </t>
    </r>
    <phoneticPr fontId="0" type="noConversion"/>
  </si>
  <si>
    <r>
      <t>LE</t>
    </r>
    <r>
      <rPr>
        <vertAlign val="subscript"/>
        <sz val="8"/>
        <rFont val="Arial"/>
        <family val="2"/>
      </rPr>
      <t>N2O,vol</t>
    </r>
    <r>
      <rPr>
        <vertAlign val="subscript"/>
        <sz val="10"/>
        <rFont val="Arial"/>
        <family val="2"/>
      </rPr>
      <t>,y</t>
    </r>
    <phoneticPr fontId="0" type="noConversion"/>
  </si>
  <si>
    <r>
      <t>LE</t>
    </r>
    <r>
      <rPr>
        <b/>
        <vertAlign val="subscript"/>
        <sz val="10"/>
        <rFont val="Arial"/>
        <family val="2"/>
      </rPr>
      <t>BL,N2O,y</t>
    </r>
    <phoneticPr fontId="0" type="noConversion"/>
  </si>
  <si>
    <r>
      <t>R</t>
    </r>
    <r>
      <rPr>
        <i/>
        <sz val="8"/>
        <rFont val="Arial"/>
        <family val="2"/>
      </rPr>
      <t>N</t>
    </r>
  </si>
  <si>
    <r>
      <t>LE</t>
    </r>
    <r>
      <rPr>
        <b/>
        <vertAlign val="subscript"/>
        <sz val="10"/>
        <rFont val="Arial"/>
        <family val="2"/>
      </rPr>
      <t>N2O,land,y</t>
    </r>
    <phoneticPr fontId="0" type="noConversion"/>
  </si>
  <si>
    <r>
      <t>LE</t>
    </r>
    <r>
      <rPr>
        <b/>
        <vertAlign val="subscript"/>
        <sz val="10"/>
        <rFont val="Arial"/>
        <family val="2"/>
      </rPr>
      <t>N2O,runoff,y</t>
    </r>
    <phoneticPr fontId="0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</si>
  <si>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/t CH</t>
    </r>
    <r>
      <rPr>
        <vertAlign val="subscript"/>
        <sz val="10"/>
        <rFont val="Arial"/>
        <family val="2"/>
      </rPr>
      <t>4</t>
    </r>
    <phoneticPr fontId="0" type="noConversion"/>
  </si>
  <si>
    <t>kg/animal/yr</t>
    <phoneticPr fontId="0" type="noConversion"/>
  </si>
  <si>
    <r>
      <t>LE</t>
    </r>
    <r>
      <rPr>
        <b/>
        <vertAlign val="subscript"/>
        <sz val="10"/>
        <rFont val="Arial"/>
        <family val="2"/>
      </rPr>
      <t>BL,CH4,y</t>
    </r>
    <phoneticPr fontId="0" type="noConversion"/>
  </si>
  <si>
    <r>
      <t>B</t>
    </r>
    <r>
      <rPr>
        <vertAlign val="subscript"/>
        <sz val="10"/>
        <rFont val="Arial"/>
        <family val="2"/>
      </rPr>
      <t>o,LT</t>
    </r>
    <phoneticPr fontId="0" type="noConversion"/>
  </si>
  <si>
    <r>
      <t xml:space="preserve">LE </t>
    </r>
    <r>
      <rPr>
        <b/>
        <vertAlign val="subscript"/>
        <sz val="10"/>
        <rFont val="Arial"/>
        <family val="2"/>
      </rPr>
      <t>PJ,CH4 ,y</t>
    </r>
    <phoneticPr fontId="0" type="noConversion"/>
  </si>
  <si>
    <r>
      <t>LE</t>
    </r>
    <r>
      <rPr>
        <b/>
        <vertAlign val="subscript"/>
        <sz val="10"/>
        <rFont val="Arial"/>
        <family val="2"/>
      </rPr>
      <t>PJ,CH4,y</t>
    </r>
    <phoneticPr fontId="0" type="noConversion"/>
  </si>
  <si>
    <t>tCO2e</t>
    <phoneticPr fontId="36" type="noConversion"/>
  </si>
  <si>
    <r>
      <t>R</t>
    </r>
    <r>
      <rPr>
        <vertAlign val="subscript"/>
        <sz val="10"/>
        <rFont val="Arial"/>
        <family val="2"/>
      </rPr>
      <t xml:space="preserve">VS </t>
    </r>
    <phoneticPr fontId="36" type="noConversion"/>
  </si>
  <si>
    <r>
      <t>B</t>
    </r>
    <r>
      <rPr>
        <vertAlign val="subscript"/>
        <sz val="10"/>
        <rFont val="Arial"/>
        <family val="2"/>
      </rPr>
      <t>0,LT</t>
    </r>
    <phoneticPr fontId="36" type="noConversion"/>
  </si>
  <si>
    <r>
      <t>BE</t>
    </r>
    <r>
      <rPr>
        <b/>
        <sz val="8"/>
        <color indexed="8"/>
        <rFont val="Arial"/>
        <family val="2"/>
      </rPr>
      <t xml:space="preserve">CH4,y </t>
    </r>
    <phoneticPr fontId="0" type="noConversion"/>
  </si>
  <si>
    <r>
      <t>tCO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>e</t>
    </r>
    <phoneticPr fontId="0" type="noConversion"/>
  </si>
  <si>
    <t>Daily operation record</t>
    <phoneticPr fontId="0" type="noConversion"/>
  </si>
  <si>
    <r>
      <t>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O-N/year</t>
    </r>
    <phoneticPr fontId="36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</si>
  <si>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/t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  <phoneticPr fontId="36" type="noConversion"/>
  </si>
  <si>
    <r>
      <t>BE</t>
    </r>
    <r>
      <rPr>
        <i/>
        <vertAlign val="subscript"/>
        <sz val="8"/>
        <rFont val="Arial"/>
        <family val="2"/>
      </rPr>
      <t>N2O,y</t>
    </r>
    <r>
      <rPr>
        <i/>
        <sz val="8"/>
        <rFont val="Arial"/>
        <family val="2"/>
      </rPr>
      <t xml:space="preserve"> </t>
    </r>
    <r>
      <rPr>
        <b/>
        <sz val="10"/>
        <rFont val="Arial"/>
        <family val="2"/>
      </rPr>
      <t>= GWP</t>
    </r>
    <r>
      <rPr>
        <b/>
        <vertAlign val="subscript"/>
        <sz val="8"/>
        <rFont val="Arial"/>
        <family val="2"/>
      </rPr>
      <t>N2O</t>
    </r>
    <r>
      <rPr>
        <b/>
        <sz val="10"/>
        <rFont val="Arial"/>
        <family val="2"/>
      </rPr>
      <t>*CF</t>
    </r>
    <r>
      <rPr>
        <b/>
        <vertAlign val="subscript"/>
        <sz val="8"/>
        <rFont val="Arial"/>
        <family val="2"/>
      </rPr>
      <t>N2O-N,N</t>
    </r>
    <r>
      <rPr>
        <b/>
        <sz val="10"/>
        <rFont val="Arial"/>
        <family val="2"/>
      </rPr>
      <t>* 1/1000*(E</t>
    </r>
    <r>
      <rPr>
        <b/>
        <vertAlign val="subscript"/>
        <sz val="8"/>
        <rFont val="Arial"/>
        <family val="2"/>
      </rPr>
      <t>N2O,D,y</t>
    </r>
    <r>
      <rPr>
        <b/>
        <sz val="10"/>
        <rFont val="Arial"/>
        <family val="2"/>
      </rPr>
      <t xml:space="preserve"> + E</t>
    </r>
    <r>
      <rPr>
        <b/>
        <vertAlign val="subscript"/>
        <sz val="8"/>
        <rFont val="Arial"/>
        <family val="2"/>
      </rPr>
      <t>N2O,ID,y</t>
    </r>
    <r>
      <rPr>
        <b/>
        <sz val="10"/>
        <rFont val="Arial"/>
        <family val="2"/>
      </rPr>
      <t>) =</t>
    </r>
    <phoneticPr fontId="0" type="noConversion"/>
  </si>
  <si>
    <r>
      <t>EF</t>
    </r>
    <r>
      <rPr>
        <vertAlign val="subscript"/>
        <sz val="8"/>
        <rFont val="Arial"/>
        <family val="2"/>
      </rPr>
      <t xml:space="preserve">N2O,D,j </t>
    </r>
    <phoneticPr fontId="36" type="noConversion"/>
  </si>
  <si>
    <r>
      <t>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O-N/kg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-N and NO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>-N</t>
    </r>
    <phoneticPr fontId="0" type="noConversion"/>
  </si>
  <si>
    <r>
      <t>E</t>
    </r>
    <r>
      <rPr>
        <b/>
        <sz val="7"/>
        <rFont val="Arial"/>
        <family val="2"/>
      </rPr>
      <t>N2O,ID,y</t>
    </r>
    <phoneticPr fontId="0" type="noConversion"/>
  </si>
  <si>
    <r>
      <t>F</t>
    </r>
    <r>
      <rPr>
        <vertAlign val="subscript"/>
        <sz val="10"/>
        <rFont val="Arial"/>
        <family val="2"/>
      </rPr>
      <t>leach</t>
    </r>
    <phoneticPr fontId="36" type="noConversion"/>
  </si>
  <si>
    <r>
      <t>F</t>
    </r>
    <r>
      <rPr>
        <vertAlign val="subscript"/>
        <sz val="10"/>
        <rFont val="Arial"/>
        <family val="2"/>
      </rPr>
      <t>gasm</t>
    </r>
    <phoneticPr fontId="36" type="noConversion"/>
  </si>
  <si>
    <r>
      <t>R</t>
    </r>
    <r>
      <rPr>
        <i/>
        <vertAlign val="subscript"/>
        <sz val="8"/>
        <rFont val="Arial"/>
        <family val="2"/>
      </rPr>
      <t>N,n</t>
    </r>
    <phoneticPr fontId="36" type="noConversion"/>
  </si>
  <si>
    <r>
      <t>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O-N/kg N</t>
    </r>
    <phoneticPr fontId="36" type="noConversion"/>
  </si>
  <si>
    <r>
      <t xml:space="preserve">  kg 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O-N/year </t>
    </r>
    <phoneticPr fontId="0" type="noConversion"/>
  </si>
  <si>
    <r>
      <t>LE</t>
    </r>
    <r>
      <rPr>
        <b/>
        <vertAlign val="subscript"/>
        <sz val="10"/>
        <rFont val="Arial"/>
        <family val="2"/>
      </rPr>
      <t>PJ,N2O,y</t>
    </r>
    <phoneticPr fontId="0" type="noConversion"/>
  </si>
  <si>
    <r>
      <t>EC</t>
    </r>
    <r>
      <rPr>
        <vertAlign val="subscript"/>
        <sz val="10"/>
        <rFont val="Arial"/>
        <family val="2"/>
      </rPr>
      <t>PJ,j,y</t>
    </r>
    <r>
      <rPr>
        <sz val="10"/>
        <rFont val="Arial"/>
        <family val="2"/>
      </rPr>
      <t>(MWh)</t>
    </r>
    <phoneticPr fontId="36" type="noConversion"/>
  </si>
  <si>
    <r>
      <t>Average swine population used in both baseline and project case emission reductions (N</t>
    </r>
    <r>
      <rPr>
        <vertAlign val="subscript"/>
        <sz val="10"/>
        <rFont val="Arial"/>
        <family val="2"/>
      </rPr>
      <t>L,T</t>
    </r>
    <r>
      <rPr>
        <sz val="10"/>
        <rFont val="Arial"/>
        <family val="2"/>
      </rPr>
      <t>) and Weight of swine (W</t>
    </r>
    <r>
      <rPr>
        <vertAlign val="subscript"/>
        <sz val="10"/>
        <rFont val="Arial"/>
        <family val="2"/>
      </rPr>
      <t>site</t>
    </r>
    <r>
      <rPr>
        <sz val="10"/>
        <rFont val="Arial"/>
        <family val="2"/>
      </rPr>
      <t>)</t>
    </r>
    <phoneticPr fontId="36" type="noConversion"/>
  </si>
  <si>
    <r>
      <t>tCO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>/tCH</t>
    </r>
    <r>
      <rPr>
        <vertAlign val="subscript"/>
        <sz val="10"/>
        <color indexed="8"/>
        <rFont val="Arial"/>
        <family val="2"/>
      </rPr>
      <t>4</t>
    </r>
    <phoneticPr fontId="36" type="noConversion"/>
  </si>
  <si>
    <r>
      <t>m</t>
    </r>
    <r>
      <rPr>
        <vertAlign val="superscript"/>
        <sz val="10"/>
        <color indexed="8"/>
        <rFont val="Arial"/>
        <family val="2"/>
      </rPr>
      <t>3</t>
    </r>
    <r>
      <rPr>
        <sz val="10"/>
        <color indexed="8"/>
        <rFont val="Arial"/>
        <family val="2"/>
      </rPr>
      <t xml:space="preserve"> CH</t>
    </r>
    <r>
      <rPr>
        <vertAlign val="subscript"/>
        <sz val="10"/>
        <color indexed="8"/>
        <rFont val="Arial"/>
        <family val="2"/>
      </rPr>
      <t>4</t>
    </r>
    <r>
      <rPr>
        <sz val="10"/>
        <color indexed="8"/>
        <rFont val="Arial"/>
        <family val="2"/>
      </rPr>
      <t xml:space="preserve"> /kg-dm</t>
    </r>
    <phoneticPr fontId="36" type="noConversion"/>
  </si>
  <si>
    <t>calculated as equatoin 5 in MR, of which NLT for marke swine and breeding swine is sourced from "market and Breeding Pig stock record"</t>
    <phoneticPr fontId="36" type="noConversion"/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</si>
  <si>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CH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 xml:space="preserve"> /kg-dm</t>
    </r>
    <phoneticPr fontId="0" type="noConversion"/>
  </si>
  <si>
    <t>calculated, biogas flow is sourced from Daily operation report, Temperature and pressure is sourced from daily operatio record. CH4 is calculated as equation 19 in MR.</t>
    <phoneticPr fontId="36" type="noConversion"/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</si>
  <si>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CH4/kg-dm</t>
    </r>
    <phoneticPr fontId="0" type="noConversion"/>
  </si>
  <si>
    <t>calculated as equatoin 5 in MR, of which NLT for marke swine and breeding swine is sourced from "market and Breeding Pig stock record"</t>
    <phoneticPr fontId="0" type="noConversion"/>
  </si>
  <si>
    <t xml:space="preserve"> Table 8-10 provided in Appendix 1 of ACM0010 </t>
    <phoneticPr fontId="0" type="noConversion"/>
  </si>
  <si>
    <t xml:space="preserve"> Table 8-10 provided in Appendix 1 of ACM0010 </t>
    <phoneticPr fontId="36" type="noConversion"/>
  </si>
  <si>
    <r>
      <t>PE</t>
    </r>
    <r>
      <rPr>
        <b/>
        <vertAlign val="subscript"/>
        <sz val="10"/>
        <rFont val="Arial"/>
        <family val="2"/>
      </rPr>
      <t>N2O,y</t>
    </r>
    <r>
      <rPr>
        <b/>
        <sz val="10"/>
        <rFont val="Arial"/>
        <family val="2"/>
      </rPr>
      <t>=GWP</t>
    </r>
    <r>
      <rPr>
        <b/>
        <vertAlign val="subscript"/>
        <sz val="10"/>
        <rFont val="Arial"/>
        <family val="2"/>
      </rPr>
      <t>N2O</t>
    </r>
    <r>
      <rPr>
        <b/>
        <sz val="10"/>
        <rFont val="Arial"/>
        <family val="2"/>
      </rPr>
      <t>*(44/28)*1/1000*(E</t>
    </r>
    <r>
      <rPr>
        <b/>
        <vertAlign val="subscript"/>
        <sz val="7"/>
        <rFont val="Arial"/>
        <family val="2"/>
      </rPr>
      <t>N2O,ID,y</t>
    </r>
    <r>
      <rPr>
        <b/>
        <sz val="7"/>
        <rFont val="Arial"/>
        <family val="2"/>
      </rPr>
      <t xml:space="preserve"> +</t>
    </r>
    <r>
      <rPr>
        <b/>
        <sz val="10"/>
        <rFont val="Arial"/>
        <family val="2"/>
      </rPr>
      <t>E</t>
    </r>
    <r>
      <rPr>
        <b/>
        <vertAlign val="subscript"/>
        <sz val="7"/>
        <rFont val="Arial"/>
        <family val="2"/>
      </rPr>
      <t>N20,ID,y</t>
    </r>
    <r>
      <rPr>
        <b/>
        <sz val="10"/>
        <rFont val="Arial"/>
        <family val="2"/>
      </rPr>
      <t>)=</t>
    </r>
    <phoneticPr fontId="0" type="noConversion"/>
  </si>
  <si>
    <t>2006 IPCC guideline, volume 4, chapter 10, Tbl. 10.17</t>
    <phoneticPr fontId="36" type="noConversion"/>
  </si>
  <si>
    <r>
      <t>calculated as equatoin 5 in MR, of which N</t>
    </r>
    <r>
      <rPr>
        <vertAlign val="subscript"/>
        <sz val="10"/>
        <color indexed="8"/>
        <rFont val="Arial"/>
        <family val="2"/>
      </rPr>
      <t>LT</t>
    </r>
    <r>
      <rPr>
        <sz val="10"/>
        <color indexed="8"/>
        <rFont val="Arial"/>
        <family val="2"/>
      </rPr>
      <t xml:space="preserve"> for marke swine and breeding swine is sourced from  "market swine production record" and " Breeding Pig stock record"</t>
    </r>
    <phoneticPr fontId="0" type="noConversion"/>
  </si>
  <si>
    <r>
      <t>n</t>
    </r>
    <r>
      <rPr>
        <vertAlign val="subscript"/>
        <sz val="10"/>
        <color rgb="FF000000"/>
        <rFont val="Arial"/>
        <family val="2"/>
      </rPr>
      <t>dy</t>
    </r>
    <phoneticPr fontId="36" type="noConversion"/>
  </si>
  <si>
    <t>total</t>
    <phoneticPr fontId="36" type="noConversion"/>
  </si>
  <si>
    <r>
      <t>T</t>
    </r>
    <r>
      <rPr>
        <vertAlign val="subscript"/>
        <sz val="11"/>
        <color indexed="63"/>
        <rFont val="Arial"/>
        <family val="2"/>
      </rPr>
      <t xml:space="preserve">t
</t>
    </r>
    <r>
      <rPr>
        <sz val="11"/>
        <color indexed="63"/>
        <rFont val="Arial"/>
        <family val="2"/>
      </rPr>
      <t>(°C)</t>
    </r>
    <phoneticPr fontId="36" type="noConversion"/>
  </si>
  <si>
    <t>Tt
(k)</t>
    <phoneticPr fontId="36" type="noConversion"/>
  </si>
  <si>
    <r>
      <t>P</t>
    </r>
    <r>
      <rPr>
        <vertAlign val="subscript"/>
        <sz val="11"/>
        <color indexed="63"/>
        <rFont val="Arial"/>
        <family val="2"/>
      </rPr>
      <t xml:space="preserve">t
</t>
    </r>
    <r>
      <rPr>
        <sz val="11"/>
        <color indexed="63"/>
        <rFont val="Arial"/>
        <family val="2"/>
      </rPr>
      <t>(pa)</t>
    </r>
    <phoneticPr fontId="36" type="noConversion"/>
  </si>
  <si>
    <t>Mmi
(kg/kmol)</t>
    <phoneticPr fontId="36" type="noConversion"/>
  </si>
  <si>
    <t>Ru
(Pa.m3/kmol.K))</t>
    <phoneticPr fontId="36" type="noConversion"/>
  </si>
  <si>
    <r>
      <t>ρ</t>
    </r>
    <r>
      <rPr>
        <vertAlign val="subscript"/>
        <sz val="10"/>
        <color indexed="63"/>
        <rFont val="Arial"/>
        <family val="2"/>
      </rPr>
      <t xml:space="preserve">i,n
</t>
    </r>
    <r>
      <rPr>
        <sz val="10"/>
        <color indexed="63"/>
        <rFont val="Arial"/>
        <family val="2"/>
      </rPr>
      <t>(</t>
    </r>
    <r>
      <rPr>
        <sz val="10"/>
        <color indexed="63"/>
        <rFont val="宋体"/>
        <family val="3"/>
        <charset val="134"/>
      </rPr>
      <t>t</t>
    </r>
    <r>
      <rPr>
        <sz val="10"/>
        <color indexed="63"/>
        <rFont val="Arial"/>
        <family val="2"/>
      </rPr>
      <t>/m3)</t>
    </r>
    <phoneticPr fontId="36" type="noConversion"/>
  </si>
  <si>
    <r>
      <t>V</t>
    </r>
    <r>
      <rPr>
        <vertAlign val="subscript"/>
        <sz val="11"/>
        <color indexed="63"/>
        <rFont val="Arial"/>
        <family val="2"/>
      </rPr>
      <t xml:space="preserve">i,t,db
</t>
    </r>
    <r>
      <rPr>
        <sz val="11"/>
        <color indexed="63"/>
        <rFont val="Arial"/>
        <family val="2"/>
      </rPr>
      <t>(%)</t>
    </r>
    <phoneticPr fontId="36" type="noConversion"/>
  </si>
  <si>
    <r>
      <t>V</t>
    </r>
    <r>
      <rPr>
        <vertAlign val="subscript"/>
        <sz val="11"/>
        <color indexed="63"/>
        <rFont val="Arial"/>
        <family val="2"/>
      </rPr>
      <t xml:space="preserve">t,db
</t>
    </r>
    <r>
      <rPr>
        <sz val="11"/>
        <color indexed="63"/>
        <rFont val="Arial"/>
        <family val="2"/>
      </rPr>
      <t>(m</t>
    </r>
    <r>
      <rPr>
        <vertAlign val="superscript"/>
        <sz val="11"/>
        <color indexed="63"/>
        <rFont val="Arial"/>
        <family val="2"/>
      </rPr>
      <t>3</t>
    </r>
    <r>
      <rPr>
        <sz val="11"/>
        <color indexed="63"/>
        <rFont val="Arial"/>
        <family val="2"/>
      </rPr>
      <t>/month)</t>
    </r>
    <r>
      <rPr>
        <sz val="11"/>
        <color rgb="FF4D4D4C"/>
        <rFont val="Arial"/>
        <family val="2"/>
      </rPr>
      <t>-Vf1</t>
    </r>
    <phoneticPr fontId="36" type="noConversion"/>
  </si>
  <si>
    <r>
      <t>Fi,t
(t CH</t>
    </r>
    <r>
      <rPr>
        <vertAlign val="subscript"/>
        <sz val="11"/>
        <color indexed="63"/>
        <rFont val="Arial"/>
        <family val="2"/>
      </rPr>
      <t>4</t>
    </r>
    <r>
      <rPr>
        <sz val="11"/>
        <color indexed="63"/>
        <rFont val="Arial"/>
        <family val="2"/>
      </rPr>
      <t>/month)</t>
    </r>
    <phoneticPr fontId="36" type="noConversion"/>
  </si>
  <si>
    <r>
      <t>Vf3(m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phoneticPr fontId="36" type="noConversion"/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</si>
  <si>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</t>
    </r>
    <phoneticPr fontId="36" type="noConversion"/>
  </si>
  <si>
    <r>
      <t>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</t>
    </r>
    <phoneticPr fontId="36" type="noConversion"/>
  </si>
  <si>
    <r>
      <t xml:space="preserve"> BE</t>
    </r>
    <r>
      <rPr>
        <b/>
        <sz val="8"/>
        <rFont val="Arial"/>
        <family val="2"/>
      </rPr>
      <t xml:space="preserve">CH4,y </t>
    </r>
    <r>
      <rPr>
        <b/>
        <sz val="10"/>
        <rFont val="Arial"/>
        <family val="2"/>
      </rPr>
      <t>+ BE</t>
    </r>
    <r>
      <rPr>
        <b/>
        <sz val="8"/>
        <rFont val="Arial"/>
        <family val="2"/>
      </rPr>
      <t>N2O,y</t>
    </r>
    <r>
      <rPr>
        <b/>
        <sz val="10"/>
        <rFont val="Arial"/>
        <family val="2"/>
      </rPr>
      <t xml:space="preserve"> </t>
    </r>
    <r>
      <rPr>
        <b/>
        <sz val="8"/>
        <rFont val="Arial"/>
        <family val="2"/>
      </rPr>
      <t xml:space="preserve"> =</t>
    </r>
    <phoneticPr fontId="0" type="noConversion"/>
  </si>
  <si>
    <t>Daily  report of electricity</t>
    <phoneticPr fontId="0" type="noConversion"/>
  </si>
  <si>
    <r>
      <t>Q</t>
    </r>
    <r>
      <rPr>
        <vertAlign val="subscript"/>
        <sz val="10"/>
        <rFont val="Arial"/>
        <family val="2"/>
      </rPr>
      <t>CH4,y</t>
    </r>
    <phoneticPr fontId="0" type="noConversion"/>
  </si>
  <si>
    <r>
      <t>LE</t>
    </r>
    <r>
      <rPr>
        <b/>
        <vertAlign val="subscript"/>
        <sz val="10"/>
        <rFont val="Arial"/>
        <family val="2"/>
      </rPr>
      <t>N2O,vol,y</t>
    </r>
    <phoneticPr fontId="0" type="noConversion"/>
  </si>
  <si>
    <t>Monthly Statistics of the average animal weight of a defined livestock population at the project site (Wsite)</t>
    <phoneticPr fontId="36" type="noConversion"/>
  </si>
  <si>
    <t>Swine Farm</t>
    <phoneticPr fontId="79" type="noConversion"/>
  </si>
  <si>
    <t>Wsite-Arithmetic mean</t>
    <phoneticPr fontId="79" type="noConversion"/>
  </si>
  <si>
    <t>NLT</t>
    <phoneticPr fontId="79" type="noConversion"/>
  </si>
  <si>
    <t>Wsite-Arithmetic mean*NLT</t>
    <phoneticPr fontId="79" type="noConversion"/>
  </si>
  <si>
    <t>Market</t>
    <phoneticPr fontId="79" type="noConversion"/>
  </si>
  <si>
    <t>Breeding</t>
    <phoneticPr fontId="79" type="noConversion"/>
  </si>
  <si>
    <t>total</t>
    <phoneticPr fontId="79" type="noConversion"/>
  </si>
  <si>
    <t>Wsite-Weighted average</t>
    <phoneticPr fontId="79" type="noConversion"/>
  </si>
  <si>
    <r>
      <t>V</t>
    </r>
    <r>
      <rPr>
        <vertAlign val="subscript"/>
        <sz val="11"/>
        <color indexed="63"/>
        <rFont val="Arial"/>
        <family val="2"/>
      </rPr>
      <t xml:space="preserve">t,db
</t>
    </r>
    <r>
      <rPr>
        <sz val="11"/>
        <color indexed="63"/>
        <rFont val="Arial"/>
        <family val="2"/>
      </rPr>
      <t>(m</t>
    </r>
    <r>
      <rPr>
        <vertAlign val="superscript"/>
        <sz val="11"/>
        <color indexed="63"/>
        <rFont val="Arial"/>
        <family val="2"/>
      </rPr>
      <t>3</t>
    </r>
    <r>
      <rPr>
        <sz val="11"/>
        <color indexed="63"/>
        <rFont val="Arial"/>
        <family val="2"/>
      </rPr>
      <t>/month)</t>
    </r>
    <r>
      <rPr>
        <sz val="11"/>
        <color rgb="FF4D4D4C"/>
        <rFont val="Arial"/>
        <family val="2"/>
      </rPr>
      <t>-Vf3</t>
    </r>
    <phoneticPr fontId="36" type="noConversion"/>
  </si>
  <si>
    <t>2022/01/01-2022/01/31</t>
  </si>
  <si>
    <t>2022/02/01-2022/02/28</t>
  </si>
  <si>
    <t>2022/03/01-2022/03/31</t>
  </si>
  <si>
    <t>2022/04/01-2022/04/30</t>
  </si>
  <si>
    <t>2022/05/01-2022/05/31</t>
  </si>
  <si>
    <t>2022/06/01-2022/06/30</t>
  </si>
  <si>
    <t>2022/07/01-2022/07/31</t>
  </si>
  <si>
    <t>2022/08/01-2022/08/31</t>
  </si>
  <si>
    <r>
      <t>Emission reduction from  methane production(tCO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e)</t>
    </r>
    <phoneticPr fontId="36" type="noConversion"/>
  </si>
  <si>
    <t>Total number of jobs</t>
    <phoneticPr fontId="36" type="noConversion"/>
  </si>
  <si>
    <t>Duration of the 1st monitoring period</t>
    <phoneticPr fontId="36" type="noConversion"/>
  </si>
  <si>
    <t>2022/09/01-2022/09/30</t>
  </si>
  <si>
    <t>2022/10/01-2022/10/31</t>
  </si>
  <si>
    <r>
      <t>PE</t>
    </r>
    <r>
      <rPr>
        <b/>
        <vertAlign val="subscript"/>
        <sz val="10"/>
        <color indexed="8"/>
        <rFont val="Arial"/>
        <family val="2"/>
      </rPr>
      <t>flare,y</t>
    </r>
    <phoneticPr fontId="0" type="noConversion"/>
  </si>
  <si>
    <t>Date Duration</t>
    <phoneticPr fontId="36" type="noConversion"/>
  </si>
  <si>
    <t>Market swine</t>
  </si>
  <si>
    <t>Breeding swine</t>
  </si>
  <si>
    <t>NO.</t>
  </si>
  <si>
    <t>Nursery phase 0-60</t>
  </si>
  <si>
    <t xml:space="preserve">Growing phase 60-130days </t>
  </si>
  <si>
    <t>Mature phase 130-180days</t>
  </si>
  <si>
    <t>Nursery phase  30-70days</t>
  </si>
  <si>
    <t xml:space="preserve">Growing phase  70-220days </t>
  </si>
  <si>
    <t>Mature phase  220-310days</t>
  </si>
  <si>
    <t>SDG7</t>
    <phoneticPr fontId="36" type="noConversion"/>
  </si>
  <si>
    <t>Total electricity produced (MWh)</t>
    <phoneticPr fontId="36" type="noConversion"/>
  </si>
  <si>
    <r>
      <t>Amount of GHGs emission avoided or sequestered (tCO</t>
    </r>
    <r>
      <rPr>
        <b/>
        <vertAlign val="subscript"/>
        <sz val="11"/>
        <rFont val="Verdana"/>
        <family val="2"/>
      </rPr>
      <t>2</t>
    </r>
    <r>
      <rPr>
        <b/>
        <sz val="11"/>
        <rFont val="Verdana"/>
        <family val="2"/>
      </rPr>
      <t>e)</t>
    </r>
    <phoneticPr fontId="36" type="noConversion"/>
  </si>
  <si>
    <r>
      <t>Baseline Emission (tCO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e)</t>
    </r>
    <phoneticPr fontId="36" type="noConversion"/>
  </si>
  <si>
    <r>
      <t>Project Emisson (tCO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e)</t>
    </r>
    <phoneticPr fontId="36" type="noConversion"/>
  </si>
  <si>
    <r>
      <t>Leakage Emisson (tCO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e)</t>
    </r>
    <phoneticPr fontId="36" type="noConversion"/>
  </si>
  <si>
    <r>
      <t>Emission Reductions(tCO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e)</t>
    </r>
    <phoneticPr fontId="36" type="noConversion"/>
  </si>
  <si>
    <r>
      <t>BE</t>
    </r>
    <r>
      <rPr>
        <vertAlign val="subscript"/>
        <sz val="10"/>
        <rFont val="Arial"/>
        <family val="2"/>
      </rPr>
      <t>CH4</t>
    </r>
    <phoneticPr fontId="36" type="noConversion"/>
  </si>
  <si>
    <r>
      <t>PE</t>
    </r>
    <r>
      <rPr>
        <vertAlign val="subscript"/>
        <sz val="10"/>
        <rFont val="Arial"/>
        <family val="2"/>
      </rPr>
      <t>AD</t>
    </r>
    <phoneticPr fontId="36" type="noConversion"/>
  </si>
  <si>
    <r>
      <t>BE</t>
    </r>
    <r>
      <rPr>
        <vertAlign val="subscript"/>
        <sz val="10"/>
        <rFont val="Arial"/>
        <family val="2"/>
      </rPr>
      <t>CH4</t>
    </r>
    <r>
      <rPr>
        <sz val="10"/>
        <rFont val="Arial"/>
        <family val="2"/>
      </rPr>
      <t>-PE</t>
    </r>
    <r>
      <rPr>
        <vertAlign val="subscript"/>
        <sz val="10"/>
        <rFont val="Arial"/>
        <family val="2"/>
      </rPr>
      <t>AD</t>
    </r>
    <phoneticPr fontId="36" type="noConversion"/>
  </si>
  <si>
    <r>
      <t>Q</t>
    </r>
    <r>
      <rPr>
        <vertAlign val="subscript"/>
        <sz val="10"/>
        <color rgb="FF222222"/>
        <rFont val="Arial"/>
        <family val="2"/>
      </rPr>
      <t>CH4</t>
    </r>
    <phoneticPr fontId="36" type="noConversion"/>
  </si>
  <si>
    <t>No fossil fuel comsumed during 1st MP, therefore,Project emissions from fossil fuel consumption associated with the anaerobic digester is not be taken into account</t>
    <phoneticPr fontId="0" type="noConversion"/>
  </si>
  <si>
    <t>GS 11712</t>
    <phoneticPr fontId="36" type="noConversion"/>
  </si>
  <si>
    <t>01/01/2022- 31/12/2022 (both days included)</t>
    <phoneticPr fontId="36" type="noConversion"/>
  </si>
  <si>
    <t>01/01/2022-31/12/2022</t>
    <phoneticPr fontId="36" type="noConversion"/>
  </si>
  <si>
    <t>10 full time jobs created,including 5 females and 5 males</t>
  </si>
  <si>
    <t>2022/11/01-2022/11/30</t>
    <phoneticPr fontId="36" type="noConversion"/>
  </si>
  <si>
    <t>2022/12/01-2022/12/31</t>
    <phoneticPr fontId="36" type="noConversion"/>
  </si>
  <si>
    <t>Huayuan swine farm</t>
  </si>
  <si>
    <t>Huayuan swine farm</t>
    <phoneticPr fontId="36" type="noConversion"/>
  </si>
  <si>
    <t>Lingxing swine farm</t>
  </si>
  <si>
    <t>Lingxing swine farm</t>
    <phoneticPr fontId="36" type="noConversion"/>
  </si>
  <si>
    <t>Xingfu swine farm</t>
  </si>
  <si>
    <t>Xingfu swine farm</t>
    <phoneticPr fontId="36" type="noConversion"/>
  </si>
  <si>
    <t>Tianchen swine farm</t>
  </si>
  <si>
    <t>Tianchen swine farm</t>
    <phoneticPr fontId="36" type="noConversion"/>
  </si>
  <si>
    <t>Changyun swine farm</t>
  </si>
  <si>
    <t>Changyun swine farm</t>
    <phoneticPr fontId="36" type="noConversion"/>
  </si>
  <si>
    <t>t-value is depends on:
(i) the level of confidence, and
(ii) the size of the sample. 
The t-value associated with 95% confidence and the sample size of 441 is 1.9654 as derived in Microsoft Excel using the TINV
function</t>
    <phoneticPr fontId="36" type="noConversion"/>
  </si>
  <si>
    <t>Tieqilishi AWMS GHG Mitigation Project in Sichuan  Province</t>
    <phoneticPr fontId="36" type="noConversion"/>
  </si>
  <si>
    <t>2022.10</t>
    <phoneticPr fontId="36" type="noConversion"/>
  </si>
  <si>
    <t>04/01/2023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</si>
</sst>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* #,##0.00_);_(* \(#,##0.00\);_(* &quot;-&quot;??_);_(@_)"/>
    <numFmt numFmtId="177" formatCode="_(* #,##0_);_(* \(#,##0\);_(* &quot;-&quot;??_);_(@_)"/>
    <numFmt numFmtId="178" formatCode="0_ "/>
    <numFmt numFmtId="179" formatCode="0.00_ "/>
    <numFmt numFmtId="180" formatCode="0.0_ "/>
    <numFmt numFmtId="181" formatCode="_ * #,##0_ ;_ * \-#,##0_ ;_ * &quot;-&quot;??_ ;_ @_ "/>
    <numFmt numFmtId="182" formatCode="_-* #,##0.00\ [$€]_-;\-* #,##0.00\ [$€]_-;_-* &quot;-&quot;??\ [$€]_-;_-@_-"/>
    <numFmt numFmtId="183" formatCode="0.0"/>
    <numFmt numFmtId="184" formatCode="#,##0.000"/>
    <numFmt numFmtId="185" formatCode="0.00_);[Red]\(0.00\)"/>
    <numFmt numFmtId="186" formatCode="dd/mm/yyyy"/>
    <numFmt numFmtId="187" formatCode="0.0000_ "/>
    <numFmt numFmtId="188" formatCode="#,##0.0"/>
    <numFmt numFmtId="189" formatCode="0.000_);[Red]\(0.000\)"/>
    <numFmt numFmtId="190" formatCode="0.00000_);[Red]\(0.00000\)"/>
    <numFmt numFmtId="191" formatCode="0_);[Red]\(0\)"/>
    <numFmt numFmtId="192" formatCode="0.00000"/>
    <numFmt numFmtId="193" formatCode="0.000%"/>
    <numFmt numFmtId="194" formatCode="#,##0.00_ "/>
    <numFmt numFmtId="195" formatCode="#,##0_ "/>
    <numFmt numFmtId="196" formatCode="0.0000_);[Red]\(0.0000\)"/>
    <numFmt numFmtId="197" formatCode="#,##0_);[Red]\(#,##0\)"/>
  </numFmts>
  <fonts count="90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i/>
      <vertAlign val="subscript"/>
      <sz val="10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b/>
      <vertAlign val="subscript"/>
      <sz val="1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0"/>
      <name val="Arial"/>
      <family val="2"/>
    </font>
    <font>
      <b/>
      <sz val="12"/>
      <name val="Arial"/>
      <family val="2"/>
    </font>
    <font>
      <i/>
      <vertAlign val="subscript"/>
      <sz val="10"/>
      <color indexed="8"/>
      <name val="Arial"/>
      <family val="2"/>
    </font>
    <font>
      <vertAlign val="subscript"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color indexed="8"/>
      <name val="Arial"/>
      <family val="2"/>
    </font>
    <font>
      <sz val="10"/>
      <color indexed="46"/>
      <name val="Arial"/>
      <family val="2"/>
    </font>
    <font>
      <i/>
      <vertAlign val="subscript"/>
      <sz val="10"/>
      <color indexed="9"/>
      <name val="Arial"/>
      <family val="2"/>
    </font>
    <font>
      <sz val="10"/>
      <name val="Arial"/>
      <family val="2"/>
    </font>
    <font>
      <b/>
      <vertAlign val="subscript"/>
      <sz val="10"/>
      <color indexed="9"/>
      <name val="Arial"/>
      <family val="2"/>
    </font>
    <font>
      <sz val="9"/>
      <name val="宋体"/>
      <family val="3"/>
      <charset val="134"/>
    </font>
    <font>
      <sz val="12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b/>
      <sz val="12"/>
      <color indexed="8"/>
      <name val="Calibri"/>
      <family val="2"/>
    </font>
    <font>
      <b/>
      <vertAlign val="subscript"/>
      <sz val="12"/>
      <color indexed="8"/>
      <name val="Calibri"/>
      <family val="2"/>
    </font>
    <font>
      <b/>
      <vertAlign val="subscript"/>
      <sz val="12"/>
      <name val="Calibri"/>
      <family val="2"/>
    </font>
    <font>
      <sz val="11"/>
      <name val="Calibri"/>
      <family val="2"/>
    </font>
    <font>
      <vertAlign val="subscript"/>
      <sz val="11"/>
      <name val="Calibri"/>
      <family val="2"/>
    </font>
    <font>
      <sz val="10.5"/>
      <color indexed="8"/>
      <name val="Calibri"/>
      <family val="2"/>
    </font>
    <font>
      <vertAlign val="subscript"/>
      <sz val="10.5"/>
      <color indexed="8"/>
      <name val="Calibri"/>
      <family val="2"/>
    </font>
    <font>
      <vertAlign val="superscript"/>
      <sz val="11"/>
      <name val="Calibri"/>
      <family val="2"/>
    </font>
    <font>
      <b/>
      <vertAlign val="subscript"/>
      <sz val="11"/>
      <name val="Calibri"/>
      <family val="2"/>
    </font>
    <font>
      <b/>
      <vertAlign val="superscript"/>
      <sz val="11"/>
      <name val="Calibri"/>
      <family val="2"/>
    </font>
    <font>
      <sz val="10"/>
      <name val="Calibri"/>
      <family val="2"/>
    </font>
    <font>
      <vertAlign val="superscript"/>
      <sz val="10"/>
      <name val="Arial"/>
      <family val="2"/>
    </font>
    <font>
      <vertAlign val="subscript"/>
      <sz val="8"/>
      <color indexed="8"/>
      <name val="Arial"/>
      <family val="2"/>
    </font>
    <font>
      <i/>
      <vertAlign val="subscript"/>
      <sz val="8"/>
      <color indexed="8"/>
      <name val="Arial"/>
      <family val="2"/>
    </font>
    <font>
      <i/>
      <vertAlign val="subscript"/>
      <sz val="8"/>
      <name val="Arial"/>
      <family val="2"/>
    </font>
    <font>
      <vertAlign val="subscript"/>
      <sz val="8"/>
      <name val="Arial"/>
      <family val="2"/>
    </font>
    <font>
      <sz val="11"/>
      <color indexed="63"/>
      <name val="Arial"/>
      <family val="2"/>
    </font>
    <font>
      <vertAlign val="subscript"/>
      <sz val="11"/>
      <color indexed="63"/>
      <name val="Arial"/>
      <family val="2"/>
    </font>
    <font>
      <vertAlign val="superscript"/>
      <sz val="11"/>
      <color indexed="63"/>
      <name val="Arial"/>
      <family val="2"/>
    </font>
    <font>
      <sz val="10"/>
      <color indexed="63"/>
      <name val="Arial"/>
      <family val="2"/>
    </font>
    <font>
      <vertAlign val="subscript"/>
      <sz val="10"/>
      <color indexed="63"/>
      <name val="Arial"/>
      <family val="2"/>
    </font>
    <font>
      <sz val="10"/>
      <color indexed="63"/>
      <name val="宋体"/>
      <family val="3"/>
      <charset val="134"/>
    </font>
    <font>
      <sz val="10"/>
      <name val="宋体"/>
      <family val="3"/>
      <charset val="134"/>
    </font>
    <font>
      <b/>
      <vertAlign val="subscript"/>
      <sz val="12"/>
      <name val="Arial"/>
      <family val="2"/>
    </font>
    <font>
      <sz val="10"/>
      <name val="宋体"/>
      <family val="3"/>
      <charset val="134"/>
    </font>
    <font>
      <sz val="10"/>
      <name val="宋体"/>
      <family val="3"/>
      <charset val="134"/>
    </font>
    <font>
      <b/>
      <vertAlign val="subscript"/>
      <sz val="8"/>
      <name val="Arial"/>
      <family val="2"/>
    </font>
    <font>
      <b/>
      <vertAlign val="subscript"/>
      <sz val="7"/>
      <name val="Arial"/>
      <family val="2"/>
    </font>
    <font>
      <vertAlign val="superscript"/>
      <sz val="10"/>
      <color indexed="8"/>
      <name val="Arial"/>
      <family val="2"/>
    </font>
    <font>
      <sz val="11"/>
      <color theme="1"/>
      <name val="宋体"/>
      <family val="3"/>
      <charset val="134"/>
      <scheme val="minor"/>
    </font>
    <font>
      <b/>
      <sz val="14"/>
      <color rgb="FFFF0000"/>
      <name val="Calibri"/>
      <family val="2"/>
    </font>
    <font>
      <sz val="11"/>
      <color rgb="FF4D4D4C"/>
      <name val="Arial"/>
      <family val="2"/>
    </font>
    <font>
      <sz val="10"/>
      <color rgb="FF4D4D4C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4D4D4C"/>
      <name val="Calibri"/>
      <family val="2"/>
    </font>
    <font>
      <sz val="10"/>
      <color rgb="FF4D4D4C"/>
      <name val="Verdana"/>
      <family val="2"/>
    </font>
    <font>
      <vertAlign val="subscript"/>
      <sz val="10"/>
      <color rgb="FF000000"/>
      <name val="Arial"/>
      <family val="2"/>
    </font>
    <font>
      <b/>
      <sz val="10"/>
      <name val="Calibri"/>
      <family val="2"/>
    </font>
    <font>
      <sz val="9"/>
      <name val="宋体"/>
      <family val="3"/>
      <charset val="134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sz val="9"/>
      <name val="Verdana"/>
      <family val="2"/>
    </font>
    <font>
      <b/>
      <vertAlign val="subscript"/>
      <sz val="10"/>
      <color indexed="8"/>
      <name val="Arial"/>
      <family val="2"/>
    </font>
    <font>
      <b/>
      <sz val="11"/>
      <name val="Verdana"/>
      <family val="2"/>
    </font>
    <font>
      <sz val="11"/>
      <name val="Verdana"/>
      <family val="2"/>
    </font>
    <font>
      <b/>
      <vertAlign val="subscript"/>
      <sz val="11"/>
      <name val="Verdana"/>
      <family val="2"/>
    </font>
    <font>
      <sz val="10"/>
      <name val="宋体"/>
      <family val="2"/>
      <charset val="134"/>
    </font>
    <font>
      <sz val="10"/>
      <name val="Arial"/>
      <family val="2"/>
      <charset val="134"/>
    </font>
    <font>
      <vertAlign val="subscript"/>
      <sz val="10"/>
      <color rgb="FF22222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0E0E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182" fontId="34" fillId="0" borderId="0" applyFont="0" applyFill="0" applyBorder="0" applyAlignment="0" applyProtection="0"/>
    <xf numFmtId="0" fontId="69" fillId="0" borderId="0"/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5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176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570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15" fillId="0" borderId="0" xfId="4">
      <alignment vertical="center"/>
    </xf>
    <xf numFmtId="180" fontId="0" fillId="0" borderId="0" xfId="0" applyNumberFormat="1"/>
    <xf numFmtId="0" fontId="0" fillId="0" borderId="0" xfId="0" applyAlignment="1">
      <alignment horizontal="center"/>
    </xf>
    <xf numFmtId="177" fontId="0" fillId="0" borderId="0" xfId="0" applyNumberFormat="1" applyAlignment="1">
      <alignment horizontal="center"/>
    </xf>
    <xf numFmtId="177" fontId="0" fillId="0" borderId="0" xfId="0" applyNumberFormat="1" applyAlignment="1">
      <alignment horizontal="left"/>
    </xf>
    <xf numFmtId="0" fontId="18" fillId="0" borderId="0" xfId="0" applyFont="1"/>
    <xf numFmtId="0" fontId="19" fillId="0" borderId="0" xfId="10" applyFont="1" applyAlignment="1" applyProtection="1"/>
    <xf numFmtId="0" fontId="20" fillId="0" borderId="0" xfId="0" applyFont="1"/>
    <xf numFmtId="0" fontId="2" fillId="2" borderId="0" xfId="0" applyFont="1" applyFill="1"/>
    <xf numFmtId="0" fontId="5" fillId="3" borderId="0" xfId="0" applyFont="1" applyFill="1"/>
    <xf numFmtId="0" fontId="2" fillId="3" borderId="0" xfId="11" applyNumberFormat="1" applyFont="1" applyFill="1" applyBorder="1"/>
    <xf numFmtId="0" fontId="5" fillId="3" borderId="0" xfId="11" applyNumberFormat="1" applyFont="1" applyFill="1" applyBorder="1"/>
    <xf numFmtId="0" fontId="26" fillId="0" borderId="0" xfId="4" applyFont="1">
      <alignment vertical="center"/>
    </xf>
    <xf numFmtId="0" fontId="27" fillId="0" borderId="0" xfId="0" applyFont="1"/>
    <xf numFmtId="0" fontId="25" fillId="0" borderId="0" xfId="0" applyFont="1"/>
    <xf numFmtId="0" fontId="0" fillId="2" borderId="0" xfId="0" applyFill="1"/>
    <xf numFmtId="0" fontId="5" fillId="2" borderId="1" xfId="4" applyFont="1" applyFill="1" applyBorder="1">
      <alignment vertical="center"/>
    </xf>
    <xf numFmtId="0" fontId="32" fillId="0" borderId="0" xfId="0" applyFont="1"/>
    <xf numFmtId="0" fontId="32" fillId="0" borderId="0" xfId="0" applyFont="1" applyAlignment="1">
      <alignment horizontal="left"/>
    </xf>
    <xf numFmtId="177" fontId="27" fillId="0" borderId="0" xfId="11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11" fillId="0" borderId="0" xfId="0" applyFont="1"/>
    <xf numFmtId="0" fontId="2" fillId="0" borderId="2" xfId="0" applyFont="1" applyBorder="1" applyAlignment="1">
      <alignment horizontal="center"/>
    </xf>
    <xf numFmtId="0" fontId="13" fillId="0" borderId="2" xfId="0" applyFont="1" applyBorder="1"/>
    <xf numFmtId="0" fontId="0" fillId="0" borderId="2" xfId="0" applyBorder="1"/>
    <xf numFmtId="0" fontId="13" fillId="0" borderId="3" xfId="0" applyFont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7" xfId="0" applyBorder="1"/>
    <xf numFmtId="3" fontId="2" fillId="0" borderId="2" xfId="4" applyNumberFormat="1" applyFont="1" applyBorder="1" applyAlignment="1">
      <alignment horizontal="right" vertical="center"/>
    </xf>
    <xf numFmtId="0" fontId="0" fillId="0" borderId="5" xfId="0" applyBorder="1"/>
    <xf numFmtId="0" fontId="0" fillId="0" borderId="6" xfId="0" applyBorder="1"/>
    <xf numFmtId="9" fontId="5" fillId="0" borderId="2" xfId="4" applyNumberFormat="1" applyFont="1" applyBorder="1">
      <alignment vertical="center"/>
    </xf>
    <xf numFmtId="9" fontId="5" fillId="5" borderId="2" xfId="0" applyNumberFormat="1" applyFont="1" applyFill="1" applyBorder="1"/>
    <xf numFmtId="0" fontId="70" fillId="0" borderId="8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7" fillId="0" borderId="2" xfId="0" applyFont="1" applyBorder="1" applyAlignment="1">
      <alignment vertical="center"/>
    </xf>
    <xf numFmtId="0" fontId="38" fillId="0" borderId="9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43" fillId="6" borderId="2" xfId="0" applyFont="1" applyFill="1" applyBorder="1" applyAlignment="1">
      <alignment horizontal="center" vertical="center"/>
    </xf>
    <xf numFmtId="0" fontId="43" fillId="6" borderId="2" xfId="0" applyFont="1" applyFill="1" applyBorder="1" applyAlignment="1">
      <alignment horizontal="center" vertical="center" wrapText="1"/>
    </xf>
    <xf numFmtId="0" fontId="43" fillId="7" borderId="2" xfId="0" applyFont="1" applyFill="1" applyBorder="1" applyAlignment="1">
      <alignment horizontal="center" vertical="center"/>
    </xf>
    <xf numFmtId="0" fontId="43" fillId="7" borderId="2" xfId="0" applyFont="1" applyFill="1" applyBorder="1" applyAlignment="1">
      <alignment horizontal="center" vertical="center" wrapText="1"/>
    </xf>
    <xf numFmtId="178" fontId="43" fillId="0" borderId="2" xfId="0" applyNumberFormat="1" applyFont="1" applyBorder="1" applyAlignment="1">
      <alignment horizontal="center" vertical="center"/>
    </xf>
    <xf numFmtId="0" fontId="70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9" fillId="0" borderId="10" xfId="0" applyFont="1" applyBorder="1" applyAlignment="1">
      <alignment vertical="center"/>
    </xf>
    <xf numFmtId="0" fontId="39" fillId="0" borderId="0" xfId="0" applyFont="1" applyAlignment="1">
      <alignment vertical="center"/>
    </xf>
    <xf numFmtId="0" fontId="39" fillId="5" borderId="2" xfId="0" applyFont="1" applyFill="1" applyBorder="1" applyAlignment="1">
      <alignment horizontal="center" vertical="center"/>
    </xf>
    <xf numFmtId="179" fontId="43" fillId="0" borderId="10" xfId="0" applyNumberFormat="1" applyFont="1" applyBorder="1" applyAlignment="1">
      <alignment vertical="center"/>
    </xf>
    <xf numFmtId="179" fontId="43" fillId="0" borderId="0" xfId="0" applyNumberFormat="1" applyFont="1" applyAlignment="1">
      <alignment vertical="center"/>
    </xf>
    <xf numFmtId="0" fontId="39" fillId="0" borderId="0" xfId="0" applyFont="1" applyAlignment="1">
      <alignment horizontal="center" vertical="center"/>
    </xf>
    <xf numFmtId="179" fontId="43" fillId="0" borderId="0" xfId="0" applyNumberFormat="1" applyFont="1" applyAlignment="1">
      <alignment horizontal="left" vertical="center"/>
    </xf>
    <xf numFmtId="0" fontId="15" fillId="0" borderId="0" xfId="0" applyFont="1" applyAlignment="1">
      <alignment vertical="center"/>
    </xf>
    <xf numFmtId="179" fontId="43" fillId="0" borderId="10" xfId="0" applyNumberFormat="1" applyFont="1" applyBorder="1" applyAlignment="1">
      <alignment horizontal="left" vertical="center"/>
    </xf>
    <xf numFmtId="0" fontId="43" fillId="0" borderId="10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187" fontId="38" fillId="0" borderId="2" xfId="0" applyNumberFormat="1" applyFont="1" applyBorder="1" applyAlignment="1">
      <alignment horizontal="center" vertical="center"/>
    </xf>
    <xf numFmtId="179" fontId="43" fillId="0" borderId="0" xfId="0" applyNumberFormat="1" applyFont="1" applyAlignment="1">
      <alignment vertical="center" wrapText="1"/>
    </xf>
    <xf numFmtId="179" fontId="43" fillId="0" borderId="0" xfId="0" applyNumberFormat="1" applyFont="1" applyAlignment="1">
      <alignment horizontal="left" vertical="center" wrapText="1"/>
    </xf>
    <xf numFmtId="0" fontId="37" fillId="0" borderId="0" xfId="0" applyFont="1" applyAlignment="1">
      <alignment vertical="center" wrapText="1"/>
    </xf>
    <xf numFmtId="0" fontId="37" fillId="0" borderId="0" xfId="0" applyFont="1" applyAlignment="1">
      <alignment horizontal="left" vertical="center" wrapText="1"/>
    </xf>
    <xf numFmtId="0" fontId="38" fillId="5" borderId="2" xfId="0" applyFont="1" applyFill="1" applyBorder="1" applyAlignment="1">
      <alignment horizontal="center" vertical="center"/>
    </xf>
    <xf numFmtId="0" fontId="38" fillId="0" borderId="2" xfId="0" applyFont="1" applyBorder="1" applyAlignment="1">
      <alignment horizontal="center" vertical="center" wrapText="1"/>
    </xf>
    <xf numFmtId="0" fontId="38" fillId="0" borderId="10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7" fontId="43" fillId="0" borderId="2" xfId="0" applyNumberFormat="1" applyFont="1" applyBorder="1" applyAlignment="1">
      <alignment horizontal="center" vertical="center"/>
    </xf>
    <xf numFmtId="179" fontId="43" fillId="6" borderId="2" xfId="0" applyNumberFormat="1" applyFont="1" applyFill="1" applyBorder="1" applyAlignment="1">
      <alignment horizontal="center" vertical="center"/>
    </xf>
    <xf numFmtId="187" fontId="43" fillId="6" borderId="2" xfId="0" applyNumberFormat="1" applyFont="1" applyFill="1" applyBorder="1" applyAlignment="1">
      <alignment horizontal="center" vertical="center"/>
    </xf>
    <xf numFmtId="178" fontId="43" fillId="6" borderId="2" xfId="0" applyNumberFormat="1" applyFont="1" applyFill="1" applyBorder="1" applyAlignment="1">
      <alignment horizontal="center" vertical="center"/>
    </xf>
    <xf numFmtId="187" fontId="43" fillId="8" borderId="2" xfId="0" applyNumberFormat="1" applyFont="1" applyFill="1" applyBorder="1" applyAlignment="1">
      <alignment horizontal="center" vertical="center"/>
    </xf>
    <xf numFmtId="179" fontId="43" fillId="7" borderId="2" xfId="0" applyNumberFormat="1" applyFont="1" applyFill="1" applyBorder="1" applyAlignment="1">
      <alignment horizontal="center" vertical="center"/>
    </xf>
    <xf numFmtId="187" fontId="43" fillId="7" borderId="2" xfId="0" applyNumberFormat="1" applyFont="1" applyFill="1" applyBorder="1" applyAlignment="1">
      <alignment horizontal="center" vertical="center"/>
    </xf>
    <xf numFmtId="178" fontId="43" fillId="7" borderId="2" xfId="0" applyNumberFormat="1" applyFont="1" applyFill="1" applyBorder="1" applyAlignment="1">
      <alignment horizontal="center" vertical="center"/>
    </xf>
    <xf numFmtId="179" fontId="43" fillId="8" borderId="2" xfId="0" applyNumberFormat="1" applyFont="1" applyFill="1" applyBorder="1" applyAlignment="1">
      <alignment vertical="center"/>
    </xf>
    <xf numFmtId="178" fontId="70" fillId="0" borderId="0" xfId="0" applyNumberFormat="1" applyFont="1" applyAlignment="1">
      <alignment vertical="center"/>
    </xf>
    <xf numFmtId="179" fontId="0" fillId="0" borderId="0" xfId="0" applyNumberFormat="1"/>
    <xf numFmtId="187" fontId="0" fillId="0" borderId="0" xfId="0" applyNumberFormat="1"/>
    <xf numFmtId="9" fontId="5" fillId="0" borderId="2" xfId="7" applyFont="1" applyFill="1" applyBorder="1" applyAlignment="1">
      <alignment horizontal="right" vertical="center"/>
    </xf>
    <xf numFmtId="0" fontId="14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wrapText="1"/>
    </xf>
    <xf numFmtId="0" fontId="13" fillId="0" borderId="2" xfId="0" applyFont="1" applyBorder="1" applyAlignment="1">
      <alignment horizontal="center"/>
    </xf>
    <xf numFmtId="188" fontId="5" fillId="0" borderId="2" xfId="11" applyNumberFormat="1" applyFont="1" applyFill="1" applyBorder="1" applyAlignment="1">
      <alignment horizontal="right" vertical="center"/>
    </xf>
    <xf numFmtId="3" fontId="0" fillId="0" borderId="2" xfId="11" applyNumberFormat="1" applyFont="1" applyFill="1" applyBorder="1" applyAlignment="1">
      <alignment horizontal="right" vertic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8" fillId="0" borderId="3" xfId="0" applyFont="1" applyBorder="1"/>
    <xf numFmtId="0" fontId="13" fillId="0" borderId="3" xfId="0" applyFont="1" applyBorder="1" applyAlignment="1">
      <alignment horizontal="left"/>
    </xf>
    <xf numFmtId="4" fontId="5" fillId="5" borderId="2" xfId="11" applyNumberFormat="1" applyFont="1" applyFill="1" applyBorder="1" applyAlignment="1">
      <alignment horizontal="right" vertical="center"/>
    </xf>
    <xf numFmtId="0" fontId="2" fillId="0" borderId="3" xfId="0" applyFont="1" applyBorder="1" applyAlignment="1">
      <alignment horizontal="center"/>
    </xf>
    <xf numFmtId="0" fontId="0" fillId="0" borderId="3" xfId="0" applyBorder="1"/>
    <xf numFmtId="2" fontId="0" fillId="0" borderId="2" xfId="11" applyNumberFormat="1" applyFont="1" applyBorder="1" applyAlignment="1">
      <alignment horizontal="right"/>
    </xf>
    <xf numFmtId="0" fontId="0" fillId="0" borderId="7" xfId="0" applyBorder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20" fillId="0" borderId="11" xfId="4" applyFont="1" applyBorder="1">
      <alignment vertical="center"/>
    </xf>
    <xf numFmtId="0" fontId="0" fillId="0" borderId="2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3" fontId="0" fillId="0" borderId="2" xfId="4" applyNumberFormat="1" applyFont="1" applyBorder="1" applyAlignment="1">
      <alignment horizontal="center" vertical="center"/>
    </xf>
    <xf numFmtId="0" fontId="0" fillId="0" borderId="7" xfId="4" applyFont="1" applyBorder="1" applyAlignment="1">
      <alignment horizontal="center" vertical="center"/>
    </xf>
    <xf numFmtId="0" fontId="5" fillId="5" borderId="2" xfId="4" applyFont="1" applyFill="1" applyBorder="1" applyAlignment="1">
      <alignment horizontal="right"/>
    </xf>
    <xf numFmtId="2" fontId="5" fillId="5" borderId="2" xfId="4" applyNumberFormat="1" applyFont="1" applyFill="1" applyBorder="1" applyAlignment="1">
      <alignment horizontal="right"/>
    </xf>
    <xf numFmtId="3" fontId="5" fillId="5" borderId="2" xfId="11" applyNumberFormat="1" applyFont="1" applyFill="1" applyBorder="1" applyAlignment="1">
      <alignment horizontal="right" vertical="center"/>
    </xf>
    <xf numFmtId="0" fontId="2" fillId="0" borderId="7" xfId="0" applyFont="1" applyBorder="1" applyAlignment="1">
      <alignment horizontal="center"/>
    </xf>
    <xf numFmtId="9" fontId="5" fillId="5" borderId="2" xfId="0" applyNumberFormat="1" applyFont="1" applyFill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2" fillId="5" borderId="4" xfId="0" applyFont="1" applyFill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right"/>
    </xf>
    <xf numFmtId="1" fontId="0" fillId="0" borderId="2" xfId="0" applyNumberFormat="1" applyBorder="1" applyAlignment="1">
      <alignment horizontal="center"/>
    </xf>
    <xf numFmtId="0" fontId="0" fillId="0" borderId="4" xfId="0" applyBorder="1"/>
    <xf numFmtId="192" fontId="0" fillId="0" borderId="2" xfId="0" applyNumberFormat="1" applyBorder="1" applyAlignment="1">
      <alignment horizontal="center"/>
    </xf>
    <xf numFmtId="176" fontId="0" fillId="0" borderId="2" xfId="11" applyFont="1" applyBorder="1"/>
    <xf numFmtId="3" fontId="5" fillId="0" borderId="2" xfId="11" applyNumberFormat="1" applyFont="1" applyFill="1" applyBorder="1" applyAlignment="1">
      <alignment horizontal="right" vertical="center"/>
    </xf>
    <xf numFmtId="17" fontId="13" fillId="0" borderId="3" xfId="0" applyNumberFormat="1" applyFont="1" applyBorder="1"/>
    <xf numFmtId="3" fontId="0" fillId="0" borderId="0" xfId="0" applyNumberFormat="1"/>
    <xf numFmtId="4" fontId="5" fillId="0" borderId="2" xfId="11" applyNumberFormat="1" applyFont="1" applyFill="1" applyBorder="1" applyAlignment="1">
      <alignment horizontal="right" vertical="center"/>
    </xf>
    <xf numFmtId="1" fontId="0" fillId="0" borderId="2" xfId="11" applyNumberFormat="1" applyFont="1" applyBorder="1" applyAlignment="1">
      <alignment horizontal="right"/>
    </xf>
    <xf numFmtId="3" fontId="0" fillId="0" borderId="2" xfId="11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0" fontId="0" fillId="0" borderId="12" xfId="0" applyBorder="1"/>
    <xf numFmtId="183" fontId="0" fillId="0" borderId="0" xfId="0" applyNumberFormat="1" applyAlignment="1">
      <alignment horizontal="center"/>
    </xf>
    <xf numFmtId="176" fontId="0" fillId="0" borderId="11" xfId="11" applyFont="1" applyBorder="1"/>
    <xf numFmtId="0" fontId="0" fillId="0" borderId="3" xfId="0" applyBorder="1" applyAlignment="1">
      <alignment horizontal="center"/>
    </xf>
    <xf numFmtId="0" fontId="0" fillId="0" borderId="11" xfId="0" applyBorder="1"/>
    <xf numFmtId="3" fontId="73" fillId="3" borderId="0" xfId="0" applyNumberFormat="1" applyFont="1" applyFill="1" applyAlignment="1">
      <alignment horizontal="left" wrapText="1"/>
    </xf>
    <xf numFmtId="185" fontId="5" fillId="5" borderId="2" xfId="0" applyNumberFormat="1" applyFont="1" applyFill="1" applyBorder="1"/>
    <xf numFmtId="17" fontId="13" fillId="0" borderId="1" xfId="0" applyNumberFormat="1" applyFont="1" applyBorder="1"/>
    <xf numFmtId="3" fontId="0" fillId="0" borderId="2" xfId="11" applyNumberFormat="1" applyFont="1" applyFill="1" applyBorder="1" applyAlignment="1">
      <alignment horizontal="center" vertical="center"/>
    </xf>
    <xf numFmtId="3" fontId="73" fillId="3" borderId="0" xfId="0" applyNumberFormat="1" applyFont="1" applyFill="1" applyAlignment="1">
      <alignment horizontal="center" wrapText="1"/>
    </xf>
    <xf numFmtId="177" fontId="0" fillId="0" borderId="0" xfId="0" applyNumberFormat="1"/>
    <xf numFmtId="44" fontId="0" fillId="0" borderId="0" xfId="0" applyNumberFormat="1"/>
    <xf numFmtId="0" fontId="2" fillId="0" borderId="4" xfId="0" applyFont="1" applyBorder="1"/>
    <xf numFmtId="0" fontId="5" fillId="0" borderId="0" xfId="0" applyFont="1"/>
    <xf numFmtId="181" fontId="0" fillId="0" borderId="0" xfId="0" applyNumberFormat="1"/>
    <xf numFmtId="0" fontId="64" fillId="0" borderId="0" xfId="0" applyFont="1"/>
    <xf numFmtId="0" fontId="65" fillId="0" borderId="0" xfId="0" applyFont="1"/>
    <xf numFmtId="193" fontId="0" fillId="0" borderId="0" xfId="7" applyNumberFormat="1" applyFont="1"/>
    <xf numFmtId="4" fontId="5" fillId="0" borderId="2" xfId="4" applyNumberFormat="1" applyFont="1" applyBorder="1" applyAlignment="1">
      <alignment horizontal="right" vertical="center"/>
    </xf>
    <xf numFmtId="185" fontId="0" fillId="0" borderId="0" xfId="0" applyNumberFormat="1"/>
    <xf numFmtId="0" fontId="5" fillId="0" borderId="7" xfId="0" applyFont="1" applyBorder="1" applyAlignment="1">
      <alignment horizontal="center"/>
    </xf>
    <xf numFmtId="0" fontId="0" fillId="0" borderId="2" xfId="0" applyBorder="1" applyAlignment="1">
      <alignment horizontal="right"/>
    </xf>
    <xf numFmtId="9" fontId="0" fillId="0" borderId="2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3" fontId="0" fillId="0" borderId="2" xfId="0" applyNumberFormat="1" applyBorder="1" applyAlignment="1">
      <alignment horizontal="right"/>
    </xf>
    <xf numFmtId="0" fontId="14" fillId="0" borderId="12" xfId="0" applyFont="1" applyBorder="1"/>
    <xf numFmtId="3" fontId="24" fillId="3" borderId="11" xfId="0" applyNumberFormat="1" applyFont="1" applyFill="1" applyBorder="1"/>
    <xf numFmtId="0" fontId="13" fillId="0" borderId="11" xfId="0" applyFont="1" applyBorder="1" applyAlignment="1">
      <alignment horizontal="center"/>
    </xf>
    <xf numFmtId="0" fontId="5" fillId="0" borderId="0" xfId="0" applyFont="1" applyAlignment="1">
      <alignment horizontal="right"/>
    </xf>
    <xf numFmtId="1" fontId="0" fillId="0" borderId="2" xfId="0" applyNumberFormat="1" applyBorder="1" applyAlignment="1">
      <alignment horizontal="right"/>
    </xf>
    <xf numFmtId="0" fontId="0" fillId="5" borderId="2" xfId="0" applyFill="1" applyBorder="1" applyAlignment="1">
      <alignment horizontal="right"/>
    </xf>
    <xf numFmtId="2" fontId="0" fillId="5" borderId="2" xfId="0" applyNumberFormat="1" applyFill="1" applyBorder="1" applyAlignment="1">
      <alignment horizontal="right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" fontId="0" fillId="5" borderId="2" xfId="0" applyNumberFormat="1" applyFill="1" applyBorder="1" applyAlignment="1">
      <alignment horizontal="right"/>
    </xf>
    <xf numFmtId="0" fontId="0" fillId="0" borderId="2" xfId="0" applyBorder="1" applyAlignment="1">
      <alignment horizontal="center" vertical="center" wrapText="1"/>
    </xf>
    <xf numFmtId="0" fontId="2" fillId="0" borderId="3" xfId="0" applyFont="1" applyBorder="1"/>
    <xf numFmtId="0" fontId="17" fillId="0" borderId="2" xfId="0" applyFont="1" applyBorder="1"/>
    <xf numFmtId="0" fontId="2" fillId="0" borderId="12" xfId="0" applyFont="1" applyBorder="1"/>
    <xf numFmtId="0" fontId="0" fillId="0" borderId="11" xfId="0" applyBorder="1" applyAlignment="1">
      <alignment horizontal="center"/>
    </xf>
    <xf numFmtId="0" fontId="2" fillId="0" borderId="0" xfId="0" applyFont="1" applyAlignment="1">
      <alignment horizontal="center"/>
    </xf>
    <xf numFmtId="0" fontId="17" fillId="0" borderId="0" xfId="0" applyFont="1"/>
    <xf numFmtId="2" fontId="0" fillId="0" borderId="2" xfId="0" applyNumberFormat="1" applyBorder="1" applyAlignment="1">
      <alignment horizontal="right"/>
    </xf>
    <xf numFmtId="177" fontId="2" fillId="0" borderId="0" xfId="0" applyNumberFormat="1" applyFont="1"/>
    <xf numFmtId="17" fontId="14" fillId="0" borderId="12" xfId="0" applyNumberFormat="1" applyFont="1" applyBorder="1"/>
    <xf numFmtId="0" fontId="5" fillId="0" borderId="0" xfId="9" applyFont="1">
      <alignment vertical="center"/>
    </xf>
    <xf numFmtId="177" fontId="5" fillId="0" borderId="0" xfId="9" applyNumberFormat="1" applyFont="1">
      <alignment vertical="center"/>
    </xf>
    <xf numFmtId="178" fontId="5" fillId="0" borderId="0" xfId="9" applyNumberFormat="1" applyFont="1" applyAlignment="1">
      <alignment horizontal="center" vertical="center"/>
    </xf>
    <xf numFmtId="0" fontId="2" fillId="3" borderId="0" xfId="0" applyFont="1" applyFill="1"/>
    <xf numFmtId="176" fontId="0" fillId="0" borderId="0" xfId="0" applyNumberFormat="1"/>
    <xf numFmtId="17" fontId="14" fillId="0" borderId="3" xfId="0" applyNumberFormat="1" applyFont="1" applyBorder="1"/>
    <xf numFmtId="0" fontId="5" fillId="2" borderId="0" xfId="0" applyFont="1" applyFill="1"/>
    <xf numFmtId="0" fontId="2" fillId="0" borderId="0" xfId="4" applyFont="1" applyAlignment="1"/>
    <xf numFmtId="0" fontId="32" fillId="0" borderId="0" xfId="9" applyFont="1" applyAlignment="1">
      <alignment horizontal="left" vertical="center"/>
    </xf>
    <xf numFmtId="0" fontId="15" fillId="0" borderId="0" xfId="9">
      <alignment vertical="center"/>
    </xf>
    <xf numFmtId="0" fontId="2" fillId="0" borderId="4" xfId="4" applyFont="1" applyBorder="1" applyAlignment="1"/>
    <xf numFmtId="0" fontId="5" fillId="0" borderId="3" xfId="4" applyFont="1" applyBorder="1" applyAlignment="1"/>
    <xf numFmtId="0" fontId="5" fillId="0" borderId="2" xfId="0" applyFont="1" applyBorder="1"/>
    <xf numFmtId="0" fontId="5" fillId="0" borderId="2" xfId="9" applyFont="1" applyBorder="1" applyAlignment="1">
      <alignment horizontal="center" vertical="center"/>
    </xf>
    <xf numFmtId="0" fontId="5" fillId="0" borderId="2" xfId="4" applyFont="1" applyBorder="1">
      <alignment vertical="center"/>
    </xf>
    <xf numFmtId="0" fontId="2" fillId="0" borderId="3" xfId="4" applyFont="1" applyBorder="1" applyAlignment="1"/>
    <xf numFmtId="0" fontId="0" fillId="0" borderId="2" xfId="9" applyFont="1" applyBorder="1" applyAlignment="1">
      <alignment horizontal="center" vertical="center"/>
    </xf>
    <xf numFmtId="0" fontId="2" fillId="0" borderId="12" xfId="4" applyFont="1" applyBorder="1" applyAlignment="1"/>
    <xf numFmtId="0" fontId="0" fillId="0" borderId="11" xfId="9" applyFont="1" applyBorder="1" applyAlignment="1">
      <alignment horizontal="center" vertical="center"/>
    </xf>
    <xf numFmtId="0" fontId="20" fillId="0" borderId="0" xfId="4" applyFont="1">
      <alignment vertical="center"/>
    </xf>
    <xf numFmtId="0" fontId="0" fillId="0" borderId="0" xfId="9" applyFont="1" applyAlignment="1">
      <alignment horizontal="center" vertical="center"/>
    </xf>
    <xf numFmtId="0" fontId="5" fillId="0" borderId="0" xfId="9" applyFont="1" applyAlignment="1">
      <alignment horizontal="center" vertical="center" wrapText="1"/>
    </xf>
    <xf numFmtId="0" fontId="0" fillId="0" borderId="3" xfId="4" applyFont="1" applyBorder="1">
      <alignment vertical="center"/>
    </xf>
    <xf numFmtId="185" fontId="5" fillId="0" borderId="2" xfId="4" applyNumberFormat="1" applyFont="1" applyBorder="1" applyAlignment="1">
      <alignment horizontal="right" vertical="center"/>
    </xf>
    <xf numFmtId="0" fontId="2" fillId="0" borderId="3" xfId="4" applyFont="1" applyBorder="1">
      <alignment vertical="center"/>
    </xf>
    <xf numFmtId="0" fontId="2" fillId="0" borderId="1" xfId="0" applyFont="1" applyBorder="1"/>
    <xf numFmtId="0" fontId="5" fillId="0" borderId="0" xfId="4" applyFont="1">
      <alignment vertical="center"/>
    </xf>
    <xf numFmtId="0" fontId="2" fillId="0" borderId="0" xfId="4" applyFont="1">
      <alignment vertical="center"/>
    </xf>
    <xf numFmtId="3" fontId="2" fillId="0" borderId="0" xfId="9" applyNumberFormat="1" applyFont="1" applyAlignment="1">
      <alignment horizontal="right" vertical="center"/>
    </xf>
    <xf numFmtId="0" fontId="2" fillId="0" borderId="4" xfId="4" applyFont="1" applyBorder="1">
      <alignment vertical="center"/>
    </xf>
    <xf numFmtId="3" fontId="2" fillId="0" borderId="5" xfId="9" applyNumberFormat="1" applyFont="1" applyBorder="1" applyAlignment="1">
      <alignment horizontal="right" vertical="center"/>
    </xf>
    <xf numFmtId="3" fontId="2" fillId="0" borderId="2" xfId="9" applyNumberFormat="1" applyFont="1" applyBorder="1" applyAlignment="1">
      <alignment horizontal="right" vertical="center"/>
    </xf>
    <xf numFmtId="185" fontId="5" fillId="0" borderId="2" xfId="9" applyNumberFormat="1" applyFont="1" applyBorder="1" applyAlignment="1">
      <alignment horizontal="right" vertical="center"/>
    </xf>
    <xf numFmtId="190" fontId="5" fillId="0" borderId="2" xfId="9" applyNumberFormat="1" applyFon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5" fillId="0" borderId="3" xfId="4" applyFont="1" applyBorder="1">
      <alignment vertical="center"/>
    </xf>
    <xf numFmtId="189" fontId="5" fillId="0" borderId="2" xfId="9" applyNumberFormat="1" applyFont="1" applyBorder="1" applyAlignment="1">
      <alignment horizontal="right" vertical="center"/>
    </xf>
    <xf numFmtId="191" fontId="5" fillId="0" borderId="2" xfId="9" applyNumberFormat="1" applyFont="1" applyBorder="1" applyAlignment="1">
      <alignment horizontal="right" vertical="center"/>
    </xf>
    <xf numFmtId="0" fontId="2" fillId="0" borderId="12" xfId="4" applyFont="1" applyBorder="1">
      <alignment vertical="center"/>
    </xf>
    <xf numFmtId="0" fontId="5" fillId="2" borderId="0" xfId="4" applyFont="1" applyFill="1">
      <alignment vertical="center"/>
    </xf>
    <xf numFmtId="0" fontId="25" fillId="0" borderId="0" xfId="4" applyFont="1" applyAlignment="1"/>
    <xf numFmtId="184" fontId="5" fillId="0" borderId="2" xfId="9" applyNumberFormat="1" applyFont="1" applyBorder="1" applyAlignment="1">
      <alignment horizontal="right" vertical="center"/>
    </xf>
    <xf numFmtId="4" fontId="5" fillId="0" borderId="2" xfId="9" applyNumberFormat="1" applyFont="1" applyBorder="1" applyAlignment="1">
      <alignment horizontal="right" vertical="center"/>
    </xf>
    <xf numFmtId="3" fontId="5" fillId="0" borderId="2" xfId="9" applyNumberFormat="1" applyFont="1" applyBorder="1" applyAlignment="1">
      <alignment horizontal="right" vertical="center"/>
    </xf>
    <xf numFmtId="0" fontId="5" fillId="0" borderId="2" xfId="4" applyFont="1" applyBorder="1" applyAlignment="1">
      <alignment horizontal="right"/>
    </xf>
    <xf numFmtId="0" fontId="5" fillId="0" borderId="2" xfId="4" applyFont="1" applyBorder="1" applyAlignment="1">
      <alignment horizontal="right" vertical="center"/>
    </xf>
    <xf numFmtId="4" fontId="5" fillId="0" borderId="2" xfId="4" applyNumberFormat="1" applyFont="1" applyBorder="1" applyAlignment="1">
      <alignment horizontal="right"/>
    </xf>
    <xf numFmtId="0" fontId="2" fillId="0" borderId="12" xfId="4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0" fontId="25" fillId="0" borderId="0" xfId="0" applyFont="1" applyAlignment="1">
      <alignment horizontal="center"/>
    </xf>
    <xf numFmtId="0" fontId="0" fillId="0" borderId="3" xfId="5" applyFont="1" applyBorder="1">
      <alignment vertical="center"/>
    </xf>
    <xf numFmtId="4" fontId="5" fillId="0" borderId="2" xfId="5" applyNumberFormat="1" applyFont="1" applyBorder="1" applyAlignment="1">
      <alignment horizontal="center" vertical="center"/>
    </xf>
    <xf numFmtId="0" fontId="5" fillId="0" borderId="3" xfId="5" applyFont="1" applyBorder="1">
      <alignment vertical="center"/>
    </xf>
    <xf numFmtId="9" fontId="5" fillId="0" borderId="2" xfId="9" applyNumberFormat="1" applyFont="1" applyBorder="1" applyAlignment="1">
      <alignment horizontal="center" vertical="center"/>
    </xf>
    <xf numFmtId="0" fontId="5" fillId="0" borderId="15" xfId="5" applyFont="1" applyBorder="1">
      <alignment vertical="center"/>
    </xf>
    <xf numFmtId="0" fontId="5" fillId="0" borderId="2" xfId="5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0" fontId="2" fillId="0" borderId="3" xfId="5" applyFont="1" applyBorder="1">
      <alignment vertical="center"/>
    </xf>
    <xf numFmtId="176" fontId="5" fillId="0" borderId="2" xfId="5" applyNumberFormat="1" applyFont="1" applyBorder="1" applyAlignment="1">
      <alignment horizontal="center" vertical="center"/>
    </xf>
    <xf numFmtId="2" fontId="5" fillId="0" borderId="2" xfId="5" applyNumberFormat="1" applyFont="1" applyBorder="1" applyAlignment="1">
      <alignment horizontal="center" vertical="center"/>
    </xf>
    <xf numFmtId="0" fontId="5" fillId="0" borderId="0" xfId="5" applyFont="1">
      <alignment vertical="center"/>
    </xf>
    <xf numFmtId="177" fontId="24" fillId="0" borderId="0" xfId="5" applyNumberFormat="1" applyFont="1" applyAlignment="1">
      <alignment horizontal="center" vertical="center"/>
    </xf>
    <xf numFmtId="0" fontId="2" fillId="0" borderId="7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4" fontId="0" fillId="0" borderId="2" xfId="5" applyNumberFormat="1" applyFont="1" applyBorder="1" applyAlignment="1">
      <alignment horizontal="center" vertical="center"/>
    </xf>
    <xf numFmtId="9" fontId="0" fillId="0" borderId="2" xfId="9" applyNumberFormat="1" applyFont="1" applyBorder="1" applyAlignment="1">
      <alignment horizontal="center" vertical="center"/>
    </xf>
    <xf numFmtId="0" fontId="0" fillId="0" borderId="2" xfId="5" applyFont="1" applyBorder="1" applyAlignment="1">
      <alignment horizontal="center" vertical="center"/>
    </xf>
    <xf numFmtId="2" fontId="0" fillId="0" borderId="2" xfId="5" applyNumberFormat="1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2" fillId="0" borderId="3" xfId="5" applyFont="1" applyBorder="1" applyAlignment="1"/>
    <xf numFmtId="176" fontId="0" fillId="0" borderId="2" xfId="5" applyNumberFormat="1" applyFont="1" applyBorder="1" applyAlignment="1">
      <alignment horizontal="center" vertical="center"/>
    </xf>
    <xf numFmtId="0" fontId="2" fillId="0" borderId="12" xfId="5" applyFont="1" applyBorder="1">
      <alignment vertical="center"/>
    </xf>
    <xf numFmtId="0" fontId="5" fillId="0" borderId="3" xfId="0" applyFont="1" applyBorder="1" applyAlignment="1">
      <alignment horizontal="left"/>
    </xf>
    <xf numFmtId="0" fontId="5" fillId="0" borderId="3" xfId="9" applyFont="1" applyBorder="1">
      <alignment vertical="center"/>
    </xf>
    <xf numFmtId="4" fontId="0" fillId="0" borderId="2" xfId="8" applyNumberFormat="1" applyFont="1" applyBorder="1" applyAlignment="1">
      <alignment horizontal="center"/>
    </xf>
    <xf numFmtId="0" fontId="74" fillId="0" borderId="2" xfId="5" applyFont="1" applyBorder="1" applyAlignment="1">
      <alignment horizontal="center" vertical="center"/>
    </xf>
    <xf numFmtId="9" fontId="5" fillId="0" borderId="2" xfId="5" applyNumberFormat="1" applyFont="1" applyBorder="1" applyAlignment="1">
      <alignment horizontal="center" vertical="center"/>
    </xf>
    <xf numFmtId="9" fontId="0" fillId="0" borderId="2" xfId="5" applyNumberFormat="1" applyFont="1" applyBorder="1" applyAlignment="1">
      <alignment horizontal="center" vertical="center"/>
    </xf>
    <xf numFmtId="178" fontId="0" fillId="0" borderId="0" xfId="0" applyNumberFormat="1"/>
    <xf numFmtId="177" fontId="2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0" xfId="4" applyFont="1">
      <alignment vertical="center"/>
    </xf>
    <xf numFmtId="0" fontId="27" fillId="0" borderId="0" xfId="8" applyFont="1" applyAlignment="1">
      <alignment horizontal="center"/>
    </xf>
    <xf numFmtId="0" fontId="27" fillId="0" borderId="0" xfId="4" applyFont="1" applyAlignment="1">
      <alignment horizontal="center" vertical="center"/>
    </xf>
    <xf numFmtId="0" fontId="27" fillId="0" borderId="0" xfId="0" applyFont="1" applyAlignment="1">
      <alignment horizontal="left"/>
    </xf>
    <xf numFmtId="0" fontId="27" fillId="0" borderId="0" xfId="9" applyFont="1">
      <alignment vertical="center"/>
    </xf>
    <xf numFmtId="0" fontId="27" fillId="0" borderId="0" xfId="9" applyFont="1" applyAlignment="1">
      <alignment horizontal="center" vertical="center"/>
    </xf>
    <xf numFmtId="9" fontId="27" fillId="0" borderId="0" xfId="9" applyNumberFormat="1" applyFont="1" applyAlignment="1">
      <alignment horizontal="center" vertical="center"/>
    </xf>
    <xf numFmtId="0" fontId="25" fillId="0" borderId="0" xfId="4" applyFont="1">
      <alignment vertical="center"/>
    </xf>
    <xf numFmtId="176" fontId="25" fillId="0" borderId="0" xfId="4" applyNumberFormat="1" applyFont="1" applyAlignment="1">
      <alignment horizontal="center" vertical="center"/>
    </xf>
    <xf numFmtId="177" fontId="25" fillId="0" borderId="0" xfId="0" applyNumberFormat="1" applyFont="1" applyAlignment="1">
      <alignment horizontal="center"/>
    </xf>
    <xf numFmtId="0" fontId="0" fillId="0" borderId="3" xfId="9" applyFont="1" applyBorder="1">
      <alignment vertical="center"/>
    </xf>
    <xf numFmtId="2" fontId="0" fillId="0" borderId="0" xfId="0" applyNumberFormat="1"/>
    <xf numFmtId="0" fontId="50" fillId="0" borderId="0" xfId="0" applyFont="1"/>
    <xf numFmtId="1" fontId="50" fillId="0" borderId="0" xfId="0" applyNumberFormat="1" applyFont="1"/>
    <xf numFmtId="3" fontId="50" fillId="0" borderId="0" xfId="0" applyNumberFormat="1" applyFont="1"/>
    <xf numFmtId="10" fontId="75" fillId="0" borderId="0" xfId="7" applyNumberFormat="1" applyFont="1" applyBorder="1"/>
    <xf numFmtId="10" fontId="50" fillId="0" borderId="0" xfId="7" applyNumberFormat="1" applyFont="1" applyBorder="1"/>
    <xf numFmtId="0" fontId="50" fillId="5" borderId="0" xfId="0" applyFont="1" applyFill="1" applyAlignment="1">
      <alignment horizontal="right" vertical="center"/>
    </xf>
    <xf numFmtId="0" fontId="50" fillId="5" borderId="0" xfId="0" applyFont="1" applyFill="1" applyAlignment="1">
      <alignment vertical="center"/>
    </xf>
    <xf numFmtId="0" fontId="50" fillId="5" borderId="0" xfId="0" applyFont="1" applyFill="1" applyAlignment="1">
      <alignment horizontal="left" vertical="center"/>
    </xf>
    <xf numFmtId="186" fontId="50" fillId="5" borderId="0" xfId="0" applyNumberFormat="1" applyFont="1" applyFill="1" applyAlignment="1">
      <alignment horizontal="left" vertical="center"/>
    </xf>
    <xf numFmtId="0" fontId="50" fillId="10" borderId="4" xfId="0" applyFont="1" applyFill="1" applyBorder="1" applyAlignment="1">
      <alignment horizontal="justify" vertical="center" wrapText="1"/>
    </xf>
    <xf numFmtId="0" fontId="50" fillId="10" borderId="3" xfId="0" applyFont="1" applyFill="1" applyBorder="1" applyAlignment="1">
      <alignment horizontal="justify" vertical="center" wrapText="1"/>
    </xf>
    <xf numFmtId="0" fontId="50" fillId="0" borderId="0" xfId="0" applyFont="1" applyAlignment="1">
      <alignment vertical="center"/>
    </xf>
    <xf numFmtId="0" fontId="50" fillId="10" borderId="12" xfId="0" applyFont="1" applyFill="1" applyBorder="1" applyAlignment="1">
      <alignment horizontal="justify" vertical="center" wrapText="1"/>
    </xf>
    <xf numFmtId="0" fontId="50" fillId="0" borderId="13" xfId="0" applyFont="1" applyBorder="1" applyAlignment="1">
      <alignment horizontal="left" vertical="center" wrapText="1"/>
    </xf>
    <xf numFmtId="14" fontId="50" fillId="0" borderId="0" xfId="0" applyNumberFormat="1" applyFont="1" applyAlignment="1">
      <alignment vertical="center"/>
    </xf>
    <xf numFmtId="3" fontId="50" fillId="0" borderId="0" xfId="0" applyNumberFormat="1" applyFont="1" applyAlignment="1">
      <alignment horizontal="left"/>
    </xf>
    <xf numFmtId="0" fontId="74" fillId="0" borderId="2" xfId="0" applyFont="1" applyBorder="1" applyAlignment="1">
      <alignment horizontal="center"/>
    </xf>
    <xf numFmtId="2" fontId="74" fillId="0" borderId="2" xfId="0" applyNumberFormat="1" applyFont="1" applyBorder="1" applyAlignment="1">
      <alignment horizontal="center"/>
    </xf>
    <xf numFmtId="0" fontId="62" fillId="0" borderId="0" xfId="0" applyFont="1"/>
    <xf numFmtId="43" fontId="0" fillId="0" borderId="0" xfId="0" applyNumberFormat="1"/>
    <xf numFmtId="2" fontId="0" fillId="0" borderId="0" xfId="0" applyNumberFormat="1" applyAlignment="1">
      <alignment horizontal="center"/>
    </xf>
    <xf numFmtId="2" fontId="0" fillId="0" borderId="2" xfId="0" applyNumberForma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50" fillId="0" borderId="7" xfId="0" applyFont="1" applyBorder="1" applyAlignment="1">
      <alignment horizontal="left" vertical="center"/>
    </xf>
    <xf numFmtId="3" fontId="0" fillId="0" borderId="11" xfId="4" applyNumberFormat="1" applyFont="1" applyBorder="1" applyAlignment="1">
      <alignment horizontal="center" vertical="center"/>
    </xf>
    <xf numFmtId="177" fontId="2" fillId="0" borderId="11" xfId="0" applyNumberFormat="1" applyFont="1" applyBorder="1"/>
    <xf numFmtId="0" fontId="0" fillId="0" borderId="13" xfId="0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5" fillId="0" borderId="7" xfId="5" applyFont="1" applyBorder="1" applyAlignment="1">
      <alignment horizontal="center" vertical="center"/>
    </xf>
    <xf numFmtId="3" fontId="2" fillId="3" borderId="0" xfId="0" applyNumberFormat="1" applyFont="1" applyFill="1" applyAlignment="1">
      <alignment horizontal="left"/>
    </xf>
    <xf numFmtId="0" fontId="0" fillId="0" borderId="4" xfId="0" applyBorder="1" applyAlignment="1">
      <alignment wrapText="1"/>
    </xf>
    <xf numFmtId="0" fontId="71" fillId="0" borderId="5" xfId="0" applyFont="1" applyBorder="1" applyAlignment="1">
      <alignment wrapText="1"/>
    </xf>
    <xf numFmtId="0" fontId="72" fillId="0" borderId="5" xfId="0" applyFont="1" applyBorder="1" applyAlignment="1">
      <alignment wrapText="1"/>
    </xf>
    <xf numFmtId="3" fontId="2" fillId="0" borderId="5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177" fontId="2" fillId="0" borderId="11" xfId="0" applyNumberFormat="1" applyFont="1" applyBorder="1" applyAlignment="1">
      <alignment horizontal="center" vertical="center"/>
    </xf>
    <xf numFmtId="177" fontId="2" fillId="0" borderId="2" xfId="11" applyNumberFormat="1" applyFont="1" applyBorder="1" applyAlignment="1">
      <alignment vertical="center"/>
    </xf>
    <xf numFmtId="176" fontId="5" fillId="0" borderId="2" xfId="11" applyFont="1" applyBorder="1" applyAlignment="1">
      <alignment horizontal="right" vertical="center"/>
    </xf>
    <xf numFmtId="176" fontId="0" fillId="0" borderId="2" xfId="11" applyFont="1" applyBorder="1" applyAlignment="1">
      <alignment horizontal="center" vertical="center"/>
    </xf>
    <xf numFmtId="176" fontId="0" fillId="0" borderId="2" xfId="11" applyFont="1" applyFill="1" applyBorder="1"/>
    <xf numFmtId="179" fontId="43" fillId="0" borderId="2" xfId="0" applyNumberFormat="1" applyFont="1" applyBorder="1" applyAlignment="1">
      <alignment horizontal="center" vertical="center"/>
    </xf>
    <xf numFmtId="10" fontId="43" fillId="0" borderId="2" xfId="0" applyNumberFormat="1" applyFont="1" applyBorder="1" applyAlignment="1">
      <alignment horizontal="center" vertical="center"/>
    </xf>
    <xf numFmtId="176" fontId="0" fillId="0" borderId="0" xfId="11" applyFont="1" applyBorder="1"/>
    <xf numFmtId="0" fontId="0" fillId="0" borderId="6" xfId="0" applyBorder="1" applyAlignment="1">
      <alignment wrapText="1"/>
    </xf>
    <xf numFmtId="176" fontId="0" fillId="0" borderId="2" xfId="11" applyFont="1" applyBorder="1" applyAlignment="1">
      <alignment horizontal="center"/>
    </xf>
    <xf numFmtId="185" fontId="0" fillId="0" borderId="7" xfId="0" applyNumberFormat="1" applyBorder="1"/>
    <xf numFmtId="0" fontId="81" fillId="0" borderId="0" xfId="0" applyFont="1"/>
    <xf numFmtId="0" fontId="50" fillId="0" borderId="2" xfId="0" applyFont="1" applyBorder="1"/>
    <xf numFmtId="0" fontId="50" fillId="0" borderId="2" xfId="0" applyFont="1" applyBorder="1" applyAlignment="1">
      <alignment horizontal="center" vertical="center"/>
    </xf>
    <xf numFmtId="0" fontId="50" fillId="0" borderId="2" xfId="0" applyFont="1" applyBorder="1" applyAlignment="1">
      <alignment vertical="center"/>
    </xf>
    <xf numFmtId="183" fontId="50" fillId="0" borderId="2" xfId="0" applyNumberFormat="1" applyFont="1" applyBorder="1" applyAlignment="1">
      <alignment vertical="center"/>
    </xf>
    <xf numFmtId="0" fontId="50" fillId="0" borderId="0" xfId="0" applyFont="1" applyAlignment="1">
      <alignment horizontal="center" vertical="center"/>
    </xf>
    <xf numFmtId="183" fontId="50" fillId="0" borderId="0" xfId="0" applyNumberFormat="1" applyFont="1" applyAlignment="1">
      <alignment vertical="center"/>
    </xf>
    <xf numFmtId="183" fontId="50" fillId="0" borderId="2" xfId="0" applyNumberFormat="1" applyFont="1" applyBorder="1" applyAlignment="1">
      <alignment horizontal="center" vertical="center"/>
    </xf>
    <xf numFmtId="0" fontId="80" fillId="0" borderId="2" xfId="0" applyFont="1" applyBorder="1" applyAlignment="1">
      <alignment horizontal="center" vertical="center"/>
    </xf>
    <xf numFmtId="2" fontId="80" fillId="0" borderId="2" xfId="0" applyNumberFormat="1" applyFont="1" applyBorder="1" applyAlignment="1">
      <alignment horizontal="center" vertical="center"/>
    </xf>
    <xf numFmtId="3" fontId="2" fillId="0" borderId="11" xfId="4" applyNumberFormat="1" applyFont="1" applyBorder="1" applyAlignment="1">
      <alignment horizontal="right" vertical="center"/>
    </xf>
    <xf numFmtId="2" fontId="0" fillId="0" borderId="7" xfId="0" applyNumberFormat="1" applyBorder="1" applyAlignment="1">
      <alignment horizontal="center"/>
    </xf>
    <xf numFmtId="196" fontId="0" fillId="0" borderId="0" xfId="0" applyNumberFormat="1"/>
    <xf numFmtId="176" fontId="0" fillId="0" borderId="11" xfId="11" applyFont="1" applyBorder="1" applyAlignment="1">
      <alignment horizontal="center"/>
    </xf>
    <xf numFmtId="185" fontId="0" fillId="0" borderId="7" xfId="11" applyNumberFormat="1" applyFont="1" applyFill="1" applyBorder="1" applyAlignment="1">
      <alignment horizontal="right"/>
    </xf>
    <xf numFmtId="176" fontId="0" fillId="0" borderId="13" xfId="11" applyFont="1" applyBorder="1" applyAlignment="1">
      <alignment horizontal="center"/>
    </xf>
    <xf numFmtId="17" fontId="13" fillId="0" borderId="3" xfId="0" applyNumberFormat="1" applyFont="1" applyBorder="1" applyAlignment="1">
      <alignment horizontal="right"/>
    </xf>
    <xf numFmtId="17" fontId="0" fillId="0" borderId="3" xfId="0" applyNumberFormat="1" applyBorder="1"/>
    <xf numFmtId="0" fontId="50" fillId="0" borderId="9" xfId="0" applyFont="1" applyBorder="1" applyAlignment="1">
      <alignment horizontal="right"/>
    </xf>
    <xf numFmtId="0" fontId="50" fillId="0" borderId="32" xfId="0" applyFont="1" applyBorder="1"/>
    <xf numFmtId="0" fontId="50" fillId="0" borderId="27" xfId="0" applyFont="1" applyBorder="1"/>
    <xf numFmtId="0" fontId="84" fillId="9" borderId="2" xfId="0" applyFont="1" applyFill="1" applyBorder="1" applyAlignment="1">
      <alignment horizontal="center" vertical="center" wrapText="1"/>
    </xf>
    <xf numFmtId="0" fontId="85" fillId="0" borderId="0" xfId="0" applyFont="1"/>
    <xf numFmtId="194" fontId="85" fillId="4" borderId="2" xfId="0" applyNumberFormat="1" applyFont="1" applyFill="1" applyBorder="1" applyAlignment="1">
      <alignment horizontal="center" vertical="center"/>
    </xf>
    <xf numFmtId="194" fontId="85" fillId="0" borderId="0" xfId="0" applyNumberFormat="1" applyFont="1"/>
    <xf numFmtId="14" fontId="85" fillId="0" borderId="0" xfId="0" applyNumberFormat="1" applyFont="1"/>
    <xf numFmtId="0" fontId="85" fillId="4" borderId="2" xfId="0" applyFont="1" applyFill="1" applyBorder="1" applyAlignment="1">
      <alignment horizontal="center" vertical="center"/>
    </xf>
    <xf numFmtId="197" fontId="84" fillId="9" borderId="2" xfId="0" applyNumberFormat="1" applyFont="1" applyFill="1" applyBorder="1" applyAlignment="1">
      <alignment horizontal="center" vertical="center" wrapText="1"/>
    </xf>
    <xf numFmtId="195" fontId="85" fillId="4" borderId="2" xfId="0" applyNumberFormat="1" applyFont="1" applyFill="1" applyBorder="1" applyAlignment="1">
      <alignment horizontal="center" vertical="center"/>
    </xf>
    <xf numFmtId="195" fontId="85" fillId="0" borderId="0" xfId="0" applyNumberFormat="1" applyFont="1"/>
    <xf numFmtId="3" fontId="85" fillId="0" borderId="0" xfId="0" applyNumberFormat="1" applyFont="1"/>
    <xf numFmtId="2" fontId="85" fillId="0" borderId="0" xfId="0" applyNumberFormat="1" applyFont="1"/>
    <xf numFmtId="10" fontId="85" fillId="0" borderId="0" xfId="7" applyNumberFormat="1" applyFont="1"/>
    <xf numFmtId="0" fontId="2" fillId="0" borderId="4" xfId="0" applyFont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97" fontId="0" fillId="0" borderId="11" xfId="0" applyNumberFormat="1" applyBorder="1" applyAlignment="1">
      <alignment horizontal="center" vertical="center"/>
    </xf>
    <xf numFmtId="197" fontId="0" fillId="0" borderId="13" xfId="0" applyNumberFormat="1" applyBorder="1" applyAlignment="1">
      <alignment horizontal="center" vertical="center"/>
    </xf>
    <xf numFmtId="0" fontId="87" fillId="0" borderId="0" xfId="0" applyFont="1"/>
    <xf numFmtId="197" fontId="87" fillId="0" borderId="0" xfId="0" applyNumberFormat="1" applyFont="1"/>
    <xf numFmtId="1" fontId="0" fillId="0" borderId="0" xfId="0" applyNumberFormat="1"/>
    <xf numFmtId="10" fontId="0" fillId="0" borderId="0" xfId="7" applyNumberFormat="1" applyFont="1"/>
    <xf numFmtId="0" fontId="88" fillId="0" borderId="0" xfId="0" applyFont="1"/>
    <xf numFmtId="17" fontId="14" fillId="0" borderId="3" xfId="0" applyNumberFormat="1" applyFont="1" applyBorder="1" applyAlignment="1">
      <alignment horizontal="right"/>
    </xf>
    <xf numFmtId="3" fontId="1" fillId="0" borderId="2" xfId="4" applyNumberFormat="1" applyFont="1" applyBorder="1" applyAlignment="1">
      <alignment horizontal="right" vertical="center"/>
    </xf>
    <xf numFmtId="181" fontId="0" fillId="0" borderId="2" xfId="0" applyNumberFormat="1" applyBorder="1"/>
    <xf numFmtId="181" fontId="2" fillId="0" borderId="2" xfId="0" applyNumberFormat="1" applyFont="1" applyBorder="1"/>
    <xf numFmtId="0" fontId="0" fillId="0" borderId="4" xfId="11" applyNumberFormat="1" applyFont="1" applyFill="1" applyBorder="1"/>
    <xf numFmtId="3" fontId="0" fillId="0" borderId="5" xfId="0" applyNumberFormat="1" applyBorder="1"/>
    <xf numFmtId="43" fontId="0" fillId="0" borderId="6" xfId="0" applyNumberFormat="1" applyBorder="1"/>
    <xf numFmtId="0" fontId="0" fillId="0" borderId="3" xfId="11" applyNumberFormat="1" applyFont="1" applyFill="1" applyBorder="1"/>
    <xf numFmtId="43" fontId="0" fillId="0" borderId="7" xfId="0" applyNumberFormat="1" applyBorder="1"/>
    <xf numFmtId="0" fontId="0" fillId="0" borderId="12" xfId="11" applyNumberFormat="1" applyFont="1" applyFill="1" applyBorder="1"/>
    <xf numFmtId="181" fontId="2" fillId="0" borderId="11" xfId="0" applyNumberFormat="1" applyFont="1" applyBorder="1"/>
    <xf numFmtId="43" fontId="0" fillId="0" borderId="13" xfId="0" applyNumberFormat="1" applyBorder="1"/>
    <xf numFmtId="2" fontId="50" fillId="0" borderId="32" xfId="0" applyNumberFormat="1" applyFont="1" applyBorder="1"/>
    <xf numFmtId="0" fontId="82" fillId="0" borderId="6" xfId="0" applyFont="1" applyBorder="1" applyAlignment="1">
      <alignment horizontal="left" vertical="center" wrapText="1"/>
    </xf>
    <xf numFmtId="0" fontId="82" fillId="0" borderId="7" xfId="0" applyFont="1" applyBorder="1" applyAlignment="1">
      <alignment horizontal="left" vertical="center"/>
    </xf>
    <xf numFmtId="9" fontId="5" fillId="0" borderId="2" xfId="7" applyFont="1" applyBorder="1" applyAlignment="1">
      <alignment horizontal="right" vertical="center"/>
    </xf>
    <xf numFmtId="183" fontId="0" fillId="0" borderId="11" xfId="0" applyNumberFormat="1" applyBorder="1" applyAlignment="1">
      <alignment horizontal="center"/>
    </xf>
    <xf numFmtId="183" fontId="0" fillId="0" borderId="13" xfId="0" applyNumberFormat="1" applyBorder="1" applyAlignment="1">
      <alignment horizontal="center"/>
    </xf>
    <xf numFmtId="2" fontId="0" fillId="0" borderId="13" xfId="11" applyNumberFormat="1" applyFont="1" applyFill="1" applyBorder="1" applyAlignment="1">
      <alignment horizontal="center"/>
    </xf>
    <xf numFmtId="177" fontId="0" fillId="0" borderId="13" xfId="11" applyNumberFormat="1" applyFont="1" applyBorder="1"/>
    <xf numFmtId="177" fontId="2" fillId="0" borderId="13" xfId="0" applyNumberFormat="1" applyFont="1" applyBorder="1" applyAlignment="1">
      <alignment horizontal="center"/>
    </xf>
    <xf numFmtId="10" fontId="0" fillId="0" borderId="2" xfId="7" applyNumberFormat="1" applyFont="1" applyBorder="1" applyAlignment="1">
      <alignment horizontal="right"/>
    </xf>
    <xf numFmtId="183" fontId="80" fillId="0" borderId="2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1" fontId="5" fillId="0" borderId="2" xfId="11" applyNumberFormat="1" applyFont="1" applyFill="1" applyBorder="1" applyAlignment="1">
      <alignment horizontal="right"/>
    </xf>
    <xf numFmtId="17" fontId="14" fillId="0" borderId="37" xfId="0" applyNumberFormat="1" applyFont="1" applyBorder="1"/>
    <xf numFmtId="177" fontId="2" fillId="0" borderId="38" xfId="11" applyNumberFormat="1" applyFont="1" applyFill="1" applyBorder="1" applyAlignment="1">
      <alignment horizontal="right"/>
    </xf>
    <xf numFmtId="1" fontId="5" fillId="0" borderId="2" xfId="0" applyNumberFormat="1" applyFont="1" applyBorder="1" applyAlignment="1">
      <alignment horizontal="right"/>
    </xf>
    <xf numFmtId="3" fontId="2" fillId="0" borderId="38" xfId="0" applyNumberFormat="1" applyFont="1" applyBorder="1"/>
    <xf numFmtId="17" fontId="13" fillId="0" borderId="12" xfId="0" applyNumberFormat="1" applyFont="1" applyBorder="1" applyAlignment="1">
      <alignment horizontal="center" vertical="center"/>
    </xf>
    <xf numFmtId="197" fontId="0" fillId="5" borderId="11" xfId="0" applyNumberFormat="1" applyFill="1" applyBorder="1" applyAlignment="1">
      <alignment horizontal="center" vertical="center"/>
    </xf>
    <xf numFmtId="197" fontId="0" fillId="0" borderId="11" xfId="0" applyNumberFormat="1" applyBorder="1" applyAlignment="1">
      <alignment horizontal="center" vertical="center" wrapText="1"/>
    </xf>
    <xf numFmtId="183" fontId="0" fillId="0" borderId="2" xfId="0" applyNumberFormat="1" applyBorder="1" applyAlignment="1">
      <alignment horizontal="center"/>
    </xf>
    <xf numFmtId="183" fontId="0" fillId="0" borderId="7" xfId="0" applyNumberFormat="1" applyBorder="1" applyAlignment="1">
      <alignment horizontal="center"/>
    </xf>
    <xf numFmtId="2" fontId="5" fillId="0" borderId="2" xfId="0" applyNumberFormat="1" applyFont="1" applyBorder="1"/>
    <xf numFmtId="49" fontId="0" fillId="0" borderId="2" xfId="0" applyNumberFormat="1" applyBorder="1" applyAlignment="1">
      <alignment horizontal="center"/>
    </xf>
    <xf numFmtId="49" fontId="43" fillId="4" borderId="2" xfId="0" applyNumberFormat="1" applyFont="1" applyFill="1" applyBorder="1" applyAlignment="1">
      <alignment vertical="center"/>
    </xf>
    <xf numFmtId="0" fontId="84" fillId="9" borderId="17" xfId="0" applyFont="1" applyFill="1" applyBorder="1" applyAlignment="1">
      <alignment horizontal="center" vertical="center"/>
    </xf>
    <xf numFmtId="0" fontId="85" fillId="0" borderId="18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0" fillId="0" borderId="0" xfId="0"/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/>
    </xf>
    <xf numFmtId="0" fontId="13" fillId="0" borderId="19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74" fillId="0" borderId="17" xfId="0" applyFont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11" xfId="0" applyFont="1" applyBorder="1" applyAlignment="1">
      <alignment horizontal="center"/>
    </xf>
    <xf numFmtId="3" fontId="0" fillId="0" borderId="2" xfId="11" applyNumberFormat="1" applyFont="1" applyBorder="1" applyAlignment="1">
      <alignment horizontal="center"/>
    </xf>
    <xf numFmtId="177" fontId="2" fillId="0" borderId="11" xfId="11" applyNumberFormat="1" applyFont="1" applyFill="1" applyBorder="1" applyAlignment="1">
      <alignment horizontal="center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 applyAlignment="1">
      <alignment horizontal="center"/>
    </xf>
    <xf numFmtId="0" fontId="76" fillId="0" borderId="17" xfId="0" applyFont="1" applyBorder="1" applyAlignment="1">
      <alignment horizontal="center" vertical="center"/>
    </xf>
    <xf numFmtId="0" fontId="76" fillId="0" borderId="18" xfId="0" applyFont="1" applyBorder="1" applyAlignment="1">
      <alignment horizontal="center" vertical="center"/>
    </xf>
    <xf numFmtId="0" fontId="76" fillId="0" borderId="14" xfId="0" applyFont="1" applyBorder="1" applyAlignment="1">
      <alignment horizontal="center" vertical="center"/>
    </xf>
    <xf numFmtId="9" fontId="0" fillId="0" borderId="17" xfId="4" applyNumberFormat="1" applyFont="1" applyBorder="1" applyAlignment="1">
      <alignment horizontal="center" vertical="center"/>
    </xf>
    <xf numFmtId="9" fontId="0" fillId="0" borderId="18" xfId="4" applyNumberFormat="1" applyFont="1" applyBorder="1" applyAlignment="1">
      <alignment horizontal="center" vertical="center"/>
    </xf>
    <xf numFmtId="9" fontId="0" fillId="0" borderId="14" xfId="4" applyNumberFormat="1" applyFont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0" fillId="0" borderId="17" xfId="4" applyNumberFormat="1" applyFont="1" applyBorder="1" applyAlignment="1">
      <alignment horizontal="center" vertical="center"/>
    </xf>
    <xf numFmtId="3" fontId="0" fillId="0" borderId="18" xfId="4" applyNumberFormat="1" applyFont="1" applyBorder="1" applyAlignment="1">
      <alignment horizontal="center" vertical="center"/>
    </xf>
    <xf numFmtId="3" fontId="0" fillId="0" borderId="14" xfId="4" applyNumberFormat="1" applyFont="1" applyBorder="1" applyAlignment="1">
      <alignment horizontal="center" vertical="center"/>
    </xf>
    <xf numFmtId="0" fontId="0" fillId="0" borderId="22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3" fontId="2" fillId="0" borderId="11" xfId="0" applyNumberFormat="1" applyFont="1" applyBorder="1" applyAlignment="1">
      <alignment horizontal="center"/>
    </xf>
    <xf numFmtId="0" fontId="74" fillId="0" borderId="14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/>
    </xf>
    <xf numFmtId="3" fontId="2" fillId="0" borderId="27" xfId="0" applyNumberFormat="1" applyFont="1" applyBorder="1" applyAlignment="1">
      <alignment horizontal="center"/>
    </xf>
    <xf numFmtId="3" fontId="2" fillId="0" borderId="39" xfId="0" applyNumberFormat="1" applyFont="1" applyBorder="1" applyAlignment="1">
      <alignment horizontal="center"/>
    </xf>
    <xf numFmtId="3" fontId="2" fillId="0" borderId="40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3" fontId="2" fillId="0" borderId="11" xfId="9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2" fillId="0" borderId="17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3" fontId="2" fillId="0" borderId="2" xfId="9" applyNumberFormat="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85" fontId="2" fillId="0" borderId="2" xfId="0" applyNumberFormat="1" applyFont="1" applyBorder="1" applyAlignment="1">
      <alignment horizontal="center"/>
    </xf>
    <xf numFmtId="4" fontId="2" fillId="0" borderId="9" xfId="9" applyNumberFormat="1" applyFont="1" applyBorder="1" applyAlignment="1">
      <alignment horizontal="center" vertical="center"/>
    </xf>
    <xf numFmtId="4" fontId="2" fillId="0" borderId="27" xfId="9" applyNumberFormat="1" applyFont="1" applyBorder="1" applyAlignment="1">
      <alignment horizontal="center" vertical="center"/>
    </xf>
    <xf numFmtId="191" fontId="2" fillId="0" borderId="2" xfId="9" applyNumberFormat="1" applyFont="1" applyBorder="1" applyAlignment="1">
      <alignment horizontal="center" vertical="center"/>
    </xf>
    <xf numFmtId="191" fontId="2" fillId="0" borderId="11" xfId="9" applyNumberFormat="1" applyFont="1" applyBorder="1" applyAlignment="1">
      <alignment horizontal="center" vertical="center"/>
    </xf>
    <xf numFmtId="0" fontId="5" fillId="0" borderId="17" xfId="9" applyFont="1" applyBorder="1" applyAlignment="1">
      <alignment horizontal="center" vertical="center"/>
    </xf>
    <xf numFmtId="0" fontId="5" fillId="0" borderId="18" xfId="9" applyFont="1" applyBorder="1" applyAlignment="1">
      <alignment horizontal="center" vertical="center"/>
    </xf>
    <xf numFmtId="0" fontId="5" fillId="0" borderId="14" xfId="9" applyFont="1" applyBorder="1" applyAlignment="1">
      <alignment horizontal="center" vertical="center"/>
    </xf>
    <xf numFmtId="0" fontId="0" fillId="0" borderId="2" xfId="9" applyFont="1" applyBorder="1" applyAlignment="1">
      <alignment horizontal="center" vertical="center" wrapText="1"/>
    </xf>
    <xf numFmtId="0" fontId="5" fillId="0" borderId="7" xfId="9" applyFont="1" applyBorder="1" applyAlignment="1">
      <alignment horizontal="center" vertical="center" wrapText="1"/>
    </xf>
    <xf numFmtId="0" fontId="5" fillId="0" borderId="2" xfId="9" applyFont="1" applyBorder="1" applyAlignment="1">
      <alignment horizontal="center" vertical="center"/>
    </xf>
    <xf numFmtId="0" fontId="5" fillId="0" borderId="7" xfId="9" applyFont="1" applyBorder="1" applyAlignment="1">
      <alignment horizontal="center" vertical="center"/>
    </xf>
    <xf numFmtId="0" fontId="5" fillId="0" borderId="25" xfId="9" applyFont="1" applyBorder="1" applyAlignment="1">
      <alignment horizontal="center" vertical="center"/>
    </xf>
    <xf numFmtId="0" fontId="5" fillId="0" borderId="26" xfId="9" applyFont="1" applyBorder="1" applyAlignment="1">
      <alignment horizontal="center" vertical="center"/>
    </xf>
    <xf numFmtId="0" fontId="0" fillId="0" borderId="11" xfId="9" applyFont="1" applyBorder="1" applyAlignment="1">
      <alignment horizontal="center" vertical="center" wrapText="1"/>
    </xf>
    <xf numFmtId="0" fontId="5" fillId="0" borderId="13" xfId="9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5" fillId="5" borderId="28" xfId="4" applyFont="1" applyFill="1" applyBorder="1" applyAlignment="1">
      <alignment horizontal="center" vertical="center" wrapText="1"/>
    </xf>
    <xf numFmtId="0" fontId="5" fillId="5" borderId="29" xfId="4" applyFont="1" applyFill="1" applyBorder="1" applyAlignment="1">
      <alignment horizontal="center" vertical="center" wrapText="1"/>
    </xf>
    <xf numFmtId="0" fontId="5" fillId="5" borderId="30" xfId="4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5" fillId="0" borderId="28" xfId="5" applyFont="1" applyBorder="1" applyAlignment="1">
      <alignment horizontal="center" vertical="center" wrapText="1"/>
    </xf>
    <xf numFmtId="0" fontId="5" fillId="0" borderId="29" xfId="5" applyFont="1" applyBorder="1" applyAlignment="1">
      <alignment horizontal="center" vertical="center" wrapText="1"/>
    </xf>
    <xf numFmtId="0" fontId="5" fillId="0" borderId="30" xfId="5" applyFont="1" applyBorder="1" applyAlignment="1">
      <alignment horizontal="center" vertical="center" wrapText="1"/>
    </xf>
    <xf numFmtId="0" fontId="0" fillId="0" borderId="17" xfId="5" applyFont="1" applyBorder="1" applyAlignment="1">
      <alignment horizontal="center" vertical="center"/>
    </xf>
    <xf numFmtId="0" fontId="0" fillId="0" borderId="18" xfId="5" applyFont="1" applyBorder="1" applyAlignment="1">
      <alignment horizontal="center" vertical="center"/>
    </xf>
    <xf numFmtId="0" fontId="0" fillId="0" borderId="14" xfId="5" applyFont="1" applyBorder="1" applyAlignment="1">
      <alignment horizontal="center" vertical="center"/>
    </xf>
    <xf numFmtId="0" fontId="0" fillId="0" borderId="2" xfId="5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 vertical="center"/>
    </xf>
    <xf numFmtId="0" fontId="5" fillId="0" borderId="7" xfId="5" applyFont="1" applyBorder="1" applyAlignment="1">
      <alignment horizontal="center" vertical="center"/>
    </xf>
    <xf numFmtId="0" fontId="5" fillId="0" borderId="13" xfId="5" applyFont="1" applyBorder="1" applyAlignment="1">
      <alignment horizontal="center" vertical="center"/>
    </xf>
    <xf numFmtId="3" fontId="2" fillId="0" borderId="2" xfId="11" applyNumberFormat="1" applyFont="1" applyFill="1" applyBorder="1" applyAlignment="1">
      <alignment horizontal="center" vertical="center"/>
    </xf>
    <xf numFmtId="3" fontId="2" fillId="0" borderId="11" xfId="5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0" fillId="0" borderId="17" xfId="5" applyFont="1" applyBorder="1" applyAlignment="1">
      <alignment horizontal="center" vertical="center" wrapText="1"/>
    </xf>
    <xf numFmtId="0" fontId="0" fillId="0" borderId="18" xfId="5" applyFont="1" applyBorder="1" applyAlignment="1">
      <alignment horizontal="center" vertical="center" wrapText="1"/>
    </xf>
    <xf numFmtId="0" fontId="0" fillId="0" borderId="14" xfId="5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5" fillId="0" borderId="31" xfId="0" applyFont="1" applyBorder="1" applyAlignment="1">
      <alignment horizontal="center" vertical="center" wrapText="1"/>
    </xf>
    <xf numFmtId="3" fontId="2" fillId="0" borderId="2" xfId="5" applyNumberFormat="1" applyFont="1" applyBorder="1" applyAlignment="1">
      <alignment horizontal="center" vertical="center"/>
    </xf>
    <xf numFmtId="3" fontId="2" fillId="0" borderId="9" xfId="5" applyNumberFormat="1" applyFont="1" applyBorder="1" applyAlignment="1">
      <alignment horizontal="center" vertical="center"/>
    </xf>
    <xf numFmtId="3" fontId="2" fillId="0" borderId="27" xfId="5" applyNumberFormat="1" applyFont="1" applyBorder="1" applyAlignment="1">
      <alignment horizontal="center" vertical="center"/>
    </xf>
    <xf numFmtId="3" fontId="2" fillId="0" borderId="21" xfId="5" applyNumberFormat="1" applyFont="1" applyBorder="1" applyAlignment="1">
      <alignment horizontal="center" vertical="center"/>
    </xf>
    <xf numFmtId="3" fontId="2" fillId="0" borderId="35" xfId="5" applyNumberFormat="1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38" fillId="8" borderId="17" xfId="0" applyFont="1" applyFill="1" applyBorder="1" applyAlignment="1">
      <alignment horizontal="center" vertical="center"/>
    </xf>
    <xf numFmtId="0" fontId="38" fillId="8" borderId="14" xfId="0" applyFont="1" applyFill="1" applyBorder="1" applyAlignment="1">
      <alignment horizontal="center" vertical="center"/>
    </xf>
    <xf numFmtId="0" fontId="38" fillId="8" borderId="17" xfId="0" applyFont="1" applyFill="1" applyBorder="1" applyAlignment="1">
      <alignment horizontal="center" vertical="center" wrapText="1"/>
    </xf>
    <xf numFmtId="0" fontId="38" fillId="8" borderId="14" xfId="0" applyFont="1" applyFill="1" applyBorder="1" applyAlignment="1">
      <alignment horizontal="center" vertical="center" wrapText="1"/>
    </xf>
    <xf numFmtId="0" fontId="70" fillId="0" borderId="8" xfId="0" applyFont="1" applyBorder="1" applyAlignment="1">
      <alignment horizontal="left" vertical="center"/>
    </xf>
    <xf numFmtId="0" fontId="39" fillId="6" borderId="9" xfId="0" applyFont="1" applyFill="1" applyBorder="1" applyAlignment="1">
      <alignment horizontal="center" vertical="center"/>
    </xf>
    <xf numFmtId="0" fontId="39" fillId="6" borderId="32" xfId="0" applyFont="1" applyFill="1" applyBorder="1" applyAlignment="1">
      <alignment horizontal="center" vertical="center"/>
    </xf>
    <xf numFmtId="0" fontId="39" fillId="6" borderId="27" xfId="0" applyFont="1" applyFill="1" applyBorder="1" applyAlignment="1">
      <alignment horizontal="center" vertical="center"/>
    </xf>
    <xf numFmtId="0" fontId="39" fillId="7" borderId="9" xfId="0" applyFont="1" applyFill="1" applyBorder="1" applyAlignment="1">
      <alignment horizontal="center" vertical="center"/>
    </xf>
    <xf numFmtId="0" fontId="39" fillId="7" borderId="32" xfId="0" applyFont="1" applyFill="1" applyBorder="1" applyAlignment="1">
      <alignment horizontal="center" vertical="center"/>
    </xf>
    <xf numFmtId="0" fontId="39" fillId="7" borderId="27" xfId="0" applyFont="1" applyFill="1" applyBorder="1" applyAlignment="1">
      <alignment horizontal="center" vertical="center"/>
    </xf>
    <xf numFmtId="0" fontId="43" fillId="5" borderId="2" xfId="0" applyFont="1" applyFill="1" applyBorder="1" applyAlignment="1">
      <alignment horizontal="left" vertical="center"/>
    </xf>
    <xf numFmtId="179" fontId="43" fillId="5" borderId="2" xfId="0" applyNumberFormat="1" applyFont="1" applyFill="1" applyBorder="1" applyAlignment="1">
      <alignment horizontal="left" vertical="center"/>
    </xf>
    <xf numFmtId="0" fontId="39" fillId="9" borderId="2" xfId="0" applyFont="1" applyFill="1" applyBorder="1" applyAlignment="1">
      <alignment horizontal="center" vertical="center"/>
    </xf>
    <xf numFmtId="187" fontId="37" fillId="0" borderId="2" xfId="0" applyNumberFormat="1" applyFont="1" applyBorder="1" applyAlignment="1">
      <alignment horizontal="left" vertical="center" wrapText="1"/>
    </xf>
    <xf numFmtId="0" fontId="37" fillId="0" borderId="2" xfId="0" applyFont="1" applyBorder="1" applyAlignment="1">
      <alignment horizontal="left" vertical="center" wrapText="1"/>
    </xf>
    <xf numFmtId="0" fontId="78" fillId="0" borderId="9" xfId="0" applyFont="1" applyBorder="1" applyAlignment="1">
      <alignment horizontal="center"/>
    </xf>
    <xf numFmtId="0" fontId="78" fillId="0" borderId="32" xfId="0" applyFont="1" applyBorder="1" applyAlignment="1">
      <alignment horizontal="center"/>
    </xf>
    <xf numFmtId="0" fontId="78" fillId="0" borderId="27" xfId="0" applyFont="1" applyBorder="1" applyAlignment="1">
      <alignment horizontal="center"/>
    </xf>
    <xf numFmtId="0" fontId="78" fillId="0" borderId="9" xfId="0" applyFont="1" applyBorder="1" applyAlignment="1">
      <alignment horizontal="left"/>
    </xf>
    <xf numFmtId="0" fontId="78" fillId="0" borderId="32" xfId="0" applyFont="1" applyBorder="1" applyAlignment="1">
      <alignment horizontal="left"/>
    </xf>
    <xf numFmtId="0" fontId="78" fillId="0" borderId="27" xfId="0" applyFont="1" applyBorder="1" applyAlignment="1">
      <alignment horizontal="left"/>
    </xf>
    <xf numFmtId="0" fontId="50" fillId="0" borderId="9" xfId="0" applyFont="1" applyBorder="1" applyAlignment="1">
      <alignment horizontal="center" vertical="center"/>
    </xf>
    <xf numFmtId="0" fontId="50" fillId="0" borderId="32" xfId="0" applyFont="1" applyBorder="1" applyAlignment="1">
      <alignment horizontal="center" vertical="center"/>
    </xf>
    <xf numFmtId="0" fontId="50" fillId="0" borderId="27" xfId="0" applyFont="1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50" fillId="0" borderId="14" xfId="0" applyFont="1" applyBorder="1" applyAlignment="1">
      <alignment horizontal="center" vertical="center"/>
    </xf>
    <xf numFmtId="0" fontId="78" fillId="0" borderId="14" xfId="0" applyFont="1" applyBorder="1" applyAlignment="1">
      <alignment horizontal="left"/>
    </xf>
    <xf numFmtId="0" fontId="78" fillId="0" borderId="2" xfId="0" applyFont="1" applyBorder="1" applyAlignment="1">
      <alignment horizontal="left"/>
    </xf>
    <xf numFmtId="0" fontId="50" fillId="0" borderId="2" xfId="0" applyFont="1" applyBorder="1" applyAlignment="1">
      <alignment horizontal="center" vertical="center"/>
    </xf>
  </cellXfs>
  <cellStyles count="16">
    <cellStyle name="Euro" xfId="1" xr:uid="{00000000-0005-0000-0000-000000000000}"/>
    <cellStyle name="Euro 2" xfId="12" xr:uid="{C259F047-3C67-47A7-B252-9651FC448850}"/>
    <cellStyle name="Normal 2" xfId="2" xr:uid="{00000000-0005-0000-0000-000001000000}"/>
    <cellStyle name="Normal_AMIGO AGRO (HOGS INVTY 06)" xfId="3" xr:uid="{00000000-0005-0000-0000-000002000000}"/>
    <cellStyle name="Normal_Sheet2" xfId="4" xr:uid="{00000000-0005-0000-0000-000003000000}"/>
    <cellStyle name="Normal_Sheet3" xfId="5" xr:uid="{00000000-0005-0000-0000-000004000000}"/>
    <cellStyle name="Percent 2" xfId="6" xr:uid="{00000000-0005-0000-0000-000005000000}"/>
    <cellStyle name="Percent 2 2" xfId="13" xr:uid="{42D92884-2C19-4172-B176-2FCA700A914F}"/>
    <cellStyle name="百分比" xfId="7" builtinId="5"/>
    <cellStyle name="常规" xfId="0" builtinId="0"/>
    <cellStyle name="常规 2" xfId="15" xr:uid="{384F3D66-1168-4834-8905-CA8F49A10FED}"/>
    <cellStyle name="常规_Sheet2" xfId="8" xr:uid="{00000000-0005-0000-0000-000008000000}"/>
    <cellStyle name="常规_范霍夫数－计算结果" xfId="9" xr:uid="{00000000-0005-0000-0000-000009000000}"/>
    <cellStyle name="超链接" xfId="10" builtinId="8"/>
    <cellStyle name="千位分隔" xfId="11" builtinId="3"/>
    <cellStyle name="千位分隔 2" xfId="14" xr:uid="{B99733F4-1BD8-4FB5-979A-A57B34998D56}"/>
  </cellStyles>
  <dxfs count="1">
    <dxf>
      <font>
        <strike val="0"/>
      </font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3" Type="http://schemas.openxmlformats.org/officeDocument/2006/relationships/image" Target="../media/image11.png"/><Relationship Id="rId7" Type="http://schemas.openxmlformats.org/officeDocument/2006/relationships/image" Target="../media/image15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image" Target="../media/image14.png"/><Relationship Id="rId5" Type="http://schemas.openxmlformats.org/officeDocument/2006/relationships/image" Target="../media/image13.png"/><Relationship Id="rId4" Type="http://schemas.openxmlformats.org/officeDocument/2006/relationships/image" Target="../media/image12.png"/><Relationship Id="rId9" Type="http://schemas.openxmlformats.org/officeDocument/2006/relationships/image" Target="../media/image17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../media/image19.png"/><Relationship Id="rId1" Type="http://schemas.openxmlformats.org/officeDocument/2006/relationships/image" Target="../media/image18.png"/><Relationship Id="rId4" Type="http://schemas.openxmlformats.org/officeDocument/2006/relationships/image" Target="../media/image2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0</xdr:colOff>
      <xdr:row>3</xdr:row>
      <xdr:rowOff>25400</xdr:rowOff>
    </xdr:to>
    <xdr:pic>
      <xdr:nvPicPr>
        <xdr:cNvPr id="77382" name="Picture 3">
          <a:extLst>
            <a:ext uri="{FF2B5EF4-FFF2-40B4-BE49-F238E27FC236}">
              <a16:creationId xmlns:a16="http://schemas.microsoft.com/office/drawing/2014/main" id="{AA46EAA2-61F1-457D-ACAB-D3BF5E102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2889250" cy="412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3</xdr:row>
      <xdr:rowOff>38100</xdr:rowOff>
    </xdr:from>
    <xdr:to>
      <xdr:col>3</xdr:col>
      <xdr:colOff>63500</xdr:colOff>
      <xdr:row>6</xdr:row>
      <xdr:rowOff>139700</xdr:rowOff>
    </xdr:to>
    <xdr:pic>
      <xdr:nvPicPr>
        <xdr:cNvPr id="77383" name="图片 1">
          <a:extLst>
            <a:ext uri="{FF2B5EF4-FFF2-40B4-BE49-F238E27FC236}">
              <a16:creationId xmlns:a16="http://schemas.microsoft.com/office/drawing/2014/main" id="{A9CC20F7-B996-4F07-A0E4-4F2B95F20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638175"/>
          <a:ext cx="211455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1143000</xdr:colOff>
      <xdr:row>2</xdr:row>
      <xdr:rowOff>400050</xdr:rowOff>
    </xdr:from>
    <xdr:to>
      <xdr:col>4</xdr:col>
      <xdr:colOff>3604895</xdr:colOff>
      <xdr:row>7</xdr:row>
      <xdr:rowOff>63500</xdr:rowOff>
    </xdr:to>
    <xdr:pic>
      <xdr:nvPicPr>
        <xdr:cNvPr id="77384" name="Picture 4">
          <a:extLst>
            <a:ext uri="{FF2B5EF4-FFF2-40B4-BE49-F238E27FC236}">
              <a16:creationId xmlns:a16="http://schemas.microsoft.com/office/drawing/2014/main" id="{B52CA2E7-8777-478E-A9B9-D10E1038A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92700" y="590550"/>
          <a:ext cx="4660900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90</xdr:row>
      <xdr:rowOff>0</xdr:rowOff>
    </xdr:from>
    <xdr:to>
      <xdr:col>3</xdr:col>
      <xdr:colOff>863600</xdr:colOff>
      <xdr:row>92</xdr:row>
      <xdr:rowOff>62865</xdr:rowOff>
    </xdr:to>
    <xdr:pic>
      <xdr:nvPicPr>
        <xdr:cNvPr id="77385" name="图片 3">
          <a:extLst>
            <a:ext uri="{FF2B5EF4-FFF2-40B4-BE49-F238E27FC236}">
              <a16:creationId xmlns:a16="http://schemas.microsoft.com/office/drawing/2014/main" id="{5E34BCAC-0B7A-4940-B9B2-66658E34E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725650"/>
          <a:ext cx="48069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1638300</xdr:colOff>
      <xdr:row>93</xdr:row>
      <xdr:rowOff>9525</xdr:rowOff>
    </xdr:from>
    <xdr:to>
      <xdr:col>3</xdr:col>
      <xdr:colOff>2004695</xdr:colOff>
      <xdr:row>95</xdr:row>
      <xdr:rowOff>100965</xdr:rowOff>
    </xdr:to>
    <xdr:pic>
      <xdr:nvPicPr>
        <xdr:cNvPr id="77386" name="图片 4">
          <a:extLst>
            <a:ext uri="{FF2B5EF4-FFF2-40B4-BE49-F238E27FC236}">
              <a16:creationId xmlns:a16="http://schemas.microsoft.com/office/drawing/2014/main" id="{1326E91D-B73D-41FB-9B0B-5459D8BAB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00" y="16973550"/>
          <a:ext cx="43148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1771650</xdr:colOff>
      <xdr:row>95</xdr:row>
      <xdr:rowOff>95250</xdr:rowOff>
    </xdr:from>
    <xdr:to>
      <xdr:col>3</xdr:col>
      <xdr:colOff>673100</xdr:colOff>
      <xdr:row>98</xdr:row>
      <xdr:rowOff>101600</xdr:rowOff>
    </xdr:to>
    <xdr:pic>
      <xdr:nvPicPr>
        <xdr:cNvPr id="77387" name="Picture 5">
          <a:extLst>
            <a:ext uri="{FF2B5EF4-FFF2-40B4-BE49-F238E27FC236}">
              <a16:creationId xmlns:a16="http://schemas.microsoft.com/office/drawing/2014/main" id="{5438E3D8-D74D-4D87-9452-FF9EDBC2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1650" y="17383125"/>
          <a:ext cx="2838450" cy="492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1866900</xdr:colOff>
      <xdr:row>95</xdr:row>
      <xdr:rowOff>9525</xdr:rowOff>
    </xdr:from>
    <xdr:to>
      <xdr:col>4</xdr:col>
      <xdr:colOff>3278061</xdr:colOff>
      <xdr:row>97</xdr:row>
      <xdr:rowOff>99695</xdr:rowOff>
    </xdr:to>
    <xdr:pic>
      <xdr:nvPicPr>
        <xdr:cNvPr id="77388" name="Picture 6">
          <a:extLst>
            <a:ext uri="{FF2B5EF4-FFF2-40B4-BE49-F238E27FC236}">
              <a16:creationId xmlns:a16="http://schemas.microsoft.com/office/drawing/2014/main" id="{3D63557B-D2CF-4503-AA6C-1BF4F295C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17297400"/>
          <a:ext cx="3611436" cy="419100"/>
        </a:xfrm>
        <a:prstGeom prst="rect">
          <a:avLst/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176</xdr:row>
      <xdr:rowOff>0</xdr:rowOff>
    </xdr:from>
    <xdr:to>
      <xdr:col>4</xdr:col>
      <xdr:colOff>0</xdr:colOff>
      <xdr:row>178</xdr:row>
      <xdr:rowOff>23495</xdr:rowOff>
    </xdr:to>
    <xdr:pic>
      <xdr:nvPicPr>
        <xdr:cNvPr id="77389" name="图片 5">
          <a:extLst>
            <a:ext uri="{FF2B5EF4-FFF2-40B4-BE49-F238E27FC236}">
              <a16:creationId xmlns:a16="http://schemas.microsoft.com/office/drawing/2014/main" id="{CDF402F3-EBDB-4FD7-928C-515499A35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362150"/>
          <a:ext cx="43180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768350</xdr:colOff>
      <xdr:row>1</xdr:row>
      <xdr:rowOff>120650</xdr:rowOff>
    </xdr:from>
    <xdr:to>
      <xdr:col>2</xdr:col>
      <xdr:colOff>748030</xdr:colOff>
      <xdr:row>5</xdr:row>
      <xdr:rowOff>0</xdr:rowOff>
    </xdr:to>
    <xdr:pic>
      <xdr:nvPicPr>
        <xdr:cNvPr id="76693" name="图片 3">
          <a:extLst>
            <a:ext uri="{FF2B5EF4-FFF2-40B4-BE49-F238E27FC236}">
              <a16:creationId xmlns:a16="http://schemas.microsoft.com/office/drawing/2014/main" id="{E225E8B4-60FB-4BB7-8798-140683B75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350" y="317500"/>
          <a:ext cx="3886200" cy="52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1060450</xdr:colOff>
      <xdr:row>6</xdr:row>
      <xdr:rowOff>222250</xdr:rowOff>
    </xdr:from>
    <xdr:to>
      <xdr:col>3</xdr:col>
      <xdr:colOff>0</xdr:colOff>
      <xdr:row>10</xdr:row>
      <xdr:rowOff>0</xdr:rowOff>
    </xdr:to>
    <xdr:pic>
      <xdr:nvPicPr>
        <xdr:cNvPr id="76694" name="图片 4">
          <a:extLst>
            <a:ext uri="{FF2B5EF4-FFF2-40B4-BE49-F238E27FC236}">
              <a16:creationId xmlns:a16="http://schemas.microsoft.com/office/drawing/2014/main" id="{ED8BC111-E295-4639-A868-52C2282E3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0450" y="1168400"/>
          <a:ext cx="4559300" cy="577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17781</xdr:colOff>
      <xdr:row>6</xdr:row>
      <xdr:rowOff>73660</xdr:rowOff>
    </xdr:from>
    <xdr:to>
      <xdr:col>4</xdr:col>
      <xdr:colOff>2426124</xdr:colOff>
      <xdr:row>9</xdr:row>
      <xdr:rowOff>139488</xdr:rowOff>
    </xdr:to>
    <xdr:pic>
      <xdr:nvPicPr>
        <xdr:cNvPr id="76695" name="图片 8">
          <a:extLst>
            <a:ext uri="{FF2B5EF4-FFF2-40B4-BE49-F238E27FC236}">
              <a16:creationId xmlns:a16="http://schemas.microsoft.com/office/drawing/2014/main" id="{E4B7E634-A1D3-4222-819C-4C88F066B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114" y="1089660"/>
          <a:ext cx="4342553" cy="6246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539750</xdr:colOff>
      <xdr:row>31</xdr:row>
      <xdr:rowOff>476250</xdr:rowOff>
    </xdr:from>
    <xdr:to>
      <xdr:col>3</xdr:col>
      <xdr:colOff>0</xdr:colOff>
      <xdr:row>34</xdr:row>
      <xdr:rowOff>0</xdr:rowOff>
    </xdr:to>
    <xdr:pic>
      <xdr:nvPicPr>
        <xdr:cNvPr id="76696" name="图片 5">
          <a:extLst>
            <a:ext uri="{FF2B5EF4-FFF2-40B4-BE49-F238E27FC236}">
              <a16:creationId xmlns:a16="http://schemas.microsoft.com/office/drawing/2014/main" id="{D721C603-905B-45D1-AD28-060A47E4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750" y="6280150"/>
          <a:ext cx="5080000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292100</xdr:colOff>
      <xdr:row>55</xdr:row>
      <xdr:rowOff>57150</xdr:rowOff>
    </xdr:from>
    <xdr:to>
      <xdr:col>3</xdr:col>
      <xdr:colOff>0</xdr:colOff>
      <xdr:row>60</xdr:row>
      <xdr:rowOff>0</xdr:rowOff>
    </xdr:to>
    <xdr:pic>
      <xdr:nvPicPr>
        <xdr:cNvPr id="76697" name="图片 1">
          <a:extLst>
            <a:ext uri="{FF2B5EF4-FFF2-40B4-BE49-F238E27FC236}">
              <a16:creationId xmlns:a16="http://schemas.microsoft.com/office/drawing/2014/main" id="{832DC113-CBCF-4200-8909-ADF7D2180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10452100"/>
          <a:ext cx="5327650" cy="768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381000</xdr:colOff>
      <xdr:row>85</xdr:row>
      <xdr:rowOff>82550</xdr:rowOff>
    </xdr:from>
    <xdr:to>
      <xdr:col>4</xdr:col>
      <xdr:colOff>0</xdr:colOff>
      <xdr:row>88</xdr:row>
      <xdr:rowOff>152400</xdr:rowOff>
    </xdr:to>
    <xdr:pic>
      <xdr:nvPicPr>
        <xdr:cNvPr id="76698" name="Picture 4">
          <a:extLst>
            <a:ext uri="{FF2B5EF4-FFF2-40B4-BE49-F238E27FC236}">
              <a16:creationId xmlns:a16="http://schemas.microsoft.com/office/drawing/2014/main" id="{288DC32C-21E6-455A-9C63-70043F36F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5690850"/>
          <a:ext cx="719455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1073150</xdr:colOff>
      <xdr:row>142</xdr:row>
      <xdr:rowOff>285750</xdr:rowOff>
    </xdr:from>
    <xdr:to>
      <xdr:col>3</xdr:col>
      <xdr:colOff>0</xdr:colOff>
      <xdr:row>146</xdr:row>
      <xdr:rowOff>0</xdr:rowOff>
    </xdr:to>
    <xdr:pic>
      <xdr:nvPicPr>
        <xdr:cNvPr id="76699" name="Picture 5">
          <a:extLst>
            <a:ext uri="{FF2B5EF4-FFF2-40B4-BE49-F238E27FC236}">
              <a16:creationId xmlns:a16="http://schemas.microsoft.com/office/drawing/2014/main" id="{7D4484A0-EF09-4ADC-9BD7-C9552A9CC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150" y="24676100"/>
          <a:ext cx="4546600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2571750</xdr:colOff>
      <xdr:row>146</xdr:row>
      <xdr:rowOff>171450</xdr:rowOff>
    </xdr:from>
    <xdr:to>
      <xdr:col>3</xdr:col>
      <xdr:colOff>0</xdr:colOff>
      <xdr:row>149</xdr:row>
      <xdr:rowOff>0</xdr:rowOff>
    </xdr:to>
    <xdr:pic>
      <xdr:nvPicPr>
        <xdr:cNvPr id="76700" name="Picture 6">
          <a:extLst>
            <a:ext uri="{FF2B5EF4-FFF2-40B4-BE49-F238E27FC236}">
              <a16:creationId xmlns:a16="http://schemas.microsoft.com/office/drawing/2014/main" id="{CC36CEEB-C7E6-40FE-8533-F9E87F5B7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25330150"/>
          <a:ext cx="316230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2260600</xdr:colOff>
      <xdr:row>225</xdr:row>
      <xdr:rowOff>50800</xdr:rowOff>
    </xdr:from>
    <xdr:to>
      <xdr:col>2</xdr:col>
      <xdr:colOff>1508125</xdr:colOff>
      <xdr:row>228</xdr:row>
      <xdr:rowOff>60325</xdr:rowOff>
    </xdr:to>
    <xdr:pic>
      <xdr:nvPicPr>
        <xdr:cNvPr id="76701" name="Picture 7">
          <a:extLst>
            <a:ext uri="{FF2B5EF4-FFF2-40B4-BE49-F238E27FC236}">
              <a16:creationId xmlns:a16="http://schemas.microsoft.com/office/drawing/2014/main" id="{BD0418A2-8703-4E45-B2A0-C7044B94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0600" y="37439600"/>
          <a:ext cx="3162300" cy="501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1308100</xdr:colOff>
      <xdr:row>0</xdr:row>
      <xdr:rowOff>342900</xdr:rowOff>
    </xdr:from>
    <xdr:to>
      <xdr:col>2</xdr:col>
      <xdr:colOff>0</xdr:colOff>
      <xdr:row>3</xdr:row>
      <xdr:rowOff>0</xdr:rowOff>
    </xdr:to>
    <xdr:pic>
      <xdr:nvPicPr>
        <xdr:cNvPr id="78095" name="Picture 1">
          <a:extLst>
            <a:ext uri="{FF2B5EF4-FFF2-40B4-BE49-F238E27FC236}">
              <a16:creationId xmlns:a16="http://schemas.microsoft.com/office/drawing/2014/main" id="{B8B36D09-1CAF-45FE-BDD2-AE0160039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8100" y="196850"/>
          <a:ext cx="301625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1813560</xdr:colOff>
      <xdr:row>5</xdr:row>
      <xdr:rowOff>0</xdr:rowOff>
    </xdr:from>
    <xdr:to>
      <xdr:col>4</xdr:col>
      <xdr:colOff>0</xdr:colOff>
      <xdr:row>19</xdr:row>
      <xdr:rowOff>0</xdr:rowOff>
    </xdr:to>
    <xdr:pic>
      <xdr:nvPicPr>
        <xdr:cNvPr id="78096" name="Picture 2">
          <a:extLst>
            <a:ext uri="{FF2B5EF4-FFF2-40B4-BE49-F238E27FC236}">
              <a16:creationId xmlns:a16="http://schemas.microsoft.com/office/drawing/2014/main" id="{399A622F-05E3-425A-9A24-5C2B6E708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3560" y="861060"/>
          <a:ext cx="5173980" cy="2346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1555750</xdr:colOff>
      <xdr:row>99</xdr:row>
      <xdr:rowOff>88900</xdr:rowOff>
    </xdr:from>
    <xdr:to>
      <xdr:col>3</xdr:col>
      <xdr:colOff>1357630</xdr:colOff>
      <xdr:row>114</xdr:row>
      <xdr:rowOff>63500</xdr:rowOff>
    </xdr:to>
    <xdr:pic>
      <xdr:nvPicPr>
        <xdr:cNvPr id="78097" name="Picture 4">
          <a:extLst>
            <a:ext uri="{FF2B5EF4-FFF2-40B4-BE49-F238E27FC236}">
              <a16:creationId xmlns:a16="http://schemas.microsoft.com/office/drawing/2014/main" id="{ADA8F9CB-92EC-4105-9843-03F9DDEBA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750" y="16154400"/>
          <a:ext cx="5359400" cy="243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819150</xdr:colOff>
      <xdr:row>198</xdr:row>
      <xdr:rowOff>31750</xdr:rowOff>
    </xdr:from>
    <xdr:to>
      <xdr:col>4</xdr:col>
      <xdr:colOff>786130</xdr:colOff>
      <xdr:row>206</xdr:row>
      <xdr:rowOff>63500</xdr:rowOff>
    </xdr:to>
    <xdr:pic>
      <xdr:nvPicPr>
        <xdr:cNvPr id="78098" name="Picture 3">
          <a:extLst>
            <a:ext uri="{FF2B5EF4-FFF2-40B4-BE49-F238E27FC236}">
              <a16:creationId xmlns:a16="http://schemas.microsoft.com/office/drawing/2014/main" id="{DC9FDB8E-F5F4-4024-B4FC-35624A29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31826200"/>
          <a:ext cx="6946900" cy="128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69850</xdr:colOff>
      <xdr:row>2</xdr:row>
      <xdr:rowOff>158750</xdr:rowOff>
    </xdr:from>
    <xdr:to>
      <xdr:col>11</xdr:col>
      <xdr:colOff>25400</xdr:colOff>
      <xdr:row>2</xdr:row>
      <xdr:rowOff>291465</xdr:rowOff>
    </xdr:to>
    <xdr:pic>
      <xdr:nvPicPr>
        <xdr:cNvPr id="31523" name="图片 6">
          <a:extLst>
            <a:ext uri="{FF2B5EF4-FFF2-40B4-BE49-F238E27FC236}">
              <a16:creationId xmlns:a16="http://schemas.microsoft.com/office/drawing/2014/main" id="{5AB7AEF4-B943-4906-8347-A0066286A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37525" y="796925"/>
          <a:ext cx="850900" cy="117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19</xdr:col>
      <xdr:colOff>0</xdr:colOff>
      <xdr:row>2</xdr:row>
      <xdr:rowOff>209550</xdr:rowOff>
    </xdr:from>
    <xdr:to>
      <xdr:col>20</xdr:col>
      <xdr:colOff>99060</xdr:colOff>
      <xdr:row>2</xdr:row>
      <xdr:rowOff>327025</xdr:rowOff>
    </xdr:to>
    <xdr:pic>
      <xdr:nvPicPr>
        <xdr:cNvPr id="2" name="图片 6">
          <a:extLst>
            <a:ext uri="{FF2B5EF4-FFF2-40B4-BE49-F238E27FC236}">
              <a16:creationId xmlns:a16="http://schemas.microsoft.com/office/drawing/2014/main" id="{3E9CD801-B7EA-4540-9CE2-3FFD0BE3A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49400" y="847725"/>
          <a:ext cx="850900" cy="117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0</xdr:colOff>
      <xdr:row>2</xdr:row>
      <xdr:rowOff>0</xdr:rowOff>
    </xdr:from>
    <xdr:to>
      <xdr:col>29</xdr:col>
      <xdr:colOff>175260</xdr:colOff>
      <xdr:row>2</xdr:row>
      <xdr:rowOff>304800</xdr:rowOff>
    </xdr:to>
    <xdr:pic>
      <xdr:nvPicPr>
        <xdr:cNvPr id="3" name="图片 6">
          <a:extLst>
            <a:ext uri="{FF2B5EF4-FFF2-40B4-BE49-F238E27FC236}">
              <a16:creationId xmlns:a16="http://schemas.microsoft.com/office/drawing/2014/main" id="{F7F721C3-93B5-4AC2-B350-DBD5FAAEC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59625" y="638175"/>
          <a:ext cx="850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37</xdr:col>
      <xdr:colOff>0</xdr:colOff>
      <xdr:row>2</xdr:row>
      <xdr:rowOff>200025</xdr:rowOff>
    </xdr:from>
    <xdr:to>
      <xdr:col>38</xdr:col>
      <xdr:colOff>288925</xdr:colOff>
      <xdr:row>2</xdr:row>
      <xdr:rowOff>327660</xdr:rowOff>
    </xdr:to>
    <xdr:pic>
      <xdr:nvPicPr>
        <xdr:cNvPr id="4" name="图片 6">
          <a:extLst>
            <a:ext uri="{FF2B5EF4-FFF2-40B4-BE49-F238E27FC236}">
              <a16:creationId xmlns:a16="http://schemas.microsoft.com/office/drawing/2014/main" id="{87B5EFFB-7229-4867-B701-D54A9761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07950" y="838200"/>
          <a:ext cx="850900" cy="117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676274</xdr:colOff>
      <xdr:row>2</xdr:row>
      <xdr:rowOff>28574</xdr:rowOff>
    </xdr:from>
    <xdr:to>
      <xdr:col>47</xdr:col>
      <xdr:colOff>215476</xdr:colOff>
      <xdr:row>2</xdr:row>
      <xdr:rowOff>304799</xdr:rowOff>
    </xdr:to>
    <xdr:pic>
      <xdr:nvPicPr>
        <xdr:cNvPr id="5" name="图片 6">
          <a:extLst>
            <a:ext uri="{FF2B5EF4-FFF2-40B4-BE49-F238E27FC236}">
              <a16:creationId xmlns:a16="http://schemas.microsoft.com/office/drawing/2014/main" id="{19CD4E2A-94DD-43B8-BC32-62E7E9812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80049" y="666749"/>
          <a:ext cx="822537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8034;&#28113;&#20848;\&#21442;&#32771;&#39033;&#30446;\&#20859;&#27542;&#22330;&#39033;&#30446;\3716\ER%20Calculation_Deqingyuan_37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8034;&#28113;&#20848;/&#21442;&#32771;&#39033;&#30446;/&#20859;&#27542;&#22330;&#39033;&#30446;/3716/ER%20Calculation_Deqingyuan_37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8034;&#28113;&#20848;\&#20859;&#27542;&#22330;\&#27491;&#37030;\02%20ji'an-GS11238\3.%20Validation\MR\2nd\1st%20ER%20-%20Zhengbang%20Ji'an%20AMMS%20Project-V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asic data"/>
      <sheetName val="ER"/>
      <sheetName val="Sheet1"/>
      <sheetName val="Sheet2"/>
      <sheetName val="Sheet3"/>
      <sheetName val="Sheet4"/>
      <sheetName val="Sheet5"/>
      <sheetName val="Sheet6"/>
      <sheetName val="Sheet7"/>
      <sheetName val="Wsite"/>
      <sheetName val="Electricity"/>
      <sheetName val="Biogas"/>
      <sheetName val="Temperature"/>
    </sheetNames>
    <sheetDataSet>
      <sheetData sheetId="0"/>
      <sheetData sheetId="1"/>
      <sheetData sheetId="2">
        <row r="1">
          <cell r="B1">
            <v>32861</v>
          </cell>
        </row>
        <row r="2">
          <cell r="B2">
            <v>54261</v>
          </cell>
        </row>
        <row r="8">
          <cell r="B8">
            <v>12282.917114928456</v>
          </cell>
        </row>
        <row r="17">
          <cell r="B17">
            <v>9116.4939179598041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asic data"/>
      <sheetName val="ER"/>
      <sheetName val="Sheet1"/>
      <sheetName val="Sheet2"/>
      <sheetName val="Sheet3"/>
      <sheetName val="Sheet4"/>
      <sheetName val="Sheet5"/>
      <sheetName val="Sheet6"/>
      <sheetName val="Sheet7"/>
      <sheetName val="Wsite"/>
      <sheetName val="Electricity"/>
      <sheetName val="Biogas"/>
      <sheetName val="Temperature"/>
    </sheetNames>
    <sheetDataSet>
      <sheetData sheetId="0"/>
      <sheetData sheetId="1"/>
      <sheetData sheetId="2">
        <row r="1">
          <cell r="B1">
            <v>32861</v>
          </cell>
        </row>
        <row r="2">
          <cell r="B2">
            <v>54261</v>
          </cell>
        </row>
        <row r="8">
          <cell r="B8">
            <v>12282.917114928456</v>
          </cell>
        </row>
        <row r="17">
          <cell r="B17">
            <v>9116.4939179598041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SDG Outcomes"/>
      <sheetName val="Baseline Emission"/>
      <sheetName val="Project Emission"/>
      <sheetName val="Leakage"/>
      <sheetName val="monitoring results"/>
      <sheetName val="Reliability Check"/>
      <sheetName val="2020-10"/>
      <sheetName val="2020-11"/>
      <sheetName val="2020-12"/>
      <sheetName val="2021-1"/>
      <sheetName val="2021-2"/>
      <sheetName val="2021-3"/>
      <sheetName val="2021-4"/>
      <sheetName val="2021-5"/>
      <sheetName val="2021-6"/>
      <sheetName val="2021-7"/>
    </sheetNames>
    <sheetDataSet>
      <sheetData sheetId="0" refreshError="1"/>
      <sheetData sheetId="1" refreshError="1"/>
      <sheetData sheetId="2" refreshError="1">
        <row r="10">
          <cell r="B10" t="str">
            <v>Market Swine</v>
          </cell>
          <cell r="C10" t="str">
            <v>Breeding Swine</v>
          </cell>
        </row>
        <row r="13">
          <cell r="B13">
            <v>6.7000000000000002E-4</v>
          </cell>
          <cell r="C13">
            <v>6.7000000000000002E-4</v>
          </cell>
        </row>
        <row r="17">
          <cell r="B17">
            <v>0.28999999999999998</v>
          </cell>
          <cell r="C17">
            <v>0.28999999999999998</v>
          </cell>
        </row>
        <row r="18">
          <cell r="D18" t="str">
            <v>No of heads</v>
          </cell>
        </row>
      </sheetData>
      <sheetData sheetId="3" refreshError="1">
        <row r="195">
          <cell r="B195" t="str">
            <v>Market Swine</v>
          </cell>
          <cell r="C195" t="str">
            <v>Breeding Swine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zoomScale="70" zoomScaleNormal="70" workbookViewId="0">
      <selection activeCell="E5" sqref="E5"/>
    </sheetView>
  </sheetViews>
  <sheetFormatPr defaultColWidth="8.81640625" defaultRowHeight="13" x14ac:dyDescent="0.3"/>
  <cols>
    <col min="1" max="1" width="9.1796875" style="270" customWidth="1"/>
    <col min="2" max="2" width="52.1796875" style="270" customWidth="1"/>
    <col min="3" max="3" width="48" style="270" customWidth="1"/>
    <col min="4" max="4" width="8.81640625" style="270"/>
    <col min="5" max="5" width="9.81640625" style="270" customWidth="1"/>
    <col min="6" max="6" width="9.81640625" style="270" bestFit="1" customWidth="1"/>
    <col min="7" max="7" width="8.81640625" style="270"/>
    <col min="8" max="8" width="12.453125" style="270" bestFit="1" customWidth="1"/>
    <col min="9" max="16384" width="8.81640625" style="270"/>
  </cols>
  <sheetData>
    <row r="1" spans="1:8" x14ac:dyDescent="0.3">
      <c r="A1" s="275"/>
      <c r="B1" s="276"/>
      <c r="C1" s="276"/>
      <c r="D1" s="276"/>
      <c r="E1" s="276"/>
      <c r="F1" s="276"/>
    </row>
    <row r="2" spans="1:8" x14ac:dyDescent="0.3">
      <c r="A2" s="275"/>
      <c r="B2" s="277"/>
      <c r="C2" s="277"/>
      <c r="D2" s="277"/>
      <c r="E2" s="276"/>
      <c r="F2" s="276"/>
    </row>
    <row r="3" spans="1:8" x14ac:dyDescent="0.3">
      <c r="A3" s="275"/>
      <c r="B3" s="277"/>
      <c r="C3" s="277"/>
      <c r="D3" s="277"/>
      <c r="E3" s="276"/>
      <c r="F3" s="276"/>
    </row>
    <row r="4" spans="1:8" ht="13.5" thickBot="1" x14ac:dyDescent="0.35">
      <c r="A4" s="275"/>
      <c r="B4" s="278"/>
      <c r="C4" s="277"/>
      <c r="D4" s="277"/>
      <c r="E4" s="276"/>
      <c r="F4" s="276"/>
    </row>
    <row r="5" spans="1:8" ht="48" customHeight="1" x14ac:dyDescent="0.3">
      <c r="A5" s="275"/>
      <c r="B5" s="279" t="s">
        <v>106</v>
      </c>
      <c r="C5" s="374" t="s">
        <v>365</v>
      </c>
      <c r="D5" s="277"/>
      <c r="E5" s="276"/>
      <c r="F5" s="276"/>
    </row>
    <row r="6" spans="1:8" ht="31" customHeight="1" x14ac:dyDescent="0.3">
      <c r="A6" s="275"/>
      <c r="B6" s="280" t="s">
        <v>107</v>
      </c>
      <c r="C6" s="375" t="s">
        <v>348</v>
      </c>
      <c r="D6" s="277"/>
      <c r="E6" s="276"/>
      <c r="F6" s="276"/>
    </row>
    <row r="7" spans="1:8" ht="23.5" customHeight="1" x14ac:dyDescent="0.3">
      <c r="A7" s="275"/>
      <c r="B7" s="280" t="s">
        <v>108</v>
      </c>
      <c r="C7" s="294">
        <v>1</v>
      </c>
      <c r="D7" s="277"/>
      <c r="E7" s="276"/>
      <c r="F7" s="276"/>
    </row>
    <row r="8" spans="1:8" ht="18.75" customHeight="1" x14ac:dyDescent="0.3">
      <c r="A8" s="281"/>
      <c r="B8" s="280" t="s">
        <v>109</v>
      </c>
      <c r="C8" s="375" t="s">
        <v>367</v>
      </c>
      <c r="D8" s="281"/>
      <c r="E8" s="281"/>
      <c r="F8" s="281"/>
    </row>
    <row r="9" spans="1:8" ht="59.25" customHeight="1" thickBot="1" x14ac:dyDescent="0.35">
      <c r="A9" s="281"/>
      <c r="B9" s="282" t="s">
        <v>322</v>
      </c>
      <c r="C9" s="283" t="s">
        <v>349</v>
      </c>
      <c r="D9" s="281"/>
      <c r="E9" s="284"/>
      <c r="F9" s="281"/>
    </row>
    <row r="10" spans="1:8" x14ac:dyDescent="0.3">
      <c r="C10" s="285"/>
    </row>
    <row r="12" spans="1:8" x14ac:dyDescent="0.3">
      <c r="F12" s="271"/>
      <c r="G12" s="272"/>
      <c r="H12" s="273"/>
    </row>
    <row r="13" spans="1:8" x14ac:dyDescent="0.3">
      <c r="D13" s="272"/>
      <c r="F13" s="271"/>
      <c r="G13" s="272"/>
    </row>
    <row r="15" spans="1:8" x14ac:dyDescent="0.3">
      <c r="F15" s="274"/>
    </row>
    <row r="23" spans="6:6" x14ac:dyDescent="0.3">
      <c r="F23" s="271"/>
    </row>
  </sheetData>
  <phoneticPr fontId="36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0E2C9-DC8D-4B89-860E-A98C12DA6109}">
  <dimension ref="A1:H165"/>
  <sheetViews>
    <sheetView topLeftCell="A95" zoomScale="60" zoomScaleNormal="60" workbookViewId="0">
      <selection activeCell="D120" sqref="D120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2022.02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24.8</v>
      </c>
      <c r="C6" s="322">
        <v>68.400000000000006</v>
      </c>
      <c r="D6" s="322">
        <v>83.7</v>
      </c>
      <c r="E6" s="322">
        <v>25.3</v>
      </c>
      <c r="F6" s="322">
        <v>90</v>
      </c>
      <c r="G6" s="322">
        <v>107.5</v>
      </c>
      <c r="H6" s="318"/>
    </row>
    <row r="7" spans="1:8" ht="14.5" x14ac:dyDescent="0.35">
      <c r="A7" s="320">
        <v>2</v>
      </c>
      <c r="B7" s="322">
        <v>29.1</v>
      </c>
      <c r="C7" s="322">
        <v>54.3</v>
      </c>
      <c r="D7" s="322">
        <v>81</v>
      </c>
      <c r="E7" s="322">
        <v>34.1</v>
      </c>
      <c r="F7" s="322">
        <v>67.900000000000006</v>
      </c>
      <c r="G7" s="322">
        <v>112.3</v>
      </c>
      <c r="H7" s="318"/>
    </row>
    <row r="8" spans="1:8" ht="14.5" x14ac:dyDescent="0.35">
      <c r="A8" s="320">
        <v>3</v>
      </c>
      <c r="B8" s="322">
        <v>22.9</v>
      </c>
      <c r="C8" s="322">
        <v>57.1</v>
      </c>
      <c r="D8" s="322">
        <v>85.9</v>
      </c>
      <c r="E8" s="322">
        <v>33.700000000000003</v>
      </c>
      <c r="F8" s="322">
        <v>62.5</v>
      </c>
      <c r="G8" s="322">
        <v>119.4</v>
      </c>
      <c r="H8" s="318"/>
    </row>
    <row r="9" spans="1:8" ht="14.5" x14ac:dyDescent="0.35">
      <c r="A9" s="320">
        <v>4</v>
      </c>
      <c r="B9" s="322">
        <v>38.299999999999997</v>
      </c>
      <c r="C9" s="322">
        <v>56.4</v>
      </c>
      <c r="D9" s="322">
        <v>96.5</v>
      </c>
      <c r="E9" s="322">
        <v>57.3</v>
      </c>
      <c r="F9" s="322">
        <v>78.3</v>
      </c>
      <c r="G9" s="322">
        <v>90.1</v>
      </c>
      <c r="H9" s="318"/>
    </row>
    <row r="10" spans="1:8" ht="14.5" x14ac:dyDescent="0.35">
      <c r="A10" s="320">
        <v>5</v>
      </c>
      <c r="B10" s="322">
        <v>24</v>
      </c>
      <c r="C10" s="322">
        <v>63.2</v>
      </c>
      <c r="D10" s="322">
        <v>88.9</v>
      </c>
      <c r="E10" s="322"/>
      <c r="F10" s="322">
        <v>78.400000000000006</v>
      </c>
      <c r="G10" s="322">
        <v>116.4</v>
      </c>
      <c r="H10" s="318"/>
    </row>
    <row r="11" spans="1:8" ht="14.5" x14ac:dyDescent="0.35">
      <c r="A11" s="320">
        <v>6</v>
      </c>
      <c r="B11" s="322">
        <v>37.1</v>
      </c>
      <c r="C11" s="322">
        <v>66.8</v>
      </c>
      <c r="D11" s="322">
        <v>95</v>
      </c>
      <c r="E11" s="322"/>
      <c r="F11" s="322">
        <v>64.099999999999994</v>
      </c>
      <c r="G11" s="322">
        <v>100.7</v>
      </c>
      <c r="H11" s="318"/>
    </row>
    <row r="12" spans="1:8" ht="14.5" x14ac:dyDescent="0.35">
      <c r="A12" s="320">
        <v>7</v>
      </c>
      <c r="B12" s="322">
        <v>21.2</v>
      </c>
      <c r="C12" s="322">
        <v>71.400000000000006</v>
      </c>
      <c r="D12" s="322">
        <v>92.3</v>
      </c>
      <c r="E12" s="322"/>
      <c r="F12" s="322"/>
      <c r="G12" s="322">
        <v>117.6</v>
      </c>
      <c r="H12" s="318"/>
    </row>
    <row r="13" spans="1:8" ht="14.5" x14ac:dyDescent="0.35">
      <c r="A13" s="320">
        <v>8</v>
      </c>
      <c r="B13" s="322">
        <v>36.799999999999997</v>
      </c>
      <c r="C13" s="322">
        <v>78.599999999999994</v>
      </c>
      <c r="D13" s="322">
        <v>93.9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37.700000000000003</v>
      </c>
      <c r="C14" s="322">
        <v>61.7</v>
      </c>
      <c r="D14" s="322">
        <v>91.6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30.9</v>
      </c>
      <c r="C15" s="322">
        <v>62.6</v>
      </c>
      <c r="D15" s="322">
        <v>92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29.3</v>
      </c>
      <c r="C16" s="322">
        <v>52.9</v>
      </c>
      <c r="D16" s="322">
        <v>82.6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34.700000000000003</v>
      </c>
      <c r="C17" s="322">
        <v>49.7</v>
      </c>
      <c r="D17" s="322">
        <v>90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30.3</v>
      </c>
      <c r="C18" s="322">
        <v>74</v>
      </c>
      <c r="D18" s="322">
        <v>91.4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37.700000000000003</v>
      </c>
      <c r="C19" s="322">
        <v>52.5</v>
      </c>
      <c r="D19" s="322">
        <v>83.5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25.4</v>
      </c>
      <c r="C20" s="322">
        <v>76</v>
      </c>
      <c r="D20" s="322">
        <v>96.6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29.6</v>
      </c>
      <c r="C21" s="322">
        <v>72.5</v>
      </c>
      <c r="D21" s="322">
        <v>89.2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37.4</v>
      </c>
      <c r="C22" s="322">
        <v>78.3</v>
      </c>
      <c r="D22" s="322">
        <v>83.8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35</v>
      </c>
      <c r="C23" s="322">
        <v>52.3</v>
      </c>
      <c r="D23" s="322">
        <v>97.5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38.9</v>
      </c>
      <c r="C24" s="322">
        <v>47.6</v>
      </c>
      <c r="D24" s="322">
        <v>80.599999999999994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40</v>
      </c>
      <c r="C25" s="322">
        <v>74</v>
      </c>
      <c r="D25" s="322">
        <v>89.7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37.799999999999997</v>
      </c>
      <c r="C26" s="322">
        <v>48.3</v>
      </c>
      <c r="D26" s="322">
        <v>83.2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41.4</v>
      </c>
      <c r="C27" s="322">
        <v>71.900000000000006</v>
      </c>
      <c r="D27" s="322">
        <v>91.7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21.2</v>
      </c>
      <c r="C28" s="322">
        <v>74.5</v>
      </c>
      <c r="D28" s="322">
        <v>98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40.4</v>
      </c>
      <c r="C29" s="322">
        <v>68.599999999999994</v>
      </c>
      <c r="D29" s="322">
        <v>94.7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26.2</v>
      </c>
      <c r="C30" s="322">
        <v>79.2</v>
      </c>
      <c r="D30" s="322">
        <v>83.2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35.200000000000003</v>
      </c>
      <c r="C31" s="322">
        <v>62.8</v>
      </c>
      <c r="D31" s="322">
        <v>88.7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29.2</v>
      </c>
      <c r="C32" s="322">
        <v>65.3</v>
      </c>
      <c r="D32" s="322">
        <v>95.4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36.1</v>
      </c>
      <c r="C33" s="322">
        <v>55.8</v>
      </c>
      <c r="D33" s="322">
        <v>93.2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42.5</v>
      </c>
      <c r="C34" s="322">
        <v>63.9</v>
      </c>
      <c r="D34" s="322">
        <v>95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36.200000000000003</v>
      </c>
      <c r="C35" s="322">
        <v>52.8</v>
      </c>
      <c r="D35" s="322">
        <v>97.9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21.4</v>
      </c>
      <c r="C36" s="322">
        <v>54.4</v>
      </c>
      <c r="D36" s="322">
        <v>96.7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43.1</v>
      </c>
      <c r="C37" s="322">
        <v>56.5</v>
      </c>
      <c r="D37" s="322">
        <v>96.7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21</v>
      </c>
      <c r="C38" s="322">
        <v>55.4</v>
      </c>
      <c r="D38" s="322">
        <v>82.5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27.4</v>
      </c>
      <c r="C39" s="322">
        <v>76.400000000000006</v>
      </c>
      <c r="D39" s="322">
        <v>89.1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33.700000000000003</v>
      </c>
      <c r="C40" s="322">
        <v>45.1</v>
      </c>
      <c r="D40" s="322">
        <v>91.5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25.2</v>
      </c>
      <c r="C41" s="322">
        <v>74.900000000000006</v>
      </c>
      <c r="D41" s="322">
        <v>94.7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22.3</v>
      </c>
      <c r="C42" s="322">
        <v>67.2</v>
      </c>
      <c r="D42" s="322">
        <v>83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24.6</v>
      </c>
      <c r="C43" s="322">
        <v>54.8</v>
      </c>
      <c r="D43" s="322">
        <v>82.2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62.4</v>
      </c>
      <c r="D44" s="322">
        <v>87.7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91.9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23.8</v>
      </c>
      <c r="C49" s="322">
        <v>77.3</v>
      </c>
      <c r="D49" s="322">
        <v>80.8</v>
      </c>
      <c r="E49" s="322">
        <v>42.5</v>
      </c>
      <c r="F49" s="322">
        <v>62</v>
      </c>
      <c r="G49" s="322">
        <v>106.1</v>
      </c>
      <c r="H49" s="318"/>
    </row>
    <row r="50" spans="1:8" ht="14.5" x14ac:dyDescent="0.35">
      <c r="A50" s="320">
        <v>2</v>
      </c>
      <c r="B50" s="322">
        <v>22.2</v>
      </c>
      <c r="C50" s="322">
        <v>53.5</v>
      </c>
      <c r="D50" s="322">
        <v>91</v>
      </c>
      <c r="E50" s="322">
        <v>46.7</v>
      </c>
      <c r="F50" s="322">
        <v>77.400000000000006</v>
      </c>
      <c r="G50" s="322">
        <v>101.2</v>
      </c>
      <c r="H50" s="318"/>
    </row>
    <row r="51" spans="1:8" ht="14.5" x14ac:dyDescent="0.35">
      <c r="A51" s="320">
        <v>3</v>
      </c>
      <c r="B51" s="322">
        <v>36.4</v>
      </c>
      <c r="C51" s="322">
        <v>60.2</v>
      </c>
      <c r="D51" s="322">
        <v>96.2</v>
      </c>
      <c r="E51" s="322"/>
      <c r="F51" s="322">
        <v>77.5</v>
      </c>
      <c r="G51" s="322">
        <v>118</v>
      </c>
      <c r="H51" s="318"/>
    </row>
    <row r="52" spans="1:8" ht="14.5" x14ac:dyDescent="0.35">
      <c r="A52" s="320">
        <v>4</v>
      </c>
      <c r="B52" s="322">
        <v>24.9</v>
      </c>
      <c r="C52" s="322">
        <v>55.4</v>
      </c>
      <c r="D52" s="322">
        <v>90.3</v>
      </c>
      <c r="E52" s="322"/>
      <c r="F52" s="322">
        <v>78.099999999999994</v>
      </c>
      <c r="G52" s="322">
        <v>90.3</v>
      </c>
      <c r="H52" s="318"/>
    </row>
    <row r="53" spans="1:8" ht="14.5" x14ac:dyDescent="0.35">
      <c r="A53" s="320">
        <v>5</v>
      </c>
      <c r="B53" s="322">
        <v>35.5</v>
      </c>
      <c r="C53" s="322">
        <v>48.5</v>
      </c>
      <c r="D53" s="322">
        <v>94.7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36.700000000000003</v>
      </c>
      <c r="C54" s="322">
        <v>47.9</v>
      </c>
      <c r="D54" s="322">
        <v>95.5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41</v>
      </c>
      <c r="C55" s="322">
        <v>46.9</v>
      </c>
      <c r="D55" s="322">
        <v>84.4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36.5</v>
      </c>
      <c r="C56" s="322">
        <v>63.2</v>
      </c>
      <c r="D56" s="322">
        <v>84.1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24.7</v>
      </c>
      <c r="C57" s="322">
        <v>71.400000000000006</v>
      </c>
      <c r="D57" s="322">
        <v>93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20.8</v>
      </c>
      <c r="C58" s="322">
        <v>78.8</v>
      </c>
      <c r="D58" s="322">
        <v>85.9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33.9</v>
      </c>
      <c r="C59" s="322">
        <v>56.9</v>
      </c>
      <c r="D59" s="322">
        <v>80.8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40</v>
      </c>
      <c r="C60" s="322">
        <v>77</v>
      </c>
      <c r="D60" s="322">
        <v>80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40.200000000000003</v>
      </c>
      <c r="C61" s="322">
        <v>51.1</v>
      </c>
      <c r="D61" s="322">
        <v>83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41.8</v>
      </c>
      <c r="C62" s="322">
        <v>57.9</v>
      </c>
      <c r="D62" s="322">
        <v>91.7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40.5</v>
      </c>
      <c r="C63" s="322">
        <v>58.8</v>
      </c>
      <c r="D63" s="322">
        <v>96.3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36.1</v>
      </c>
      <c r="C64" s="322">
        <v>54.3</v>
      </c>
      <c r="D64" s="322">
        <v>94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35.700000000000003</v>
      </c>
      <c r="C65" s="322">
        <v>51.3</v>
      </c>
      <c r="D65" s="322">
        <v>86.4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35.200000000000003</v>
      </c>
      <c r="C66" s="322">
        <v>49.8</v>
      </c>
      <c r="D66" s="322">
        <v>89.7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59.4</v>
      </c>
      <c r="D67" s="322">
        <v>93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61.6</v>
      </c>
      <c r="D68" s="322">
        <v>83.7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71.900000000000006</v>
      </c>
      <c r="D69" s="322">
        <v>80.900000000000006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73.8</v>
      </c>
      <c r="D70" s="322">
        <v>87.9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52.2</v>
      </c>
      <c r="D71" s="322">
        <v>85.2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93.3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86.2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30.1</v>
      </c>
      <c r="C77" s="322">
        <v>66</v>
      </c>
      <c r="D77" s="322">
        <v>88</v>
      </c>
      <c r="E77" s="322">
        <v>42.1</v>
      </c>
      <c r="F77" s="322">
        <v>80.099999999999994</v>
      </c>
      <c r="G77" s="322">
        <v>96.1</v>
      </c>
      <c r="H77" s="318"/>
    </row>
    <row r="78" spans="1:8" ht="14.5" x14ac:dyDescent="0.35">
      <c r="A78" s="320">
        <v>2</v>
      </c>
      <c r="B78" s="322">
        <v>29.8</v>
      </c>
      <c r="C78" s="322">
        <v>51</v>
      </c>
      <c r="D78" s="322">
        <v>96.4</v>
      </c>
      <c r="E78" s="322">
        <v>52.1</v>
      </c>
      <c r="F78" s="322">
        <v>86.4</v>
      </c>
      <c r="G78" s="322">
        <v>92.7</v>
      </c>
      <c r="H78" s="318"/>
    </row>
    <row r="79" spans="1:8" ht="14.5" x14ac:dyDescent="0.35">
      <c r="A79" s="320">
        <v>3</v>
      </c>
      <c r="B79" s="322">
        <v>33.5</v>
      </c>
      <c r="C79" s="322">
        <v>49.5</v>
      </c>
      <c r="D79" s="322">
        <v>81.7</v>
      </c>
      <c r="E79" s="322">
        <v>33.5</v>
      </c>
      <c r="F79" s="322">
        <v>84</v>
      </c>
      <c r="G79" s="322">
        <v>116.2</v>
      </c>
      <c r="H79" s="318"/>
    </row>
    <row r="80" spans="1:8" ht="14.5" x14ac:dyDescent="0.35">
      <c r="A80" s="320">
        <v>4</v>
      </c>
      <c r="B80" s="322">
        <v>22.6</v>
      </c>
      <c r="C80" s="322">
        <v>65.400000000000006</v>
      </c>
      <c r="D80" s="322">
        <v>83.3</v>
      </c>
      <c r="E80" s="322"/>
      <c r="F80" s="322">
        <v>86.2</v>
      </c>
      <c r="G80" s="322">
        <v>118.5</v>
      </c>
      <c r="H80" s="318"/>
    </row>
    <row r="81" spans="1:8" ht="14.5" x14ac:dyDescent="0.35">
      <c r="A81" s="320">
        <v>5</v>
      </c>
      <c r="B81" s="322">
        <v>29.9</v>
      </c>
      <c r="C81" s="322">
        <v>54.3</v>
      </c>
      <c r="D81" s="322">
        <v>89.7</v>
      </c>
      <c r="E81" s="322"/>
      <c r="F81" s="322">
        <v>71.099999999999994</v>
      </c>
      <c r="G81" s="322">
        <v>95.7</v>
      </c>
      <c r="H81" s="318"/>
    </row>
    <row r="82" spans="1:8" ht="14.5" x14ac:dyDescent="0.35">
      <c r="A82" s="320">
        <v>6</v>
      </c>
      <c r="B82" s="322">
        <v>29.2</v>
      </c>
      <c r="C82" s="322">
        <v>72.400000000000006</v>
      </c>
      <c r="D82" s="322">
        <v>87.4</v>
      </c>
      <c r="E82" s="322"/>
      <c r="F82" s="322"/>
      <c r="G82" s="322">
        <v>110.4</v>
      </c>
      <c r="H82" s="318"/>
    </row>
    <row r="83" spans="1:8" ht="14.5" x14ac:dyDescent="0.35">
      <c r="A83" s="320">
        <v>7</v>
      </c>
      <c r="B83" s="322">
        <v>35.4</v>
      </c>
      <c r="C83" s="322">
        <v>63.6</v>
      </c>
      <c r="D83" s="322">
        <v>81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37.6</v>
      </c>
      <c r="C84" s="322">
        <v>47.8</v>
      </c>
      <c r="D84" s="322">
        <v>86.5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43.1</v>
      </c>
      <c r="C85" s="322">
        <v>56.2</v>
      </c>
      <c r="D85" s="322">
        <v>86.7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28.7</v>
      </c>
      <c r="C86" s="322">
        <v>67.2</v>
      </c>
      <c r="D86" s="322">
        <v>80.900000000000006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27.4</v>
      </c>
      <c r="C87" s="322">
        <v>78.900000000000006</v>
      </c>
      <c r="D87" s="322">
        <v>84.8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44.9</v>
      </c>
      <c r="C88" s="322">
        <v>46.5</v>
      </c>
      <c r="D88" s="322">
        <v>81.2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45</v>
      </c>
      <c r="C89" s="322">
        <v>72.099999999999994</v>
      </c>
      <c r="D89" s="322">
        <v>93.5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28.5</v>
      </c>
      <c r="C90" s="322">
        <v>75.2</v>
      </c>
      <c r="D90" s="322">
        <v>80.5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35.700000000000003</v>
      </c>
      <c r="C91" s="322">
        <v>60.9</v>
      </c>
      <c r="D91" s="322">
        <v>89.7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31.5</v>
      </c>
      <c r="C92" s="322">
        <v>45</v>
      </c>
      <c r="D92" s="322">
        <v>86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20.6</v>
      </c>
      <c r="C93" s="322">
        <v>62.4</v>
      </c>
      <c r="D93" s="322">
        <v>82.3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39.9</v>
      </c>
      <c r="C94" s="322">
        <v>78.2</v>
      </c>
      <c r="D94" s="322">
        <v>97.7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39.200000000000003</v>
      </c>
      <c r="C95" s="322">
        <v>68.2</v>
      </c>
      <c r="D95" s="322">
        <v>88.7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20.3</v>
      </c>
      <c r="C96" s="322">
        <v>65.7</v>
      </c>
      <c r="D96" s="322">
        <v>88.7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29.2</v>
      </c>
      <c r="C97" s="322">
        <v>60.5</v>
      </c>
      <c r="D97" s="322">
        <v>84.4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31.3</v>
      </c>
      <c r="C98" s="322">
        <v>50.2</v>
      </c>
      <c r="D98" s="322">
        <v>92.7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38.700000000000003</v>
      </c>
      <c r="C99" s="322">
        <v>68.8</v>
      </c>
      <c r="D99" s="322">
        <v>84.4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77.599999999999994</v>
      </c>
      <c r="D100" s="322">
        <v>83.8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76.900000000000006</v>
      </c>
      <c r="D101" s="322">
        <v>81.400000000000006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74.2</v>
      </c>
      <c r="D102" s="322">
        <v>88.6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27.4</v>
      </c>
      <c r="C106" s="322">
        <v>52.3</v>
      </c>
      <c r="D106" s="322">
        <v>85.4</v>
      </c>
      <c r="E106" s="322">
        <v>41</v>
      </c>
      <c r="F106" s="322">
        <v>73.900000000000006</v>
      </c>
      <c r="G106" s="322">
        <v>100.1</v>
      </c>
      <c r="H106" s="318"/>
    </row>
    <row r="107" spans="1:8" ht="14.5" x14ac:dyDescent="0.35">
      <c r="A107" s="320">
        <v>2</v>
      </c>
      <c r="B107" s="322">
        <v>20.2</v>
      </c>
      <c r="C107" s="322">
        <v>49.8</v>
      </c>
      <c r="D107" s="322">
        <v>91.9</v>
      </c>
      <c r="E107" s="322">
        <v>50.1</v>
      </c>
      <c r="F107" s="322">
        <v>76.400000000000006</v>
      </c>
      <c r="G107" s="322">
        <v>98.8</v>
      </c>
      <c r="H107" s="318"/>
    </row>
    <row r="108" spans="1:8" ht="14.5" x14ac:dyDescent="0.35">
      <c r="A108" s="320">
        <v>3</v>
      </c>
      <c r="B108" s="322">
        <v>22.5</v>
      </c>
      <c r="C108" s="322">
        <v>62.2</v>
      </c>
      <c r="D108" s="322">
        <v>97.2</v>
      </c>
      <c r="E108" s="322"/>
      <c r="F108" s="322">
        <v>68.5</v>
      </c>
      <c r="G108" s="322">
        <v>104.6</v>
      </c>
      <c r="H108" s="318"/>
    </row>
    <row r="109" spans="1:8" ht="14.5" x14ac:dyDescent="0.35">
      <c r="A109" s="320">
        <v>4</v>
      </c>
      <c r="B109" s="322">
        <v>23.6</v>
      </c>
      <c r="C109" s="322">
        <v>68.3</v>
      </c>
      <c r="D109" s="322">
        <v>85.9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40</v>
      </c>
      <c r="C110" s="322">
        <v>59.7</v>
      </c>
      <c r="D110" s="322">
        <v>93.9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28</v>
      </c>
      <c r="C111" s="322">
        <v>74.8</v>
      </c>
      <c r="D111" s="322">
        <v>90.2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21.9</v>
      </c>
      <c r="C112" s="322">
        <v>61.9</v>
      </c>
      <c r="D112" s="322">
        <v>89.9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30.7</v>
      </c>
      <c r="C113" s="322">
        <v>64.599999999999994</v>
      </c>
      <c r="D113" s="322">
        <v>89.7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41</v>
      </c>
      <c r="C114" s="322">
        <v>72.400000000000006</v>
      </c>
      <c r="D114" s="322">
        <v>90.3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22.4</v>
      </c>
      <c r="C115" s="322">
        <v>58.4</v>
      </c>
      <c r="D115" s="322">
        <v>92.4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24.3</v>
      </c>
      <c r="C116" s="322">
        <v>70.7</v>
      </c>
      <c r="D116" s="322">
        <v>80.7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22.7</v>
      </c>
      <c r="C117" s="322">
        <v>73.400000000000006</v>
      </c>
      <c r="D117" s="322">
        <v>82.8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23.2</v>
      </c>
      <c r="C118" s="322">
        <v>79.400000000000006</v>
      </c>
      <c r="D118" s="322">
        <v>84.8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32.5</v>
      </c>
      <c r="C119" s="322">
        <v>78.599999999999994</v>
      </c>
      <c r="D119" s="322">
        <v>83.6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32</v>
      </c>
      <c r="C120" s="322">
        <v>78.7</v>
      </c>
      <c r="D120" s="322">
        <v>86.9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31.2</v>
      </c>
      <c r="C121" s="322">
        <v>49.4</v>
      </c>
      <c r="D121" s="322">
        <v>82.2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65.3</v>
      </c>
      <c r="D122" s="322">
        <v>94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95.8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22.6</v>
      </c>
      <c r="C127" s="322">
        <v>47.5</v>
      </c>
      <c r="D127" s="322">
        <v>81.400000000000006</v>
      </c>
      <c r="E127" s="322">
        <v>36.799999999999997</v>
      </c>
      <c r="F127" s="322">
        <v>60.1</v>
      </c>
      <c r="G127" s="322">
        <v>90.1</v>
      </c>
      <c r="H127" s="318"/>
    </row>
    <row r="128" spans="1:8" ht="14.5" x14ac:dyDescent="0.35">
      <c r="A128" s="320">
        <v>2</v>
      </c>
      <c r="B128" s="322">
        <v>32.299999999999997</v>
      </c>
      <c r="C128" s="322">
        <v>77.2</v>
      </c>
      <c r="D128" s="322">
        <v>96.6</v>
      </c>
      <c r="E128" s="322">
        <v>34.1</v>
      </c>
      <c r="F128" s="322">
        <v>79.599999999999994</v>
      </c>
      <c r="G128" s="322">
        <v>111.2</v>
      </c>
      <c r="H128" s="318"/>
    </row>
    <row r="129" spans="1:8" ht="14.5" x14ac:dyDescent="0.35">
      <c r="A129" s="320">
        <v>3</v>
      </c>
      <c r="B129" s="322">
        <v>40.700000000000003</v>
      </c>
      <c r="C129" s="322">
        <v>59.2</v>
      </c>
      <c r="D129" s="322">
        <v>85.5</v>
      </c>
      <c r="E129" s="322">
        <v>43.4</v>
      </c>
      <c r="F129" s="322">
        <v>77.3</v>
      </c>
      <c r="G129" s="322">
        <v>115.2</v>
      </c>
      <c r="H129" s="318"/>
    </row>
    <row r="130" spans="1:8" ht="14.5" x14ac:dyDescent="0.35">
      <c r="A130" s="320">
        <v>4</v>
      </c>
      <c r="B130" s="322">
        <v>22.3</v>
      </c>
      <c r="C130" s="322">
        <v>53.2</v>
      </c>
      <c r="D130" s="322">
        <v>92.1</v>
      </c>
      <c r="E130" s="322">
        <v>29.4</v>
      </c>
      <c r="F130" s="322">
        <v>90</v>
      </c>
      <c r="G130" s="322">
        <v>107.4</v>
      </c>
      <c r="H130" s="318"/>
    </row>
    <row r="131" spans="1:8" ht="14.5" x14ac:dyDescent="0.35">
      <c r="A131" s="320">
        <v>5</v>
      </c>
      <c r="B131" s="322">
        <v>22.4</v>
      </c>
      <c r="C131" s="322">
        <v>58.4</v>
      </c>
      <c r="D131" s="322">
        <v>80.8</v>
      </c>
      <c r="E131" s="322"/>
      <c r="F131" s="322">
        <v>83.5</v>
      </c>
      <c r="G131" s="322">
        <v>103.5</v>
      </c>
      <c r="H131" s="318"/>
    </row>
    <row r="132" spans="1:8" ht="14.5" x14ac:dyDescent="0.35">
      <c r="A132" s="320">
        <v>6</v>
      </c>
      <c r="B132" s="322">
        <v>35.4</v>
      </c>
      <c r="C132" s="322">
        <v>74.8</v>
      </c>
      <c r="D132" s="322">
        <v>86.4</v>
      </c>
      <c r="E132" s="322"/>
      <c r="F132" s="322"/>
      <c r="G132" s="322">
        <v>95.8</v>
      </c>
      <c r="H132" s="318"/>
    </row>
    <row r="133" spans="1:8" ht="14.5" x14ac:dyDescent="0.35">
      <c r="A133" s="320">
        <v>7</v>
      </c>
      <c r="B133" s="322">
        <v>38.200000000000003</v>
      </c>
      <c r="C133" s="322">
        <v>57.3</v>
      </c>
      <c r="D133" s="322">
        <v>83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32</v>
      </c>
      <c r="C134" s="322">
        <v>75</v>
      </c>
      <c r="D134" s="322">
        <v>88.5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22.5</v>
      </c>
      <c r="C135" s="322">
        <v>54.8</v>
      </c>
      <c r="D135" s="322">
        <v>85.5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34.9</v>
      </c>
      <c r="C136" s="322">
        <v>60</v>
      </c>
      <c r="D136" s="322">
        <v>94.2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41.7</v>
      </c>
      <c r="C137" s="322">
        <v>68.400000000000006</v>
      </c>
      <c r="D137" s="322">
        <v>83.2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42.1</v>
      </c>
      <c r="C138" s="322">
        <v>49.6</v>
      </c>
      <c r="D138" s="322">
        <v>81.5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36.1</v>
      </c>
      <c r="C139" s="322">
        <v>51.4</v>
      </c>
      <c r="D139" s="322">
        <v>88.2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39.5</v>
      </c>
      <c r="C140" s="322">
        <v>79.8</v>
      </c>
      <c r="D140" s="322">
        <v>96.5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24.7</v>
      </c>
      <c r="C141" s="322">
        <v>60.8</v>
      </c>
      <c r="D141" s="322">
        <v>96.1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32.799999999999997</v>
      </c>
      <c r="C142" s="322">
        <v>57.6</v>
      </c>
      <c r="D142" s="322">
        <v>93.5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42.9</v>
      </c>
      <c r="C143" s="322">
        <v>56.2</v>
      </c>
      <c r="D143" s="322">
        <v>91.6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41.3</v>
      </c>
      <c r="C144" s="322">
        <v>67.599999999999994</v>
      </c>
      <c r="D144" s="322">
        <v>84.1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23.2</v>
      </c>
      <c r="C145" s="322">
        <v>45.2</v>
      </c>
      <c r="D145" s="322">
        <v>93.1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42.2</v>
      </c>
      <c r="C146" s="322">
        <v>60.3</v>
      </c>
      <c r="D146" s="322">
        <v>88.2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39.6</v>
      </c>
      <c r="C147" s="322">
        <v>55.6</v>
      </c>
      <c r="D147" s="322">
        <v>90.2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28.2</v>
      </c>
      <c r="C148" s="322">
        <v>59.6</v>
      </c>
      <c r="D148" s="322">
        <v>82.8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88.5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83.2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62.1</v>
      </c>
      <c r="C155" s="325">
        <f>ROUNDDOWN(AVERAGE(E6:G45),1)</f>
        <v>79.7</v>
      </c>
      <c r="D155" s="320">
        <v>94502</v>
      </c>
      <c r="E155" s="320">
        <v>12749</v>
      </c>
      <c r="F155" s="325">
        <f>B155*D155</f>
        <v>5868574.2000000002</v>
      </c>
      <c r="G155" s="325">
        <f>C155*E155</f>
        <v>1016095.3</v>
      </c>
    </row>
    <row r="156" spans="1:8" ht="13" x14ac:dyDescent="0.25">
      <c r="A156" s="321" t="s">
        <v>356</v>
      </c>
      <c r="B156" s="325">
        <f>ROUNDDOWN(AVERAGE(B49:D73),1)</f>
        <v>63.5</v>
      </c>
      <c r="C156" s="325">
        <f>ROUNDDOWN(AVERAGE(E49:G73),1)</f>
        <v>79.900000000000006</v>
      </c>
      <c r="D156" s="320">
        <v>52390</v>
      </c>
      <c r="E156" s="320">
        <v>6888</v>
      </c>
      <c r="F156" s="325">
        <f t="shared" ref="F156:G159" si="0">B156*D156</f>
        <v>3326765</v>
      </c>
      <c r="G156" s="325">
        <f t="shared" si="0"/>
        <v>550351.20000000007</v>
      </c>
    </row>
    <row r="157" spans="1:8" ht="13" x14ac:dyDescent="0.25">
      <c r="A157" s="321" t="s">
        <v>358</v>
      </c>
      <c r="B157" s="325">
        <f>ROUNDDOWN(AVERAGE(B77:D102),1)</f>
        <v>62</v>
      </c>
      <c r="C157" s="325">
        <f>ROUNDDOWN(AVERAGE(E77:G102),1)</f>
        <v>83.2</v>
      </c>
      <c r="D157" s="320">
        <v>60472</v>
      </c>
      <c r="E157" s="320">
        <v>10198</v>
      </c>
      <c r="F157" s="325">
        <f t="shared" si="0"/>
        <v>3749264</v>
      </c>
      <c r="G157" s="325">
        <f t="shared" si="0"/>
        <v>848473.59999999998</v>
      </c>
    </row>
    <row r="158" spans="1:8" ht="13" x14ac:dyDescent="0.25">
      <c r="A158" s="321" t="s">
        <v>360</v>
      </c>
      <c r="B158" s="325">
        <f>ROUNDDOWN(AVERAGE(B106:D123),1)</f>
        <v>61.9</v>
      </c>
      <c r="C158" s="325">
        <f>ROUNDDOWN(AVERAGE(E106:G123),1)</f>
        <v>76.599999999999994</v>
      </c>
      <c r="D158" s="320">
        <v>40323</v>
      </c>
      <c r="E158" s="320">
        <v>5105</v>
      </c>
      <c r="F158" s="325">
        <f t="shared" si="0"/>
        <v>2495993.6999999997</v>
      </c>
      <c r="G158" s="325">
        <f t="shared" si="0"/>
        <v>391043</v>
      </c>
    </row>
    <row r="159" spans="1:8" ht="13" x14ac:dyDescent="0.25">
      <c r="A159" s="321" t="s">
        <v>362</v>
      </c>
      <c r="B159" s="325">
        <f>ROUNDDOWN(AVERAGE(B127:D150),1)</f>
        <v>61.4</v>
      </c>
      <c r="C159" s="325">
        <f>ROUNDDOWN(AVERAGE(E127:G150),1)</f>
        <v>77.099999999999994</v>
      </c>
      <c r="D159" s="320">
        <v>54596</v>
      </c>
      <c r="E159" s="320">
        <v>11046</v>
      </c>
      <c r="F159" s="325">
        <f t="shared" si="0"/>
        <v>3352194.4</v>
      </c>
      <c r="G159" s="325">
        <f t="shared" si="0"/>
        <v>851646.6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45986</v>
      </c>
      <c r="F160" s="325">
        <f>SUM(F155:F159)</f>
        <v>18792791.299999997</v>
      </c>
      <c r="G160" s="325">
        <f>SUM(G155:G159)</f>
        <v>3657609.7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62.1</v>
      </c>
      <c r="D165" s="327">
        <f>ROUNDDOWN(G160/E160,1)</f>
        <v>79.5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2C9DC-06A7-4BE0-B9C7-B4AA91C41883}">
  <dimension ref="A1:H165"/>
  <sheetViews>
    <sheetView topLeftCell="A100" zoomScale="50" zoomScaleNormal="50" workbookViewId="0">
      <selection activeCell="D134" sqref="D134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2022.03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26.5</v>
      </c>
      <c r="C6" s="322">
        <v>63.9</v>
      </c>
      <c r="D6" s="322">
        <v>82.8</v>
      </c>
      <c r="E6" s="322">
        <v>59.2</v>
      </c>
      <c r="F6" s="322">
        <v>78.2</v>
      </c>
      <c r="G6" s="322">
        <v>105</v>
      </c>
      <c r="H6" s="318"/>
    </row>
    <row r="7" spans="1:8" ht="14.5" x14ac:dyDescent="0.35">
      <c r="A7" s="320">
        <v>2</v>
      </c>
      <c r="B7" s="322">
        <v>29.1</v>
      </c>
      <c r="C7" s="322">
        <v>76.099999999999994</v>
      </c>
      <c r="D7" s="322">
        <v>88.6</v>
      </c>
      <c r="E7" s="322">
        <v>59.7</v>
      </c>
      <c r="F7" s="322">
        <v>64</v>
      </c>
      <c r="G7" s="322">
        <v>119.2</v>
      </c>
      <c r="H7" s="318"/>
    </row>
    <row r="8" spans="1:8" ht="14.5" x14ac:dyDescent="0.35">
      <c r="A8" s="320">
        <v>3</v>
      </c>
      <c r="B8" s="322">
        <v>21</v>
      </c>
      <c r="C8" s="322">
        <v>71.900000000000006</v>
      </c>
      <c r="D8" s="322">
        <v>80.2</v>
      </c>
      <c r="E8" s="322">
        <v>48.6</v>
      </c>
      <c r="F8" s="322">
        <v>69.7</v>
      </c>
      <c r="G8" s="322">
        <v>115.6</v>
      </c>
      <c r="H8" s="318"/>
    </row>
    <row r="9" spans="1:8" ht="14.5" x14ac:dyDescent="0.35">
      <c r="A9" s="320">
        <v>4</v>
      </c>
      <c r="B9" s="322">
        <v>29.7</v>
      </c>
      <c r="C9" s="322">
        <v>56.9</v>
      </c>
      <c r="D9" s="322">
        <v>96.4</v>
      </c>
      <c r="E9" s="322">
        <v>55</v>
      </c>
      <c r="F9" s="322">
        <v>81.2</v>
      </c>
      <c r="G9" s="322">
        <v>118.2</v>
      </c>
      <c r="H9" s="318"/>
    </row>
    <row r="10" spans="1:8" ht="14.5" x14ac:dyDescent="0.35">
      <c r="A10" s="320">
        <v>5</v>
      </c>
      <c r="B10" s="322">
        <v>28</v>
      </c>
      <c r="C10" s="322">
        <v>57.7</v>
      </c>
      <c r="D10" s="322">
        <v>81.400000000000006</v>
      </c>
      <c r="E10" s="322"/>
      <c r="F10" s="322">
        <v>86</v>
      </c>
      <c r="G10" s="322">
        <v>98.7</v>
      </c>
      <c r="H10" s="318"/>
    </row>
    <row r="11" spans="1:8" ht="14.5" x14ac:dyDescent="0.35">
      <c r="A11" s="320">
        <v>6</v>
      </c>
      <c r="B11" s="322">
        <v>34.6</v>
      </c>
      <c r="C11" s="322">
        <v>76.099999999999994</v>
      </c>
      <c r="D11" s="322">
        <v>84.3</v>
      </c>
      <c r="E11" s="322"/>
      <c r="F11" s="322">
        <v>73.5</v>
      </c>
      <c r="G11" s="322">
        <v>119.2</v>
      </c>
      <c r="H11" s="318"/>
    </row>
    <row r="12" spans="1:8" ht="14.5" x14ac:dyDescent="0.35">
      <c r="A12" s="320">
        <v>7</v>
      </c>
      <c r="B12" s="322">
        <v>39.200000000000003</v>
      </c>
      <c r="C12" s="322">
        <v>69.900000000000006</v>
      </c>
      <c r="D12" s="322">
        <v>95.6</v>
      </c>
      <c r="E12" s="322"/>
      <c r="F12" s="322"/>
      <c r="G12" s="322">
        <v>110.7</v>
      </c>
      <c r="H12" s="318"/>
    </row>
    <row r="13" spans="1:8" ht="14.5" x14ac:dyDescent="0.35">
      <c r="A13" s="320">
        <v>8</v>
      </c>
      <c r="B13" s="322">
        <v>24.9</v>
      </c>
      <c r="C13" s="322">
        <v>71.900000000000006</v>
      </c>
      <c r="D13" s="322">
        <v>86.7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38.200000000000003</v>
      </c>
      <c r="C14" s="322">
        <v>71.7</v>
      </c>
      <c r="D14" s="322">
        <v>86.9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30.1</v>
      </c>
      <c r="C15" s="322">
        <v>59.4</v>
      </c>
      <c r="D15" s="322">
        <v>82.5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29.2</v>
      </c>
      <c r="C16" s="322">
        <v>65.099999999999994</v>
      </c>
      <c r="D16" s="322">
        <v>94.7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42.8</v>
      </c>
      <c r="C17" s="322">
        <v>73.599999999999994</v>
      </c>
      <c r="D17" s="322">
        <v>83.7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44.9</v>
      </c>
      <c r="C18" s="322">
        <v>78</v>
      </c>
      <c r="D18" s="322">
        <v>84.9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30.9</v>
      </c>
      <c r="C19" s="322">
        <v>72.8</v>
      </c>
      <c r="D19" s="322">
        <v>85.2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33.200000000000003</v>
      </c>
      <c r="C20" s="322">
        <v>51.7</v>
      </c>
      <c r="D20" s="322">
        <v>90.5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42.3</v>
      </c>
      <c r="C21" s="322">
        <v>57.8</v>
      </c>
      <c r="D21" s="322">
        <v>94.8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34.299999999999997</v>
      </c>
      <c r="C22" s="322">
        <v>58.9</v>
      </c>
      <c r="D22" s="322">
        <v>97.5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40.799999999999997</v>
      </c>
      <c r="C23" s="322">
        <v>57.4</v>
      </c>
      <c r="D23" s="322">
        <v>91.3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23.9</v>
      </c>
      <c r="C24" s="322">
        <v>63</v>
      </c>
      <c r="D24" s="322">
        <v>82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44.2</v>
      </c>
      <c r="C25" s="322">
        <v>51.9</v>
      </c>
      <c r="D25" s="322">
        <v>97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44.2</v>
      </c>
      <c r="C26" s="322">
        <v>69.099999999999994</v>
      </c>
      <c r="D26" s="322">
        <v>89.9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32.1</v>
      </c>
      <c r="C27" s="322">
        <v>76.8</v>
      </c>
      <c r="D27" s="322">
        <v>92.8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37.700000000000003</v>
      </c>
      <c r="C28" s="322">
        <v>54.9</v>
      </c>
      <c r="D28" s="322">
        <v>86.3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28.4</v>
      </c>
      <c r="C29" s="322">
        <v>62.1</v>
      </c>
      <c r="D29" s="322">
        <v>90.4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20.7</v>
      </c>
      <c r="C30" s="322">
        <v>46.3</v>
      </c>
      <c r="D30" s="322">
        <v>90.7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44.3</v>
      </c>
      <c r="C31" s="322">
        <v>57.3</v>
      </c>
      <c r="D31" s="322">
        <v>82.7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43.5</v>
      </c>
      <c r="C32" s="322">
        <v>51.9</v>
      </c>
      <c r="D32" s="322">
        <v>88.6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37.1</v>
      </c>
      <c r="C33" s="322">
        <v>49.8</v>
      </c>
      <c r="D33" s="322">
        <v>90.6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30.7</v>
      </c>
      <c r="C34" s="322">
        <v>69.400000000000006</v>
      </c>
      <c r="D34" s="322">
        <v>97.6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42.9</v>
      </c>
      <c r="C35" s="322">
        <v>61.5</v>
      </c>
      <c r="D35" s="322">
        <v>85.7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44</v>
      </c>
      <c r="C36" s="322">
        <v>58.2</v>
      </c>
      <c r="D36" s="322">
        <v>91.8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26.9</v>
      </c>
      <c r="C37" s="322">
        <v>61.8</v>
      </c>
      <c r="D37" s="322">
        <v>92.6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37.4</v>
      </c>
      <c r="C38" s="322">
        <v>64.3</v>
      </c>
      <c r="D38" s="322">
        <v>86.4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40.200000000000003</v>
      </c>
      <c r="C39" s="322">
        <v>49.4</v>
      </c>
      <c r="D39" s="322">
        <v>90.5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34.9</v>
      </c>
      <c r="C40" s="322">
        <v>60.4</v>
      </c>
      <c r="D40" s="322">
        <v>80.5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36.6</v>
      </c>
      <c r="C41" s="322">
        <v>55.2</v>
      </c>
      <c r="D41" s="322">
        <v>93.7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42.4</v>
      </c>
      <c r="C42" s="322">
        <v>74.599999999999994</v>
      </c>
      <c r="D42" s="322">
        <v>91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36.799999999999997</v>
      </c>
      <c r="C43" s="322">
        <v>67.3</v>
      </c>
      <c r="D43" s="322">
        <v>95.7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74.3</v>
      </c>
      <c r="D44" s="322">
        <v>83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90.1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42.1</v>
      </c>
      <c r="C49" s="322">
        <v>74</v>
      </c>
      <c r="D49" s="322">
        <v>87.3</v>
      </c>
      <c r="E49" s="322">
        <v>28.5</v>
      </c>
      <c r="F49" s="322">
        <v>72.2</v>
      </c>
      <c r="G49" s="322">
        <v>98.1</v>
      </c>
      <c r="H49" s="318"/>
    </row>
    <row r="50" spans="1:8" ht="14.5" x14ac:dyDescent="0.35">
      <c r="A50" s="320">
        <v>2</v>
      </c>
      <c r="B50" s="322">
        <v>35.1</v>
      </c>
      <c r="C50" s="322">
        <v>60.2</v>
      </c>
      <c r="D50" s="322">
        <v>82.8</v>
      </c>
      <c r="E50" s="322">
        <v>32.6</v>
      </c>
      <c r="F50" s="322">
        <v>81.900000000000006</v>
      </c>
      <c r="G50" s="322">
        <v>103.2</v>
      </c>
      <c r="H50" s="318"/>
    </row>
    <row r="51" spans="1:8" ht="14.5" x14ac:dyDescent="0.35">
      <c r="A51" s="320">
        <v>3</v>
      </c>
      <c r="B51" s="322">
        <v>23.7</v>
      </c>
      <c r="C51" s="322">
        <v>78.8</v>
      </c>
      <c r="D51" s="322">
        <v>94.9</v>
      </c>
      <c r="E51" s="322"/>
      <c r="F51" s="322">
        <v>80.5</v>
      </c>
      <c r="G51" s="322">
        <v>109.7</v>
      </c>
      <c r="H51" s="318"/>
    </row>
    <row r="52" spans="1:8" ht="14.5" x14ac:dyDescent="0.35">
      <c r="A52" s="320">
        <v>4</v>
      </c>
      <c r="B52" s="322">
        <v>26.7</v>
      </c>
      <c r="C52" s="322">
        <v>60.1</v>
      </c>
      <c r="D52" s="322">
        <v>94</v>
      </c>
      <c r="E52" s="322"/>
      <c r="F52" s="322">
        <v>82.9</v>
      </c>
      <c r="G52" s="322">
        <v>92.7</v>
      </c>
      <c r="H52" s="318"/>
    </row>
    <row r="53" spans="1:8" ht="14.5" x14ac:dyDescent="0.35">
      <c r="A53" s="320">
        <v>5</v>
      </c>
      <c r="B53" s="322">
        <v>41</v>
      </c>
      <c r="C53" s="322">
        <v>62.5</v>
      </c>
      <c r="D53" s="322">
        <v>88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30.3</v>
      </c>
      <c r="C54" s="322">
        <v>67.8</v>
      </c>
      <c r="D54" s="322">
        <v>89.4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28.9</v>
      </c>
      <c r="C55" s="322">
        <v>66.400000000000006</v>
      </c>
      <c r="D55" s="322">
        <v>88.5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28.3</v>
      </c>
      <c r="C56" s="322">
        <v>76.7</v>
      </c>
      <c r="D56" s="322">
        <v>93.5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24.2</v>
      </c>
      <c r="C57" s="322">
        <v>58.8</v>
      </c>
      <c r="D57" s="322">
        <v>88.5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42.5</v>
      </c>
      <c r="C58" s="322">
        <v>57.9</v>
      </c>
      <c r="D58" s="322">
        <v>89.8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39.1</v>
      </c>
      <c r="C59" s="322">
        <v>68.400000000000006</v>
      </c>
      <c r="D59" s="322">
        <v>84.5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36</v>
      </c>
      <c r="C60" s="322">
        <v>68</v>
      </c>
      <c r="D60" s="322">
        <v>92.4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30.2</v>
      </c>
      <c r="C61" s="322">
        <v>51.2</v>
      </c>
      <c r="D61" s="322">
        <v>87.2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41.8</v>
      </c>
      <c r="C62" s="322">
        <v>57</v>
      </c>
      <c r="D62" s="322">
        <v>95.9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39.200000000000003</v>
      </c>
      <c r="C63" s="322">
        <v>62.5</v>
      </c>
      <c r="D63" s="322">
        <v>85.2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28.1</v>
      </c>
      <c r="C64" s="322">
        <v>54.8</v>
      </c>
      <c r="D64" s="322">
        <v>85.8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38.4</v>
      </c>
      <c r="C65" s="322">
        <v>71.3</v>
      </c>
      <c r="D65" s="322">
        <v>81.099999999999994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31.3</v>
      </c>
      <c r="C66" s="322">
        <v>60</v>
      </c>
      <c r="D66" s="322">
        <v>84.4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78.400000000000006</v>
      </c>
      <c r="D67" s="322">
        <v>88.9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67.7</v>
      </c>
      <c r="D68" s="322">
        <v>90.5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72.8</v>
      </c>
      <c r="D69" s="322">
        <v>88.4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59.4</v>
      </c>
      <c r="D70" s="322">
        <v>86.1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45.8</v>
      </c>
      <c r="D71" s="322">
        <v>95.1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97.2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91.7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40.6</v>
      </c>
      <c r="C77" s="322">
        <v>57.6</v>
      </c>
      <c r="D77" s="322">
        <v>97.9</v>
      </c>
      <c r="E77" s="322">
        <v>32.200000000000003</v>
      </c>
      <c r="F77" s="322">
        <v>88.7</v>
      </c>
      <c r="G77" s="322">
        <v>118.2</v>
      </c>
      <c r="H77" s="318"/>
    </row>
    <row r="78" spans="1:8" ht="14.5" x14ac:dyDescent="0.35">
      <c r="A78" s="320">
        <v>2</v>
      </c>
      <c r="B78" s="322">
        <v>37.799999999999997</v>
      </c>
      <c r="C78" s="322">
        <v>68.400000000000006</v>
      </c>
      <c r="D78" s="322">
        <v>96.7</v>
      </c>
      <c r="E78" s="322">
        <v>57.8</v>
      </c>
      <c r="F78" s="322">
        <v>85.1</v>
      </c>
      <c r="G78" s="322">
        <v>90</v>
      </c>
      <c r="H78" s="318"/>
    </row>
    <row r="79" spans="1:8" ht="14.5" x14ac:dyDescent="0.35">
      <c r="A79" s="320">
        <v>3</v>
      </c>
      <c r="B79" s="322">
        <v>36.9</v>
      </c>
      <c r="C79" s="322">
        <v>78.2</v>
      </c>
      <c r="D79" s="322">
        <v>81.7</v>
      </c>
      <c r="E79" s="322">
        <v>38.799999999999997</v>
      </c>
      <c r="F79" s="322">
        <v>81.2</v>
      </c>
      <c r="G79" s="322">
        <v>90.7</v>
      </c>
      <c r="H79" s="318"/>
    </row>
    <row r="80" spans="1:8" ht="14.5" x14ac:dyDescent="0.35">
      <c r="A80" s="320">
        <v>4</v>
      </c>
      <c r="B80" s="322">
        <v>29.1</v>
      </c>
      <c r="C80" s="322">
        <v>67.900000000000006</v>
      </c>
      <c r="D80" s="322">
        <v>84.8</v>
      </c>
      <c r="E80" s="322"/>
      <c r="F80" s="322">
        <v>68.400000000000006</v>
      </c>
      <c r="G80" s="322">
        <v>91.4</v>
      </c>
      <c r="H80" s="318"/>
    </row>
    <row r="81" spans="1:8" ht="14.5" x14ac:dyDescent="0.35">
      <c r="A81" s="320">
        <v>5</v>
      </c>
      <c r="B81" s="322">
        <v>25.2</v>
      </c>
      <c r="C81" s="322">
        <v>68.8</v>
      </c>
      <c r="D81" s="322">
        <v>96.4</v>
      </c>
      <c r="E81" s="322"/>
      <c r="F81" s="322">
        <v>73.400000000000006</v>
      </c>
      <c r="G81" s="322">
        <v>91.1</v>
      </c>
      <c r="H81" s="318"/>
    </row>
    <row r="82" spans="1:8" ht="14.5" x14ac:dyDescent="0.35">
      <c r="A82" s="320">
        <v>6</v>
      </c>
      <c r="B82" s="322">
        <v>28.1</v>
      </c>
      <c r="C82" s="322">
        <v>49.7</v>
      </c>
      <c r="D82" s="322">
        <v>94.7</v>
      </c>
      <c r="E82" s="322"/>
      <c r="F82" s="322"/>
      <c r="G82" s="322">
        <v>108.2</v>
      </c>
      <c r="H82" s="318"/>
    </row>
    <row r="83" spans="1:8" ht="14.5" x14ac:dyDescent="0.35">
      <c r="A83" s="320">
        <v>7</v>
      </c>
      <c r="B83" s="322">
        <v>31.7</v>
      </c>
      <c r="C83" s="322">
        <v>76.400000000000006</v>
      </c>
      <c r="D83" s="322">
        <v>92.8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28.6</v>
      </c>
      <c r="C84" s="322">
        <v>69.900000000000006</v>
      </c>
      <c r="D84" s="322">
        <v>81.3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32.6</v>
      </c>
      <c r="C85" s="322">
        <v>59.3</v>
      </c>
      <c r="D85" s="322">
        <v>84.9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22.8</v>
      </c>
      <c r="C86" s="322">
        <v>49.2</v>
      </c>
      <c r="D86" s="322">
        <v>92.1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27.4</v>
      </c>
      <c r="C87" s="322">
        <v>53.8</v>
      </c>
      <c r="D87" s="322">
        <v>86.4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22.8</v>
      </c>
      <c r="C88" s="322">
        <v>52.6</v>
      </c>
      <c r="D88" s="322">
        <v>89.5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32.9</v>
      </c>
      <c r="C89" s="322">
        <v>56</v>
      </c>
      <c r="D89" s="322">
        <v>81.3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32.700000000000003</v>
      </c>
      <c r="C90" s="322">
        <v>55.6</v>
      </c>
      <c r="D90" s="322">
        <v>96.6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26.2</v>
      </c>
      <c r="C91" s="322">
        <v>52.8</v>
      </c>
      <c r="D91" s="322">
        <v>89.4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26</v>
      </c>
      <c r="C92" s="322">
        <v>80</v>
      </c>
      <c r="D92" s="322">
        <v>82.9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22.7</v>
      </c>
      <c r="C93" s="322">
        <v>58.6</v>
      </c>
      <c r="D93" s="322">
        <v>80.900000000000006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26.4</v>
      </c>
      <c r="C94" s="322">
        <v>74</v>
      </c>
      <c r="D94" s="322">
        <v>88.3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39.1</v>
      </c>
      <c r="C95" s="322">
        <v>76.2</v>
      </c>
      <c r="D95" s="322">
        <v>81.3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32.6</v>
      </c>
      <c r="C96" s="322">
        <v>55.7</v>
      </c>
      <c r="D96" s="322">
        <v>85.3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30.3</v>
      </c>
      <c r="C97" s="322">
        <v>67.599999999999994</v>
      </c>
      <c r="D97" s="322">
        <v>90.2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33.5</v>
      </c>
      <c r="C98" s="322">
        <v>79.099999999999994</v>
      </c>
      <c r="D98" s="322">
        <v>86.8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44.9</v>
      </c>
      <c r="C99" s="322">
        <v>47</v>
      </c>
      <c r="D99" s="322">
        <v>86.3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54.7</v>
      </c>
      <c r="D100" s="322">
        <v>92.1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72.5</v>
      </c>
      <c r="D101" s="322">
        <v>84.1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63.6</v>
      </c>
      <c r="D102" s="322">
        <v>83.5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25.8</v>
      </c>
      <c r="C106" s="322">
        <v>74.099999999999994</v>
      </c>
      <c r="D106" s="322">
        <v>89.5</v>
      </c>
      <c r="E106" s="322">
        <v>55.4</v>
      </c>
      <c r="F106" s="322">
        <v>63.9</v>
      </c>
      <c r="G106" s="322">
        <v>104.1</v>
      </c>
      <c r="H106" s="318"/>
    </row>
    <row r="107" spans="1:8" ht="14.5" x14ac:dyDescent="0.35">
      <c r="A107" s="320">
        <v>2</v>
      </c>
      <c r="B107" s="322">
        <v>31.9</v>
      </c>
      <c r="C107" s="322">
        <v>49.7</v>
      </c>
      <c r="D107" s="322">
        <v>88.7</v>
      </c>
      <c r="E107" s="322">
        <v>38</v>
      </c>
      <c r="F107" s="322">
        <v>87.6</v>
      </c>
      <c r="G107" s="322">
        <v>118.2</v>
      </c>
      <c r="H107" s="318"/>
    </row>
    <row r="108" spans="1:8" ht="14.5" x14ac:dyDescent="0.35">
      <c r="A108" s="320">
        <v>3</v>
      </c>
      <c r="B108" s="322">
        <v>30.1</v>
      </c>
      <c r="C108" s="322">
        <v>68.8</v>
      </c>
      <c r="D108" s="322">
        <v>96.6</v>
      </c>
      <c r="E108" s="322"/>
      <c r="F108" s="322">
        <v>61.2</v>
      </c>
      <c r="G108" s="322">
        <v>92.8</v>
      </c>
      <c r="H108" s="318"/>
    </row>
    <row r="109" spans="1:8" ht="14.5" x14ac:dyDescent="0.35">
      <c r="A109" s="320">
        <v>4</v>
      </c>
      <c r="B109" s="322">
        <v>37.4</v>
      </c>
      <c r="C109" s="322">
        <v>45.5</v>
      </c>
      <c r="D109" s="322">
        <v>94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40.799999999999997</v>
      </c>
      <c r="C110" s="322">
        <v>60</v>
      </c>
      <c r="D110" s="322">
        <v>95.7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34.299999999999997</v>
      </c>
      <c r="C111" s="322">
        <v>61</v>
      </c>
      <c r="D111" s="322">
        <v>85.8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42.6</v>
      </c>
      <c r="C112" s="322">
        <v>55.7</v>
      </c>
      <c r="D112" s="322">
        <v>83.2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44.5</v>
      </c>
      <c r="C113" s="322">
        <v>79.5</v>
      </c>
      <c r="D113" s="322">
        <v>85.1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23.2</v>
      </c>
      <c r="C114" s="322">
        <v>61</v>
      </c>
      <c r="D114" s="322">
        <v>95.9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20</v>
      </c>
      <c r="C115" s="322">
        <v>78.2</v>
      </c>
      <c r="D115" s="322">
        <v>88.2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22.6</v>
      </c>
      <c r="C116" s="322">
        <v>58.4</v>
      </c>
      <c r="D116" s="322">
        <v>93.9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30.3</v>
      </c>
      <c r="C117" s="322">
        <v>65.8</v>
      </c>
      <c r="D117" s="322">
        <v>94.1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40.4</v>
      </c>
      <c r="C118" s="322">
        <v>72.2</v>
      </c>
      <c r="D118" s="322">
        <v>90.4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42.4</v>
      </c>
      <c r="C119" s="322">
        <v>55.3</v>
      </c>
      <c r="D119" s="322">
        <v>91.8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44.1</v>
      </c>
      <c r="C120" s="322">
        <v>66.599999999999994</v>
      </c>
      <c r="D120" s="322">
        <v>96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22.2</v>
      </c>
      <c r="C121" s="322">
        <v>52.6</v>
      </c>
      <c r="D121" s="322">
        <v>83.6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63.6</v>
      </c>
      <c r="D122" s="322">
        <v>86.2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85.7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21.1</v>
      </c>
      <c r="C127" s="322">
        <v>54.1</v>
      </c>
      <c r="D127" s="322">
        <v>80.3</v>
      </c>
      <c r="E127" s="322">
        <v>26.3</v>
      </c>
      <c r="F127" s="322">
        <v>89.4</v>
      </c>
      <c r="G127" s="322">
        <v>103.4</v>
      </c>
      <c r="H127" s="318"/>
    </row>
    <row r="128" spans="1:8" ht="14.5" x14ac:dyDescent="0.35">
      <c r="A128" s="320">
        <v>2</v>
      </c>
      <c r="B128" s="322">
        <v>44.5</v>
      </c>
      <c r="C128" s="322">
        <v>55.5</v>
      </c>
      <c r="D128" s="322">
        <v>97.1</v>
      </c>
      <c r="E128" s="322">
        <v>41.2</v>
      </c>
      <c r="F128" s="322">
        <v>67.099999999999994</v>
      </c>
      <c r="G128" s="322">
        <v>90.1</v>
      </c>
      <c r="H128" s="318"/>
    </row>
    <row r="129" spans="1:8" ht="14.5" x14ac:dyDescent="0.35">
      <c r="A129" s="320">
        <v>3</v>
      </c>
      <c r="B129" s="322">
        <v>24.2</v>
      </c>
      <c r="C129" s="322">
        <v>64.099999999999994</v>
      </c>
      <c r="D129" s="322">
        <v>97.5</v>
      </c>
      <c r="E129" s="322">
        <v>35</v>
      </c>
      <c r="F129" s="322">
        <v>84.1</v>
      </c>
      <c r="G129" s="322">
        <v>104.1</v>
      </c>
      <c r="H129" s="318"/>
    </row>
    <row r="130" spans="1:8" ht="14.5" x14ac:dyDescent="0.35">
      <c r="A130" s="320">
        <v>4</v>
      </c>
      <c r="B130" s="322">
        <v>25.9</v>
      </c>
      <c r="C130" s="322">
        <v>50.4</v>
      </c>
      <c r="D130" s="322">
        <v>87.6</v>
      </c>
      <c r="E130" s="322">
        <v>45.7</v>
      </c>
      <c r="F130" s="322">
        <v>89.7</v>
      </c>
      <c r="G130" s="322">
        <v>97.7</v>
      </c>
      <c r="H130" s="318"/>
    </row>
    <row r="131" spans="1:8" ht="14.5" x14ac:dyDescent="0.35">
      <c r="A131" s="320">
        <v>5</v>
      </c>
      <c r="B131" s="322">
        <v>30.3</v>
      </c>
      <c r="C131" s="322">
        <v>51.9</v>
      </c>
      <c r="D131" s="322">
        <v>81.7</v>
      </c>
      <c r="E131" s="322"/>
      <c r="F131" s="322">
        <v>64.400000000000006</v>
      </c>
      <c r="G131" s="322">
        <v>108.1</v>
      </c>
      <c r="H131" s="318"/>
    </row>
    <row r="132" spans="1:8" ht="14.5" x14ac:dyDescent="0.35">
      <c r="A132" s="320">
        <v>6</v>
      </c>
      <c r="B132" s="322">
        <v>29</v>
      </c>
      <c r="C132" s="322">
        <v>69</v>
      </c>
      <c r="D132" s="322">
        <v>85.1</v>
      </c>
      <c r="E132" s="322"/>
      <c r="F132" s="322"/>
      <c r="G132" s="322">
        <v>97.8</v>
      </c>
      <c r="H132" s="318"/>
    </row>
    <row r="133" spans="1:8" ht="14.5" x14ac:dyDescent="0.35">
      <c r="A133" s="320">
        <v>7</v>
      </c>
      <c r="B133" s="322">
        <v>40.799999999999997</v>
      </c>
      <c r="C133" s="322">
        <v>77.5</v>
      </c>
      <c r="D133" s="322">
        <v>85.5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34.200000000000003</v>
      </c>
      <c r="C134" s="322">
        <v>58</v>
      </c>
      <c r="D134" s="322">
        <v>87.5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37.9</v>
      </c>
      <c r="C135" s="322">
        <v>52.1</v>
      </c>
      <c r="D135" s="322">
        <v>97.4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43.1</v>
      </c>
      <c r="C136" s="322">
        <v>77.400000000000006</v>
      </c>
      <c r="D136" s="322">
        <v>89.1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28.3</v>
      </c>
      <c r="C137" s="322">
        <v>73.8</v>
      </c>
      <c r="D137" s="322">
        <v>96.6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35.799999999999997</v>
      </c>
      <c r="C138" s="322">
        <v>62.2</v>
      </c>
      <c r="D138" s="322">
        <v>80.900000000000006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33.1</v>
      </c>
      <c r="C139" s="322">
        <v>55.6</v>
      </c>
      <c r="D139" s="322">
        <v>88.9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27.4</v>
      </c>
      <c r="C140" s="322">
        <v>53.9</v>
      </c>
      <c r="D140" s="322">
        <v>98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37.1</v>
      </c>
      <c r="C141" s="322">
        <v>60.3</v>
      </c>
      <c r="D141" s="322">
        <v>82.1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20</v>
      </c>
      <c r="C142" s="322">
        <v>51</v>
      </c>
      <c r="D142" s="322">
        <v>80.099999999999994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20.5</v>
      </c>
      <c r="C143" s="322">
        <v>64.099999999999994</v>
      </c>
      <c r="D143" s="322">
        <v>85.3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27.7</v>
      </c>
      <c r="C144" s="322">
        <v>51.2</v>
      </c>
      <c r="D144" s="322">
        <v>97.3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24.1</v>
      </c>
      <c r="C145" s="322">
        <v>53.9</v>
      </c>
      <c r="D145" s="322">
        <v>88.9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28.2</v>
      </c>
      <c r="C146" s="322">
        <v>73.3</v>
      </c>
      <c r="D146" s="322">
        <v>89.7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27.2</v>
      </c>
      <c r="C147" s="322">
        <v>57</v>
      </c>
      <c r="D147" s="322">
        <v>83.6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32.4</v>
      </c>
      <c r="C148" s="322">
        <v>60.7</v>
      </c>
      <c r="D148" s="322">
        <v>88.2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91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87.5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62.8</v>
      </c>
      <c r="C155" s="325">
        <f>ROUNDDOWN(AVERAGE(E6:G45),1)</f>
        <v>85.9</v>
      </c>
      <c r="D155" s="320">
        <v>94502</v>
      </c>
      <c r="E155" s="320">
        <v>12693</v>
      </c>
      <c r="F155" s="325">
        <f>B155*D155</f>
        <v>5934725.5999999996</v>
      </c>
      <c r="G155" s="325">
        <f>C155*E155</f>
        <v>1090328.7000000002</v>
      </c>
    </row>
    <row r="156" spans="1:8" ht="13" x14ac:dyDescent="0.25">
      <c r="A156" s="321" t="s">
        <v>356</v>
      </c>
      <c r="B156" s="325">
        <f>ROUNDDOWN(AVERAGE(B49:D73),1)</f>
        <v>65.400000000000006</v>
      </c>
      <c r="C156" s="325">
        <f>ROUNDDOWN(AVERAGE(E49:G73),1)</f>
        <v>78.2</v>
      </c>
      <c r="D156" s="320">
        <v>52390</v>
      </c>
      <c r="E156" s="320">
        <v>6858</v>
      </c>
      <c r="F156" s="325">
        <f t="shared" ref="F156:G159" si="0">B156*D156</f>
        <v>3426306.0000000005</v>
      </c>
      <c r="G156" s="325">
        <f t="shared" si="0"/>
        <v>536295.6</v>
      </c>
    </row>
    <row r="157" spans="1:8" ht="13" x14ac:dyDescent="0.25">
      <c r="A157" s="321" t="s">
        <v>358</v>
      </c>
      <c r="B157" s="325">
        <f>ROUNDDOWN(AVERAGE(B77:D102),1)</f>
        <v>61.9</v>
      </c>
      <c r="C157" s="325">
        <f>ROUNDDOWN(AVERAGE(E77:G102),1)</f>
        <v>79.599999999999994</v>
      </c>
      <c r="D157" s="320">
        <v>60472</v>
      </c>
      <c r="E157" s="320">
        <v>10153</v>
      </c>
      <c r="F157" s="325">
        <f t="shared" si="0"/>
        <v>3743216.8</v>
      </c>
      <c r="G157" s="325">
        <f t="shared" si="0"/>
        <v>808178.79999999993</v>
      </c>
    </row>
    <row r="158" spans="1:8" ht="13" x14ac:dyDescent="0.25">
      <c r="A158" s="321" t="s">
        <v>360</v>
      </c>
      <c r="B158" s="325">
        <f>ROUNDDOWN(AVERAGE(B106:D123),1)</f>
        <v>63.2</v>
      </c>
      <c r="C158" s="325">
        <f>ROUNDDOWN(AVERAGE(E106:G123),1)</f>
        <v>77.599999999999994</v>
      </c>
      <c r="D158" s="320">
        <v>40323</v>
      </c>
      <c r="E158" s="320">
        <v>5082</v>
      </c>
      <c r="F158" s="325">
        <f t="shared" si="0"/>
        <v>2548413.6</v>
      </c>
      <c r="G158" s="325">
        <f t="shared" si="0"/>
        <v>394363.19999999995</v>
      </c>
    </row>
    <row r="159" spans="1:8" ht="13" x14ac:dyDescent="0.25">
      <c r="A159" s="321" t="s">
        <v>362</v>
      </c>
      <c r="B159" s="325">
        <f>ROUNDDOWN(AVERAGE(B127:D150),1)</f>
        <v>60.6</v>
      </c>
      <c r="C159" s="325">
        <f>ROUNDDOWN(AVERAGE(E127:G150),1)</f>
        <v>76.2</v>
      </c>
      <c r="D159" s="320">
        <v>54596</v>
      </c>
      <c r="E159" s="320">
        <v>10996</v>
      </c>
      <c r="F159" s="325">
        <f t="shared" si="0"/>
        <v>3308517.6</v>
      </c>
      <c r="G159" s="325">
        <f t="shared" si="0"/>
        <v>837895.20000000007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45782</v>
      </c>
      <c r="F160" s="325">
        <f>SUM(F155:F159)</f>
        <v>18961179.599999998</v>
      </c>
      <c r="G160" s="325">
        <f>SUM(G155:G159)</f>
        <v>3667061.5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62.7</v>
      </c>
      <c r="D165" s="327">
        <f>ROUNDDOWN(G160/E160,1)</f>
        <v>80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03E7B-B55B-4D35-B65E-9CDD904D6EDB}">
  <dimension ref="A1:H165"/>
  <sheetViews>
    <sheetView zoomScale="70" zoomScaleNormal="70" workbookViewId="0">
      <selection activeCell="C118" sqref="C118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2022.04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24.5</v>
      </c>
      <c r="C6" s="322">
        <v>57.9</v>
      </c>
      <c r="D6" s="322">
        <v>91.9</v>
      </c>
      <c r="E6" s="322">
        <v>30.7</v>
      </c>
      <c r="F6" s="322">
        <v>88.2</v>
      </c>
      <c r="G6" s="322">
        <v>95.1</v>
      </c>
      <c r="H6" s="318"/>
    </row>
    <row r="7" spans="1:8" ht="14.5" x14ac:dyDescent="0.35">
      <c r="A7" s="320">
        <v>2</v>
      </c>
      <c r="B7" s="322">
        <v>35.5</v>
      </c>
      <c r="C7" s="322">
        <v>61.3</v>
      </c>
      <c r="D7" s="322">
        <v>88.3</v>
      </c>
      <c r="E7" s="322">
        <v>54.4</v>
      </c>
      <c r="F7" s="322">
        <v>71.2</v>
      </c>
      <c r="G7" s="322">
        <v>102.9</v>
      </c>
      <c r="H7" s="318"/>
    </row>
    <row r="8" spans="1:8" ht="14.5" x14ac:dyDescent="0.35">
      <c r="A8" s="320">
        <v>3</v>
      </c>
      <c r="B8" s="322">
        <v>23</v>
      </c>
      <c r="C8" s="322">
        <v>70</v>
      </c>
      <c r="D8" s="322">
        <v>84.8</v>
      </c>
      <c r="E8" s="322">
        <v>57.9</v>
      </c>
      <c r="F8" s="322">
        <v>62.7</v>
      </c>
      <c r="G8" s="322">
        <v>100.9</v>
      </c>
      <c r="H8" s="318"/>
    </row>
    <row r="9" spans="1:8" ht="14.5" x14ac:dyDescent="0.35">
      <c r="A9" s="320">
        <v>4</v>
      </c>
      <c r="B9" s="322">
        <v>21.8</v>
      </c>
      <c r="C9" s="322">
        <v>57.4</v>
      </c>
      <c r="D9" s="322">
        <v>97.5</v>
      </c>
      <c r="E9" s="322">
        <v>49.6</v>
      </c>
      <c r="F9" s="322">
        <v>84.8</v>
      </c>
      <c r="G9" s="322">
        <v>103.8</v>
      </c>
      <c r="H9" s="318"/>
    </row>
    <row r="10" spans="1:8" ht="14.5" x14ac:dyDescent="0.35">
      <c r="A10" s="320">
        <v>5</v>
      </c>
      <c r="B10" s="322">
        <v>25</v>
      </c>
      <c r="C10" s="322">
        <v>73.400000000000006</v>
      </c>
      <c r="D10" s="322">
        <v>90</v>
      </c>
      <c r="E10" s="322"/>
      <c r="F10" s="322">
        <v>63.3</v>
      </c>
      <c r="G10" s="322">
        <v>103.2</v>
      </c>
      <c r="H10" s="318"/>
    </row>
    <row r="11" spans="1:8" ht="14.5" x14ac:dyDescent="0.35">
      <c r="A11" s="320">
        <v>6</v>
      </c>
      <c r="B11" s="322">
        <v>34.4</v>
      </c>
      <c r="C11" s="322">
        <v>71.900000000000006</v>
      </c>
      <c r="D11" s="322">
        <v>84</v>
      </c>
      <c r="E11" s="322"/>
      <c r="F11" s="322">
        <v>71.2</v>
      </c>
      <c r="G11" s="322">
        <v>108.2</v>
      </c>
      <c r="H11" s="318"/>
    </row>
    <row r="12" spans="1:8" ht="14.5" x14ac:dyDescent="0.35">
      <c r="A12" s="320">
        <v>7</v>
      </c>
      <c r="B12" s="322">
        <v>37.5</v>
      </c>
      <c r="C12" s="322">
        <v>70.3</v>
      </c>
      <c r="D12" s="322">
        <v>93.7</v>
      </c>
      <c r="E12" s="322"/>
      <c r="F12" s="322"/>
      <c r="G12" s="322">
        <v>96.4</v>
      </c>
      <c r="H12" s="318"/>
    </row>
    <row r="13" spans="1:8" ht="14.5" x14ac:dyDescent="0.35">
      <c r="A13" s="320">
        <v>8</v>
      </c>
      <c r="B13" s="322">
        <v>35.700000000000003</v>
      </c>
      <c r="C13" s="322">
        <v>70.7</v>
      </c>
      <c r="D13" s="322">
        <v>84.7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39.799999999999997</v>
      </c>
      <c r="C14" s="322">
        <v>49.5</v>
      </c>
      <c r="D14" s="322">
        <v>91.5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20.8</v>
      </c>
      <c r="C15" s="322">
        <v>64.5</v>
      </c>
      <c r="D15" s="322">
        <v>96.8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20.7</v>
      </c>
      <c r="C16" s="322">
        <v>45.6</v>
      </c>
      <c r="D16" s="322">
        <v>90.5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35.700000000000003</v>
      </c>
      <c r="C17" s="322">
        <v>47.5</v>
      </c>
      <c r="D17" s="322">
        <v>86.1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27.2</v>
      </c>
      <c r="C18" s="322">
        <v>48.2</v>
      </c>
      <c r="D18" s="322">
        <v>83.2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41.1</v>
      </c>
      <c r="C19" s="322">
        <v>58.9</v>
      </c>
      <c r="D19" s="322">
        <v>84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23.9</v>
      </c>
      <c r="C20" s="322">
        <v>74.2</v>
      </c>
      <c r="D20" s="322">
        <v>94.5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26.6</v>
      </c>
      <c r="C21" s="322">
        <v>55.6</v>
      </c>
      <c r="D21" s="322">
        <v>89.1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33.4</v>
      </c>
      <c r="C22" s="322">
        <v>47.2</v>
      </c>
      <c r="D22" s="322">
        <v>80.3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23.3</v>
      </c>
      <c r="C23" s="322">
        <v>62.5</v>
      </c>
      <c r="D23" s="322">
        <v>90.5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25</v>
      </c>
      <c r="C24" s="322">
        <v>71.900000000000006</v>
      </c>
      <c r="D24" s="322">
        <v>89.3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35.9</v>
      </c>
      <c r="C25" s="322">
        <v>54.2</v>
      </c>
      <c r="D25" s="322">
        <v>86.6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38.4</v>
      </c>
      <c r="C26" s="322">
        <v>54.7</v>
      </c>
      <c r="D26" s="322">
        <v>95.6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32.799999999999997</v>
      </c>
      <c r="C27" s="322">
        <v>76</v>
      </c>
      <c r="D27" s="322">
        <v>85.9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27.2</v>
      </c>
      <c r="C28" s="322">
        <v>68</v>
      </c>
      <c r="D28" s="322">
        <v>80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34.799999999999997</v>
      </c>
      <c r="C29" s="322">
        <v>45.3</v>
      </c>
      <c r="D29" s="322">
        <v>84.2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20.100000000000001</v>
      </c>
      <c r="C30" s="322">
        <v>46.2</v>
      </c>
      <c r="D30" s="322">
        <v>81.8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31.9</v>
      </c>
      <c r="C31" s="322">
        <v>54.6</v>
      </c>
      <c r="D31" s="322">
        <v>95.6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28.1</v>
      </c>
      <c r="C32" s="322">
        <v>68.8</v>
      </c>
      <c r="D32" s="322">
        <v>84.8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28.5</v>
      </c>
      <c r="C33" s="322">
        <v>74.3</v>
      </c>
      <c r="D33" s="322">
        <v>96.5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34.1</v>
      </c>
      <c r="C34" s="322">
        <v>50.7</v>
      </c>
      <c r="D34" s="322">
        <v>81.099999999999994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27.6</v>
      </c>
      <c r="C35" s="322">
        <v>74.2</v>
      </c>
      <c r="D35" s="322">
        <v>89.5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32</v>
      </c>
      <c r="C36" s="322">
        <v>62.3</v>
      </c>
      <c r="D36" s="322">
        <v>90.3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27.2</v>
      </c>
      <c r="C37" s="322">
        <v>78</v>
      </c>
      <c r="D37" s="322">
        <v>88.8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23.9</v>
      </c>
      <c r="C38" s="322">
        <v>60.9</v>
      </c>
      <c r="D38" s="322">
        <v>86.4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22.8</v>
      </c>
      <c r="C39" s="322">
        <v>51.3</v>
      </c>
      <c r="D39" s="322">
        <v>86.7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30.9</v>
      </c>
      <c r="C40" s="322">
        <v>49.6</v>
      </c>
      <c r="D40" s="322">
        <v>89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21.4</v>
      </c>
      <c r="C41" s="322">
        <v>51.6</v>
      </c>
      <c r="D41" s="322">
        <v>98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23.4</v>
      </c>
      <c r="C42" s="322">
        <v>78.099999999999994</v>
      </c>
      <c r="D42" s="322">
        <v>84.1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35.5</v>
      </c>
      <c r="C43" s="322">
        <v>72.400000000000006</v>
      </c>
      <c r="D43" s="322">
        <v>89.1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68.599999999999994</v>
      </c>
      <c r="D44" s="322">
        <v>83.2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81.3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24.7</v>
      </c>
      <c r="C49" s="322">
        <v>49.9</v>
      </c>
      <c r="D49" s="322">
        <v>87.6</v>
      </c>
      <c r="E49" s="322">
        <v>50.4</v>
      </c>
      <c r="F49" s="322">
        <v>77.3</v>
      </c>
      <c r="G49" s="322">
        <v>117.2</v>
      </c>
      <c r="H49" s="318"/>
    </row>
    <row r="50" spans="1:8" ht="14.5" x14ac:dyDescent="0.35">
      <c r="A50" s="320">
        <v>2</v>
      </c>
      <c r="B50" s="322">
        <v>40.200000000000003</v>
      </c>
      <c r="C50" s="322">
        <v>75.900000000000006</v>
      </c>
      <c r="D50" s="322">
        <v>80.7</v>
      </c>
      <c r="E50" s="322">
        <v>29.4</v>
      </c>
      <c r="F50" s="322">
        <v>78.3</v>
      </c>
      <c r="G50" s="322">
        <v>94.4</v>
      </c>
      <c r="H50" s="318"/>
    </row>
    <row r="51" spans="1:8" ht="14.5" x14ac:dyDescent="0.35">
      <c r="A51" s="320">
        <v>3</v>
      </c>
      <c r="B51" s="322">
        <v>43.5</v>
      </c>
      <c r="C51" s="322">
        <v>74.8</v>
      </c>
      <c r="D51" s="322">
        <v>94</v>
      </c>
      <c r="E51" s="322"/>
      <c r="F51" s="322">
        <v>88.3</v>
      </c>
      <c r="G51" s="322">
        <v>109.4</v>
      </c>
      <c r="H51" s="318"/>
    </row>
    <row r="52" spans="1:8" ht="14.5" x14ac:dyDescent="0.35">
      <c r="A52" s="320">
        <v>4</v>
      </c>
      <c r="B52" s="322">
        <v>27.6</v>
      </c>
      <c r="C52" s="322">
        <v>46.3</v>
      </c>
      <c r="D52" s="322">
        <v>95.5</v>
      </c>
      <c r="E52" s="322"/>
      <c r="F52" s="322">
        <v>66.400000000000006</v>
      </c>
      <c r="G52" s="322">
        <v>94.2</v>
      </c>
      <c r="H52" s="318"/>
    </row>
    <row r="53" spans="1:8" ht="14.5" x14ac:dyDescent="0.35">
      <c r="A53" s="320">
        <v>5</v>
      </c>
      <c r="B53" s="322">
        <v>42.9</v>
      </c>
      <c r="C53" s="322">
        <v>78.8</v>
      </c>
      <c r="D53" s="322">
        <v>87.5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37.1</v>
      </c>
      <c r="C54" s="322">
        <v>76.099999999999994</v>
      </c>
      <c r="D54" s="322">
        <v>94.4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21.5</v>
      </c>
      <c r="C55" s="322">
        <v>61.3</v>
      </c>
      <c r="D55" s="322">
        <v>93.5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34.299999999999997</v>
      </c>
      <c r="C56" s="322">
        <v>78</v>
      </c>
      <c r="D56" s="322">
        <v>80.2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20.6</v>
      </c>
      <c r="C57" s="322">
        <v>77.5</v>
      </c>
      <c r="D57" s="322">
        <v>92.6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33.9</v>
      </c>
      <c r="C58" s="322">
        <v>59.8</v>
      </c>
      <c r="D58" s="322">
        <v>95.1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43.4</v>
      </c>
      <c r="C59" s="322">
        <v>55.3</v>
      </c>
      <c r="D59" s="322">
        <v>85.8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36.6</v>
      </c>
      <c r="C60" s="322">
        <v>78.8</v>
      </c>
      <c r="D60" s="322">
        <v>83.1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42.9</v>
      </c>
      <c r="C61" s="322">
        <v>79.900000000000006</v>
      </c>
      <c r="D61" s="322">
        <v>91.1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35</v>
      </c>
      <c r="C62" s="322">
        <v>70.8</v>
      </c>
      <c r="D62" s="322">
        <v>93.6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33</v>
      </c>
      <c r="C63" s="322">
        <v>51.7</v>
      </c>
      <c r="D63" s="322">
        <v>96.4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34.799999999999997</v>
      </c>
      <c r="C64" s="322">
        <v>76.599999999999994</v>
      </c>
      <c r="D64" s="322">
        <v>84.1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24.4</v>
      </c>
      <c r="C65" s="322">
        <v>63.7</v>
      </c>
      <c r="D65" s="322">
        <v>93.2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43.3</v>
      </c>
      <c r="C66" s="322">
        <v>63</v>
      </c>
      <c r="D66" s="322">
        <v>95.3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45.8</v>
      </c>
      <c r="D67" s="322">
        <v>85.6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45.8</v>
      </c>
      <c r="D68" s="322">
        <v>87.9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52.8</v>
      </c>
      <c r="D69" s="322">
        <v>82.6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51.2</v>
      </c>
      <c r="D70" s="322">
        <v>97.6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50.5</v>
      </c>
      <c r="D71" s="322">
        <v>92.6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81.2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95.3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28.3</v>
      </c>
      <c r="C77" s="322">
        <v>76.2</v>
      </c>
      <c r="D77" s="322">
        <v>93.1</v>
      </c>
      <c r="E77" s="322">
        <v>34.5</v>
      </c>
      <c r="F77" s="322">
        <v>72</v>
      </c>
      <c r="G77" s="322">
        <v>99.7</v>
      </c>
      <c r="H77" s="318"/>
    </row>
    <row r="78" spans="1:8" ht="14.5" x14ac:dyDescent="0.35">
      <c r="A78" s="320">
        <v>2</v>
      </c>
      <c r="B78" s="322">
        <v>41.1</v>
      </c>
      <c r="C78" s="322">
        <v>45.4</v>
      </c>
      <c r="D78" s="322">
        <v>94.1</v>
      </c>
      <c r="E78" s="322">
        <v>33.799999999999997</v>
      </c>
      <c r="F78" s="322">
        <v>83.3</v>
      </c>
      <c r="G78" s="322">
        <v>116.2</v>
      </c>
      <c r="H78" s="318"/>
    </row>
    <row r="79" spans="1:8" ht="14.5" x14ac:dyDescent="0.35">
      <c r="A79" s="320">
        <v>3</v>
      </c>
      <c r="B79" s="322">
        <v>41.3</v>
      </c>
      <c r="C79" s="322">
        <v>47.5</v>
      </c>
      <c r="D79" s="322">
        <v>89.6</v>
      </c>
      <c r="E79" s="322">
        <v>52.6</v>
      </c>
      <c r="F79" s="322">
        <v>76</v>
      </c>
      <c r="G79" s="322">
        <v>115.8</v>
      </c>
      <c r="H79" s="318"/>
    </row>
    <row r="80" spans="1:8" ht="14.5" x14ac:dyDescent="0.35">
      <c r="A80" s="320">
        <v>4</v>
      </c>
      <c r="B80" s="322">
        <v>39</v>
      </c>
      <c r="C80" s="322">
        <v>50.8</v>
      </c>
      <c r="D80" s="322">
        <v>92</v>
      </c>
      <c r="E80" s="322"/>
      <c r="F80" s="322">
        <v>69.5</v>
      </c>
      <c r="G80" s="322">
        <v>112.5</v>
      </c>
      <c r="H80" s="318"/>
    </row>
    <row r="81" spans="1:8" ht="14.5" x14ac:dyDescent="0.35">
      <c r="A81" s="320">
        <v>5</v>
      </c>
      <c r="B81" s="322">
        <v>38.200000000000003</v>
      </c>
      <c r="C81" s="322">
        <v>69.7</v>
      </c>
      <c r="D81" s="322">
        <v>82.2</v>
      </c>
      <c r="E81" s="322"/>
      <c r="F81" s="322">
        <v>83.9</v>
      </c>
      <c r="G81" s="322">
        <v>102.4</v>
      </c>
      <c r="H81" s="318"/>
    </row>
    <row r="82" spans="1:8" ht="14.5" x14ac:dyDescent="0.35">
      <c r="A82" s="320">
        <v>6</v>
      </c>
      <c r="B82" s="322">
        <v>31.8</v>
      </c>
      <c r="C82" s="322">
        <v>62.6</v>
      </c>
      <c r="D82" s="322">
        <v>80.3</v>
      </c>
      <c r="E82" s="322"/>
      <c r="F82" s="322"/>
      <c r="G82" s="322">
        <v>118.5</v>
      </c>
      <c r="H82" s="318"/>
    </row>
    <row r="83" spans="1:8" ht="14.5" x14ac:dyDescent="0.35">
      <c r="A83" s="320">
        <v>7</v>
      </c>
      <c r="B83" s="322">
        <v>35</v>
      </c>
      <c r="C83" s="322">
        <v>49.4</v>
      </c>
      <c r="D83" s="322">
        <v>82.6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20.6</v>
      </c>
      <c r="C84" s="322">
        <v>56.5</v>
      </c>
      <c r="D84" s="322">
        <v>88.6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40.1</v>
      </c>
      <c r="C85" s="322">
        <v>51.7</v>
      </c>
      <c r="D85" s="322">
        <v>93.9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26.3</v>
      </c>
      <c r="C86" s="322">
        <v>65.5</v>
      </c>
      <c r="D86" s="322">
        <v>85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42.8</v>
      </c>
      <c r="C87" s="322">
        <v>77.099999999999994</v>
      </c>
      <c r="D87" s="322">
        <v>94.5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22.2</v>
      </c>
      <c r="C88" s="322">
        <v>48.7</v>
      </c>
      <c r="D88" s="322">
        <v>81.5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42</v>
      </c>
      <c r="C89" s="322">
        <v>69.5</v>
      </c>
      <c r="D89" s="322">
        <v>95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26.3</v>
      </c>
      <c r="C90" s="322">
        <v>45.7</v>
      </c>
      <c r="D90" s="322">
        <v>95.7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25.9</v>
      </c>
      <c r="C91" s="322">
        <v>47.9</v>
      </c>
      <c r="D91" s="322">
        <v>92.2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26.3</v>
      </c>
      <c r="C92" s="322">
        <v>49.1</v>
      </c>
      <c r="D92" s="322">
        <v>83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38.799999999999997</v>
      </c>
      <c r="C93" s="322">
        <v>63.3</v>
      </c>
      <c r="D93" s="322">
        <v>86.3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34.6</v>
      </c>
      <c r="C94" s="322">
        <v>48.3</v>
      </c>
      <c r="D94" s="322">
        <v>92.6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24.6</v>
      </c>
      <c r="C95" s="322">
        <v>75.5</v>
      </c>
      <c r="D95" s="322">
        <v>96.3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38.6</v>
      </c>
      <c r="C96" s="322">
        <v>70.5</v>
      </c>
      <c r="D96" s="322">
        <v>97.9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29.9</v>
      </c>
      <c r="C97" s="322">
        <v>58.1</v>
      </c>
      <c r="D97" s="322">
        <v>82.5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38.4</v>
      </c>
      <c r="C98" s="322">
        <v>74.3</v>
      </c>
      <c r="D98" s="322">
        <v>89.5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29.1</v>
      </c>
      <c r="C99" s="322">
        <v>61.5</v>
      </c>
      <c r="D99" s="322">
        <v>88.5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55.1</v>
      </c>
      <c r="D100" s="322">
        <v>93.5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74</v>
      </c>
      <c r="D101" s="322">
        <v>86.6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68.599999999999994</v>
      </c>
      <c r="D102" s="322">
        <v>89.1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42.4</v>
      </c>
      <c r="C106" s="322">
        <v>76.5</v>
      </c>
      <c r="D106" s="322">
        <v>94.4</v>
      </c>
      <c r="E106" s="322">
        <v>54.1</v>
      </c>
      <c r="F106" s="322">
        <v>66.099999999999994</v>
      </c>
      <c r="G106" s="322">
        <v>98.1</v>
      </c>
      <c r="H106" s="318"/>
    </row>
    <row r="107" spans="1:8" ht="14.5" x14ac:dyDescent="0.35">
      <c r="A107" s="320">
        <v>2</v>
      </c>
      <c r="B107" s="322">
        <v>38.1</v>
      </c>
      <c r="C107" s="322">
        <v>76.900000000000006</v>
      </c>
      <c r="D107" s="322">
        <v>97.4</v>
      </c>
      <c r="E107" s="322">
        <v>36.6</v>
      </c>
      <c r="F107" s="322">
        <v>83.5</v>
      </c>
      <c r="G107" s="322">
        <v>97.2</v>
      </c>
      <c r="H107" s="318"/>
    </row>
    <row r="108" spans="1:8" ht="14.5" x14ac:dyDescent="0.35">
      <c r="A108" s="320">
        <v>3</v>
      </c>
      <c r="B108" s="322">
        <v>31</v>
      </c>
      <c r="C108" s="322">
        <v>61.4</v>
      </c>
      <c r="D108" s="322">
        <v>93.4</v>
      </c>
      <c r="E108" s="322"/>
      <c r="F108" s="322">
        <v>82.2</v>
      </c>
      <c r="G108" s="322">
        <v>90.9</v>
      </c>
      <c r="H108" s="318"/>
    </row>
    <row r="109" spans="1:8" ht="14.5" x14ac:dyDescent="0.35">
      <c r="A109" s="320">
        <v>4</v>
      </c>
      <c r="B109" s="322">
        <v>35.5</v>
      </c>
      <c r="C109" s="322">
        <v>67.7</v>
      </c>
      <c r="D109" s="322">
        <v>92.4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22.6</v>
      </c>
      <c r="C110" s="322">
        <v>73.2</v>
      </c>
      <c r="D110" s="322">
        <v>93.4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27</v>
      </c>
      <c r="C111" s="322">
        <v>78.900000000000006</v>
      </c>
      <c r="D111" s="322">
        <v>86.9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40.6</v>
      </c>
      <c r="C112" s="322">
        <v>52.7</v>
      </c>
      <c r="D112" s="322">
        <v>89.8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43.9</v>
      </c>
      <c r="C113" s="322">
        <v>71.2</v>
      </c>
      <c r="D113" s="322">
        <v>87.8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41.1</v>
      </c>
      <c r="C114" s="322">
        <v>49.8</v>
      </c>
      <c r="D114" s="322">
        <v>87.5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27.5</v>
      </c>
      <c r="C115" s="322">
        <v>79.3</v>
      </c>
      <c r="D115" s="322">
        <v>82.2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36.9</v>
      </c>
      <c r="C116" s="322">
        <v>57.6</v>
      </c>
      <c r="D116" s="322">
        <v>85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31.2</v>
      </c>
      <c r="C117" s="322">
        <v>61.1</v>
      </c>
      <c r="D117" s="322">
        <v>92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21</v>
      </c>
      <c r="C118" s="322">
        <v>48.1</v>
      </c>
      <c r="D118" s="322">
        <v>97.3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26.7</v>
      </c>
      <c r="C119" s="322">
        <v>58.6</v>
      </c>
      <c r="D119" s="322">
        <v>80.5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33.200000000000003</v>
      </c>
      <c r="C120" s="322">
        <v>76.3</v>
      </c>
      <c r="D120" s="322">
        <v>81.3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38.799999999999997</v>
      </c>
      <c r="C121" s="322">
        <v>79.5</v>
      </c>
      <c r="D121" s="322">
        <v>95.8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69.400000000000006</v>
      </c>
      <c r="D122" s="322">
        <v>93.8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84.8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33.6</v>
      </c>
      <c r="C127" s="322">
        <v>45.6</v>
      </c>
      <c r="D127" s="322">
        <v>83.8</v>
      </c>
      <c r="E127" s="322">
        <v>59.7</v>
      </c>
      <c r="F127" s="322">
        <v>82.7</v>
      </c>
      <c r="G127" s="322">
        <v>91.7</v>
      </c>
      <c r="H127" s="318"/>
    </row>
    <row r="128" spans="1:8" ht="14.5" x14ac:dyDescent="0.35">
      <c r="A128" s="320">
        <v>2</v>
      </c>
      <c r="B128" s="322">
        <v>35.9</v>
      </c>
      <c r="C128" s="322">
        <v>72.2</v>
      </c>
      <c r="D128" s="322">
        <v>87.1</v>
      </c>
      <c r="E128" s="322">
        <v>32.4</v>
      </c>
      <c r="F128" s="322">
        <v>76.099999999999994</v>
      </c>
      <c r="G128" s="322">
        <v>112.8</v>
      </c>
      <c r="H128" s="318"/>
    </row>
    <row r="129" spans="1:8" ht="14.5" x14ac:dyDescent="0.35">
      <c r="A129" s="320">
        <v>3</v>
      </c>
      <c r="B129" s="322">
        <v>24.2</v>
      </c>
      <c r="C129" s="322">
        <v>47</v>
      </c>
      <c r="D129" s="322">
        <v>83.6</v>
      </c>
      <c r="E129" s="322">
        <v>27</v>
      </c>
      <c r="F129" s="322">
        <v>62.4</v>
      </c>
      <c r="G129" s="322">
        <v>105.2</v>
      </c>
      <c r="H129" s="318"/>
    </row>
    <row r="130" spans="1:8" ht="14.5" x14ac:dyDescent="0.35">
      <c r="A130" s="320">
        <v>4</v>
      </c>
      <c r="B130" s="322">
        <v>23</v>
      </c>
      <c r="C130" s="322">
        <v>50.2</v>
      </c>
      <c r="D130" s="322">
        <v>88.6</v>
      </c>
      <c r="E130" s="322">
        <v>26</v>
      </c>
      <c r="F130" s="322">
        <v>83.4</v>
      </c>
      <c r="G130" s="322">
        <v>100.8</v>
      </c>
      <c r="H130" s="318"/>
    </row>
    <row r="131" spans="1:8" ht="14.5" x14ac:dyDescent="0.35">
      <c r="A131" s="320">
        <v>5</v>
      </c>
      <c r="B131" s="322">
        <v>28.5</v>
      </c>
      <c r="C131" s="322">
        <v>57</v>
      </c>
      <c r="D131" s="322">
        <v>94.8</v>
      </c>
      <c r="E131" s="322"/>
      <c r="F131" s="322">
        <v>80.099999999999994</v>
      </c>
      <c r="G131" s="322">
        <v>92.1</v>
      </c>
      <c r="H131" s="318"/>
    </row>
    <row r="132" spans="1:8" ht="14.5" x14ac:dyDescent="0.35">
      <c r="A132" s="320">
        <v>6</v>
      </c>
      <c r="B132" s="322">
        <v>32.700000000000003</v>
      </c>
      <c r="C132" s="322">
        <v>50.8</v>
      </c>
      <c r="D132" s="322">
        <v>80.5</v>
      </c>
      <c r="E132" s="322"/>
      <c r="F132" s="322"/>
      <c r="G132" s="322">
        <v>92.1</v>
      </c>
      <c r="H132" s="318"/>
    </row>
    <row r="133" spans="1:8" ht="14.5" x14ac:dyDescent="0.35">
      <c r="A133" s="320">
        <v>7</v>
      </c>
      <c r="B133" s="322">
        <v>20.2</v>
      </c>
      <c r="C133" s="322">
        <v>67.099999999999994</v>
      </c>
      <c r="D133" s="322">
        <v>96.9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24.3</v>
      </c>
      <c r="C134" s="322">
        <v>66.7</v>
      </c>
      <c r="D134" s="322">
        <v>90.9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37.200000000000003</v>
      </c>
      <c r="C135" s="322">
        <v>65.3</v>
      </c>
      <c r="D135" s="322">
        <v>87.1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36.799999999999997</v>
      </c>
      <c r="C136" s="322">
        <v>66.3</v>
      </c>
      <c r="D136" s="322">
        <v>88.1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26.3</v>
      </c>
      <c r="C137" s="322">
        <v>56.3</v>
      </c>
      <c r="D137" s="322">
        <v>96.8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39</v>
      </c>
      <c r="C138" s="322">
        <v>52.7</v>
      </c>
      <c r="D138" s="322">
        <v>85.5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33.9</v>
      </c>
      <c r="C139" s="322">
        <v>54.2</v>
      </c>
      <c r="D139" s="322">
        <v>88.5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31.1</v>
      </c>
      <c r="C140" s="322">
        <v>72</v>
      </c>
      <c r="D140" s="322">
        <v>84.3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24</v>
      </c>
      <c r="C141" s="322">
        <v>55.9</v>
      </c>
      <c r="D141" s="322">
        <v>84.2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21.8</v>
      </c>
      <c r="C142" s="322">
        <v>69.900000000000006</v>
      </c>
      <c r="D142" s="322">
        <v>93.7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44.9</v>
      </c>
      <c r="C143" s="322">
        <v>45.1</v>
      </c>
      <c r="D143" s="322">
        <v>96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33</v>
      </c>
      <c r="C144" s="322">
        <v>79.5</v>
      </c>
      <c r="D144" s="322">
        <v>87.3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36.1</v>
      </c>
      <c r="C145" s="322">
        <v>61.5</v>
      </c>
      <c r="D145" s="322">
        <v>87.4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33.799999999999997</v>
      </c>
      <c r="C146" s="322">
        <v>65.7</v>
      </c>
      <c r="D146" s="322">
        <v>86.3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35.6</v>
      </c>
      <c r="C147" s="322">
        <v>70.8</v>
      </c>
      <c r="D147" s="322">
        <v>87.9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24.9</v>
      </c>
      <c r="C148" s="322">
        <v>52.9</v>
      </c>
      <c r="D148" s="322">
        <v>81.3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96.9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84.8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60.1</v>
      </c>
      <c r="C155" s="325">
        <f>ROUNDDOWN(AVERAGE(E6:G45),1)</f>
        <v>79</v>
      </c>
      <c r="D155" s="320">
        <v>94502</v>
      </c>
      <c r="E155" s="320">
        <v>12671</v>
      </c>
      <c r="F155" s="325">
        <f>B155*D155</f>
        <v>5679570.2000000002</v>
      </c>
      <c r="G155" s="325">
        <f>C155*E155</f>
        <v>1001009</v>
      </c>
    </row>
    <row r="156" spans="1:8" ht="13" x14ac:dyDescent="0.25">
      <c r="A156" s="321" t="s">
        <v>356</v>
      </c>
      <c r="B156" s="325">
        <f>ROUNDDOWN(AVERAGE(B49:D73),1)</f>
        <v>65.599999999999994</v>
      </c>
      <c r="C156" s="325">
        <f>ROUNDDOWN(AVERAGE(E49:G73),1)</f>
        <v>80.5</v>
      </c>
      <c r="D156" s="320">
        <v>52390</v>
      </c>
      <c r="E156" s="320">
        <v>6846</v>
      </c>
      <c r="F156" s="325">
        <f t="shared" ref="F156:G159" si="0">B156*D156</f>
        <v>3436783.9999999995</v>
      </c>
      <c r="G156" s="325">
        <f t="shared" si="0"/>
        <v>551103</v>
      </c>
    </row>
    <row r="157" spans="1:8" ht="13" x14ac:dyDescent="0.25">
      <c r="A157" s="321" t="s">
        <v>358</v>
      </c>
      <c r="B157" s="325">
        <f>ROUNDDOWN(AVERAGE(B77:D102),1)</f>
        <v>61.9</v>
      </c>
      <c r="C157" s="325">
        <f>ROUNDDOWN(AVERAGE(E77:G102),1)</f>
        <v>83.6</v>
      </c>
      <c r="D157" s="320">
        <v>60472</v>
      </c>
      <c r="E157" s="320">
        <v>10136</v>
      </c>
      <c r="F157" s="325">
        <f t="shared" si="0"/>
        <v>3743216.8</v>
      </c>
      <c r="G157" s="325">
        <f t="shared" si="0"/>
        <v>847369.6</v>
      </c>
    </row>
    <row r="158" spans="1:8" ht="13" x14ac:dyDescent="0.25">
      <c r="A158" s="321" t="s">
        <v>360</v>
      </c>
      <c r="B158" s="325">
        <f>ROUNDDOWN(AVERAGE(B106:D123),1)</f>
        <v>64.5</v>
      </c>
      <c r="C158" s="325">
        <f>ROUNDDOWN(AVERAGE(E106:G123),1)</f>
        <v>76</v>
      </c>
      <c r="D158" s="320">
        <v>40323</v>
      </c>
      <c r="E158" s="320">
        <v>5073</v>
      </c>
      <c r="F158" s="325">
        <f t="shared" si="0"/>
        <v>2600833.5</v>
      </c>
      <c r="G158" s="325">
        <f t="shared" si="0"/>
        <v>385548</v>
      </c>
    </row>
    <row r="159" spans="1:8" ht="13" x14ac:dyDescent="0.25">
      <c r="A159" s="321" t="s">
        <v>362</v>
      </c>
      <c r="B159" s="325">
        <f>ROUNDDOWN(AVERAGE(B127:D150),1)</f>
        <v>60.7</v>
      </c>
      <c r="C159" s="325">
        <f>ROUNDDOWN(AVERAGE(E127:G150),1)</f>
        <v>74.900000000000006</v>
      </c>
      <c r="D159" s="320">
        <v>54596</v>
      </c>
      <c r="E159" s="320">
        <v>10978</v>
      </c>
      <c r="F159" s="325">
        <f t="shared" si="0"/>
        <v>3313977.2</v>
      </c>
      <c r="G159" s="325">
        <f t="shared" si="0"/>
        <v>822252.20000000007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45704</v>
      </c>
      <c r="F160" s="325">
        <f>SUM(F155:F159)</f>
        <v>18774381.699999999</v>
      </c>
      <c r="G160" s="325">
        <f>SUM(G155:G159)</f>
        <v>3607281.8000000003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62.1</v>
      </c>
      <c r="D165" s="327">
        <f>ROUNDDOWN(G160/E160,1)</f>
        <v>78.900000000000006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3CA51-49F2-47F8-B9DD-F764FFAE3641}">
  <dimension ref="A1:H165"/>
  <sheetViews>
    <sheetView topLeftCell="A99" zoomScale="70" zoomScaleNormal="70" workbookViewId="0">
      <selection activeCell="B127" sqref="B127:G150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2022.05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30</v>
      </c>
      <c r="C6" s="322">
        <v>64.5</v>
      </c>
      <c r="D6" s="322">
        <v>86.8</v>
      </c>
      <c r="E6" s="322">
        <v>58.3</v>
      </c>
      <c r="F6" s="322">
        <v>62.3</v>
      </c>
      <c r="G6" s="322">
        <v>104</v>
      </c>
      <c r="H6" s="318"/>
    </row>
    <row r="7" spans="1:8" ht="14.5" x14ac:dyDescent="0.35">
      <c r="A7" s="320">
        <v>2</v>
      </c>
      <c r="B7" s="322">
        <v>35.299999999999997</v>
      </c>
      <c r="C7" s="322">
        <v>50</v>
      </c>
      <c r="D7" s="322">
        <v>90.9</v>
      </c>
      <c r="E7" s="322">
        <v>42.6</v>
      </c>
      <c r="F7" s="322">
        <v>85.9</v>
      </c>
      <c r="G7" s="322">
        <v>112.2</v>
      </c>
      <c r="H7" s="318"/>
    </row>
    <row r="8" spans="1:8" ht="14.5" x14ac:dyDescent="0.35">
      <c r="A8" s="320">
        <v>3</v>
      </c>
      <c r="B8" s="322">
        <v>25.6</v>
      </c>
      <c r="C8" s="322">
        <v>71.8</v>
      </c>
      <c r="D8" s="322">
        <v>81.900000000000006</v>
      </c>
      <c r="E8" s="322">
        <v>28.9</v>
      </c>
      <c r="F8" s="322">
        <v>87.5</v>
      </c>
      <c r="G8" s="322">
        <v>98.8</v>
      </c>
      <c r="H8" s="318"/>
    </row>
    <row r="9" spans="1:8" ht="14.5" x14ac:dyDescent="0.35">
      <c r="A9" s="320">
        <v>4</v>
      </c>
      <c r="B9" s="322">
        <v>39</v>
      </c>
      <c r="C9" s="322">
        <v>45.7</v>
      </c>
      <c r="D9" s="322">
        <v>90.6</v>
      </c>
      <c r="E9" s="322">
        <v>39.799999999999997</v>
      </c>
      <c r="F9" s="322">
        <v>87.7</v>
      </c>
      <c r="G9" s="322">
        <v>102.1</v>
      </c>
      <c r="H9" s="318"/>
    </row>
    <row r="10" spans="1:8" ht="14.5" x14ac:dyDescent="0.35">
      <c r="A10" s="320">
        <v>5</v>
      </c>
      <c r="B10" s="322">
        <v>39.799999999999997</v>
      </c>
      <c r="C10" s="322">
        <v>46.6</v>
      </c>
      <c r="D10" s="322">
        <v>84</v>
      </c>
      <c r="E10" s="322"/>
      <c r="F10" s="322">
        <v>64.7</v>
      </c>
      <c r="G10" s="322">
        <v>98.7</v>
      </c>
      <c r="H10" s="318"/>
    </row>
    <row r="11" spans="1:8" ht="14.5" x14ac:dyDescent="0.35">
      <c r="A11" s="320">
        <v>6</v>
      </c>
      <c r="B11" s="322">
        <v>20.7</v>
      </c>
      <c r="C11" s="322">
        <v>50</v>
      </c>
      <c r="D11" s="322">
        <v>86.9</v>
      </c>
      <c r="E11" s="322"/>
      <c r="F11" s="322">
        <v>68.400000000000006</v>
      </c>
      <c r="G11" s="322">
        <v>105.9</v>
      </c>
      <c r="H11" s="318"/>
    </row>
    <row r="12" spans="1:8" ht="14.5" x14ac:dyDescent="0.35">
      <c r="A12" s="320">
        <v>7</v>
      </c>
      <c r="B12" s="322">
        <v>40.4</v>
      </c>
      <c r="C12" s="322">
        <v>61.4</v>
      </c>
      <c r="D12" s="322">
        <v>92.4</v>
      </c>
      <c r="E12" s="322"/>
      <c r="F12" s="322"/>
      <c r="G12" s="322">
        <v>110.8</v>
      </c>
      <c r="H12" s="318"/>
    </row>
    <row r="13" spans="1:8" ht="14.5" x14ac:dyDescent="0.35">
      <c r="A13" s="320">
        <v>8</v>
      </c>
      <c r="B13" s="322">
        <v>44.3</v>
      </c>
      <c r="C13" s="322">
        <v>54.4</v>
      </c>
      <c r="D13" s="322">
        <v>80.5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28.5</v>
      </c>
      <c r="C14" s="322">
        <v>52.1</v>
      </c>
      <c r="D14" s="322">
        <v>90.7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29.5</v>
      </c>
      <c r="C15" s="322">
        <v>48.2</v>
      </c>
      <c r="D15" s="322">
        <v>90.9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31.4</v>
      </c>
      <c r="C16" s="322">
        <v>45</v>
      </c>
      <c r="D16" s="322">
        <v>88.1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32.5</v>
      </c>
      <c r="C17" s="322">
        <v>68</v>
      </c>
      <c r="D17" s="322">
        <v>81.5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39.9</v>
      </c>
      <c r="C18" s="322">
        <v>66.900000000000006</v>
      </c>
      <c r="D18" s="322">
        <v>94.4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34.799999999999997</v>
      </c>
      <c r="C19" s="322">
        <v>46.1</v>
      </c>
      <c r="D19" s="322">
        <v>90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30.1</v>
      </c>
      <c r="C20" s="322">
        <v>65.900000000000006</v>
      </c>
      <c r="D20" s="322">
        <v>91.7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28.6</v>
      </c>
      <c r="C21" s="322">
        <v>50.1</v>
      </c>
      <c r="D21" s="322">
        <v>85.9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23.2</v>
      </c>
      <c r="C22" s="322">
        <v>57.4</v>
      </c>
      <c r="D22" s="322">
        <v>94.3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43.5</v>
      </c>
      <c r="C23" s="322">
        <v>53.8</v>
      </c>
      <c r="D23" s="322">
        <v>88.2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35.1</v>
      </c>
      <c r="C24" s="322">
        <v>59.8</v>
      </c>
      <c r="D24" s="322">
        <v>96.2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30.2</v>
      </c>
      <c r="C25" s="322">
        <v>73.8</v>
      </c>
      <c r="D25" s="322">
        <v>92.1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27.4</v>
      </c>
      <c r="C26" s="322">
        <v>77.7</v>
      </c>
      <c r="D26" s="322">
        <v>89.2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25.8</v>
      </c>
      <c r="C27" s="322">
        <v>66.3</v>
      </c>
      <c r="D27" s="322">
        <v>92.9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29</v>
      </c>
      <c r="C28" s="322">
        <v>47.9</v>
      </c>
      <c r="D28" s="322">
        <v>89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30.6</v>
      </c>
      <c r="C29" s="322">
        <v>58.2</v>
      </c>
      <c r="D29" s="322">
        <v>88.5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29.7</v>
      </c>
      <c r="C30" s="322">
        <v>75</v>
      </c>
      <c r="D30" s="322">
        <v>93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30.3</v>
      </c>
      <c r="C31" s="322">
        <v>53.6</v>
      </c>
      <c r="D31" s="322">
        <v>95.8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30</v>
      </c>
      <c r="C32" s="322">
        <v>53.9</v>
      </c>
      <c r="D32" s="322">
        <v>93.2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35.9</v>
      </c>
      <c r="C33" s="322">
        <v>49.5</v>
      </c>
      <c r="D33" s="322">
        <v>83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30.2</v>
      </c>
      <c r="C34" s="322">
        <v>67.099999999999994</v>
      </c>
      <c r="D34" s="322">
        <v>97.8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34.1</v>
      </c>
      <c r="C35" s="322">
        <v>50.1</v>
      </c>
      <c r="D35" s="322">
        <v>95.5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37.700000000000003</v>
      </c>
      <c r="C36" s="322">
        <v>56.1</v>
      </c>
      <c r="D36" s="322">
        <v>95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38</v>
      </c>
      <c r="C37" s="322">
        <v>74.3</v>
      </c>
      <c r="D37" s="322">
        <v>92.2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44.1</v>
      </c>
      <c r="C38" s="322">
        <v>54.2</v>
      </c>
      <c r="D38" s="322">
        <v>82.1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30.5</v>
      </c>
      <c r="C39" s="322">
        <v>52.9</v>
      </c>
      <c r="D39" s="322">
        <v>97.5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29.8</v>
      </c>
      <c r="C40" s="322">
        <v>47.3</v>
      </c>
      <c r="D40" s="322">
        <v>90.6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23.3</v>
      </c>
      <c r="C41" s="322">
        <v>46.8</v>
      </c>
      <c r="D41" s="322">
        <v>80.599999999999994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24</v>
      </c>
      <c r="C42" s="322">
        <v>50.6</v>
      </c>
      <c r="D42" s="322">
        <v>92.4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29.8</v>
      </c>
      <c r="C43" s="322">
        <v>46.5</v>
      </c>
      <c r="D43" s="322">
        <v>97.8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61.6</v>
      </c>
      <c r="D44" s="322">
        <v>95.8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97.1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43.1</v>
      </c>
      <c r="C49" s="322">
        <v>58.7</v>
      </c>
      <c r="D49" s="322">
        <v>96.4</v>
      </c>
      <c r="E49" s="322">
        <v>36.200000000000003</v>
      </c>
      <c r="F49" s="322">
        <v>89.4</v>
      </c>
      <c r="G49" s="322">
        <v>108.6</v>
      </c>
      <c r="H49" s="318"/>
    </row>
    <row r="50" spans="1:8" ht="14.5" x14ac:dyDescent="0.35">
      <c r="A50" s="320">
        <v>2</v>
      </c>
      <c r="B50" s="322">
        <v>36</v>
      </c>
      <c r="C50" s="322">
        <v>62.4</v>
      </c>
      <c r="D50" s="322">
        <v>94.1</v>
      </c>
      <c r="E50" s="322">
        <v>38.5</v>
      </c>
      <c r="F50" s="322">
        <v>61.7</v>
      </c>
      <c r="G50" s="322">
        <v>106.7</v>
      </c>
      <c r="H50" s="318"/>
    </row>
    <row r="51" spans="1:8" ht="14.5" x14ac:dyDescent="0.35">
      <c r="A51" s="320">
        <v>3</v>
      </c>
      <c r="B51" s="322">
        <v>37.6</v>
      </c>
      <c r="C51" s="322">
        <v>50.5</v>
      </c>
      <c r="D51" s="322">
        <v>87.7</v>
      </c>
      <c r="E51" s="322"/>
      <c r="F51" s="322">
        <v>75.7</v>
      </c>
      <c r="G51" s="322">
        <v>113.1</v>
      </c>
      <c r="H51" s="318"/>
    </row>
    <row r="52" spans="1:8" ht="14.5" x14ac:dyDescent="0.35">
      <c r="A52" s="320">
        <v>4</v>
      </c>
      <c r="B52" s="322">
        <v>44.5</v>
      </c>
      <c r="C52" s="322">
        <v>60.9</v>
      </c>
      <c r="D52" s="322">
        <v>80.400000000000006</v>
      </c>
      <c r="E52" s="322"/>
      <c r="F52" s="322">
        <v>72.599999999999994</v>
      </c>
      <c r="G52" s="322">
        <v>92.7</v>
      </c>
      <c r="H52" s="318"/>
    </row>
    <row r="53" spans="1:8" ht="14.5" x14ac:dyDescent="0.35">
      <c r="A53" s="320">
        <v>5</v>
      </c>
      <c r="B53" s="322">
        <v>44.5</v>
      </c>
      <c r="C53" s="322">
        <v>71.3</v>
      </c>
      <c r="D53" s="322">
        <v>88.8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43</v>
      </c>
      <c r="C54" s="322">
        <v>50.9</v>
      </c>
      <c r="D54" s="322">
        <v>84.9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20.5</v>
      </c>
      <c r="C55" s="322">
        <v>59.7</v>
      </c>
      <c r="D55" s="322">
        <v>84.9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41.3</v>
      </c>
      <c r="C56" s="322">
        <v>72.900000000000006</v>
      </c>
      <c r="D56" s="322">
        <v>89.4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24.6</v>
      </c>
      <c r="C57" s="322">
        <v>69.3</v>
      </c>
      <c r="D57" s="322">
        <v>83.2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31.9</v>
      </c>
      <c r="C58" s="322">
        <v>59.4</v>
      </c>
      <c r="D58" s="322">
        <v>95.6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31.4</v>
      </c>
      <c r="C59" s="322">
        <v>51.8</v>
      </c>
      <c r="D59" s="322">
        <v>85.4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37.5</v>
      </c>
      <c r="C60" s="322">
        <v>55.3</v>
      </c>
      <c r="D60" s="322">
        <v>85.4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44.2</v>
      </c>
      <c r="C61" s="322">
        <v>47.7</v>
      </c>
      <c r="D61" s="322">
        <v>85.6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38.200000000000003</v>
      </c>
      <c r="C62" s="322">
        <v>58.2</v>
      </c>
      <c r="D62" s="322">
        <v>98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24.7</v>
      </c>
      <c r="C63" s="322">
        <v>77.7</v>
      </c>
      <c r="D63" s="322">
        <v>85.7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33</v>
      </c>
      <c r="C64" s="322">
        <v>45.4</v>
      </c>
      <c r="D64" s="322">
        <v>89.6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35.5</v>
      </c>
      <c r="C65" s="322">
        <v>71.8</v>
      </c>
      <c r="D65" s="322">
        <v>97.5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24.1</v>
      </c>
      <c r="C66" s="322">
        <v>46.4</v>
      </c>
      <c r="D66" s="322">
        <v>88.7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66.2</v>
      </c>
      <c r="D67" s="322">
        <v>91.2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78.7</v>
      </c>
      <c r="D68" s="322">
        <v>83.8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65</v>
      </c>
      <c r="D69" s="322">
        <v>85.1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75.099999999999994</v>
      </c>
      <c r="D70" s="322">
        <v>92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73</v>
      </c>
      <c r="D71" s="322">
        <v>89.6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82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92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35.4</v>
      </c>
      <c r="C77" s="322">
        <v>46.6</v>
      </c>
      <c r="D77" s="322">
        <v>93.5</v>
      </c>
      <c r="E77" s="322">
        <v>39.299999999999997</v>
      </c>
      <c r="F77" s="322">
        <v>76.400000000000006</v>
      </c>
      <c r="G77" s="322">
        <v>119.4</v>
      </c>
      <c r="H77" s="318"/>
    </row>
    <row r="78" spans="1:8" ht="14.5" x14ac:dyDescent="0.35">
      <c r="A78" s="320">
        <v>2</v>
      </c>
      <c r="B78" s="322">
        <v>39.299999999999997</v>
      </c>
      <c r="C78" s="322">
        <v>72.2</v>
      </c>
      <c r="D78" s="322">
        <v>95.5</v>
      </c>
      <c r="E78" s="322">
        <v>46.9</v>
      </c>
      <c r="F78" s="322">
        <v>85.5</v>
      </c>
      <c r="G78" s="322">
        <v>113.4</v>
      </c>
      <c r="H78" s="318"/>
    </row>
    <row r="79" spans="1:8" ht="14.5" x14ac:dyDescent="0.35">
      <c r="A79" s="320">
        <v>3</v>
      </c>
      <c r="B79" s="322">
        <v>28.8</v>
      </c>
      <c r="C79" s="322">
        <v>77.099999999999994</v>
      </c>
      <c r="D79" s="322">
        <v>81.099999999999994</v>
      </c>
      <c r="E79" s="322">
        <v>26.9</v>
      </c>
      <c r="F79" s="322">
        <v>78.8</v>
      </c>
      <c r="G79" s="322">
        <v>107.6</v>
      </c>
      <c r="H79" s="318"/>
    </row>
    <row r="80" spans="1:8" ht="14.5" x14ac:dyDescent="0.35">
      <c r="A80" s="320">
        <v>4</v>
      </c>
      <c r="B80" s="322">
        <v>28.6</v>
      </c>
      <c r="C80" s="322">
        <v>60.3</v>
      </c>
      <c r="D80" s="322">
        <v>82.8</v>
      </c>
      <c r="E80" s="322"/>
      <c r="F80" s="322">
        <v>63.7</v>
      </c>
      <c r="G80" s="322">
        <v>93.7</v>
      </c>
      <c r="H80" s="318"/>
    </row>
    <row r="81" spans="1:8" ht="14.5" x14ac:dyDescent="0.35">
      <c r="A81" s="320">
        <v>5</v>
      </c>
      <c r="B81" s="322">
        <v>44.8</v>
      </c>
      <c r="C81" s="322">
        <v>56.5</v>
      </c>
      <c r="D81" s="322">
        <v>90.6</v>
      </c>
      <c r="E81" s="322"/>
      <c r="F81" s="322">
        <v>87.9</v>
      </c>
      <c r="G81" s="322">
        <v>96</v>
      </c>
      <c r="H81" s="318"/>
    </row>
    <row r="82" spans="1:8" ht="14.5" x14ac:dyDescent="0.35">
      <c r="A82" s="320">
        <v>6</v>
      </c>
      <c r="B82" s="322">
        <v>21.2</v>
      </c>
      <c r="C82" s="322">
        <v>72.3</v>
      </c>
      <c r="D82" s="322">
        <v>82.9</v>
      </c>
      <c r="E82" s="322"/>
      <c r="F82" s="322"/>
      <c r="G82" s="322">
        <v>106.8</v>
      </c>
      <c r="H82" s="318"/>
    </row>
    <row r="83" spans="1:8" ht="14.5" x14ac:dyDescent="0.35">
      <c r="A83" s="320">
        <v>7</v>
      </c>
      <c r="B83" s="322">
        <v>44.7</v>
      </c>
      <c r="C83" s="322">
        <v>55.4</v>
      </c>
      <c r="D83" s="322">
        <v>89.2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36.799999999999997</v>
      </c>
      <c r="C84" s="322">
        <v>77.599999999999994</v>
      </c>
      <c r="D84" s="322">
        <v>83.4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26.8</v>
      </c>
      <c r="C85" s="322">
        <v>72</v>
      </c>
      <c r="D85" s="322">
        <v>87.7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30.1</v>
      </c>
      <c r="C86" s="322">
        <v>49.1</v>
      </c>
      <c r="D86" s="322">
        <v>96.9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21.8</v>
      </c>
      <c r="C87" s="322">
        <v>60.2</v>
      </c>
      <c r="D87" s="322">
        <v>88.9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41.6</v>
      </c>
      <c r="C88" s="322">
        <v>63</v>
      </c>
      <c r="D88" s="322">
        <v>97.6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41.7</v>
      </c>
      <c r="C89" s="322">
        <v>45.6</v>
      </c>
      <c r="D89" s="322">
        <v>80.7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38.200000000000003</v>
      </c>
      <c r="C90" s="322">
        <v>47.3</v>
      </c>
      <c r="D90" s="322">
        <v>94.4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34.200000000000003</v>
      </c>
      <c r="C91" s="322">
        <v>64.5</v>
      </c>
      <c r="D91" s="322">
        <v>83.7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20.7</v>
      </c>
      <c r="C92" s="322">
        <v>64.3</v>
      </c>
      <c r="D92" s="322">
        <v>86.5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25.7</v>
      </c>
      <c r="C93" s="322">
        <v>47.4</v>
      </c>
      <c r="D93" s="322">
        <v>90.5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42.3</v>
      </c>
      <c r="C94" s="322">
        <v>59.8</v>
      </c>
      <c r="D94" s="322">
        <v>80.599999999999994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31.3</v>
      </c>
      <c r="C95" s="322">
        <v>78</v>
      </c>
      <c r="D95" s="322">
        <v>92.5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26.1</v>
      </c>
      <c r="C96" s="322">
        <v>60.6</v>
      </c>
      <c r="D96" s="322">
        <v>81.400000000000006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41</v>
      </c>
      <c r="C97" s="322">
        <v>48.5</v>
      </c>
      <c r="D97" s="322">
        <v>85.9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34</v>
      </c>
      <c r="C98" s="322">
        <v>49.6</v>
      </c>
      <c r="D98" s="322">
        <v>85.7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29.5</v>
      </c>
      <c r="C99" s="322">
        <v>54.5</v>
      </c>
      <c r="D99" s="322">
        <v>95.2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65.8</v>
      </c>
      <c r="D100" s="322">
        <v>91.5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72.3</v>
      </c>
      <c r="D101" s="322">
        <v>83.3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58.3</v>
      </c>
      <c r="D102" s="322">
        <v>82.7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38.5</v>
      </c>
      <c r="C106" s="322">
        <v>55.9</v>
      </c>
      <c r="D106" s="322">
        <v>80.400000000000006</v>
      </c>
      <c r="E106" s="322">
        <v>53.1</v>
      </c>
      <c r="F106" s="322">
        <v>67.3</v>
      </c>
      <c r="G106" s="322">
        <v>108.5</v>
      </c>
      <c r="H106" s="318"/>
    </row>
    <row r="107" spans="1:8" ht="14.5" x14ac:dyDescent="0.35">
      <c r="A107" s="320">
        <v>2</v>
      </c>
      <c r="B107" s="322">
        <v>32.9</v>
      </c>
      <c r="C107" s="322">
        <v>64.7</v>
      </c>
      <c r="D107" s="322">
        <v>95.8</v>
      </c>
      <c r="E107" s="322">
        <v>51.2</v>
      </c>
      <c r="F107" s="322">
        <v>88.2</v>
      </c>
      <c r="G107" s="322">
        <v>111.9</v>
      </c>
      <c r="H107" s="318"/>
    </row>
    <row r="108" spans="1:8" ht="14.5" x14ac:dyDescent="0.35">
      <c r="A108" s="320">
        <v>3</v>
      </c>
      <c r="B108" s="322">
        <v>42.9</v>
      </c>
      <c r="C108" s="322">
        <v>50.7</v>
      </c>
      <c r="D108" s="322">
        <v>85.7</v>
      </c>
      <c r="E108" s="322"/>
      <c r="F108" s="322">
        <v>66.599999999999994</v>
      </c>
      <c r="G108" s="322">
        <v>104.5</v>
      </c>
      <c r="H108" s="318"/>
    </row>
    <row r="109" spans="1:8" ht="14.5" x14ac:dyDescent="0.35">
      <c r="A109" s="320">
        <v>4</v>
      </c>
      <c r="B109" s="322">
        <v>25.4</v>
      </c>
      <c r="C109" s="322">
        <v>75</v>
      </c>
      <c r="D109" s="322">
        <v>86.1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37.200000000000003</v>
      </c>
      <c r="C110" s="322">
        <v>76.2</v>
      </c>
      <c r="D110" s="322">
        <v>95.9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33.200000000000003</v>
      </c>
      <c r="C111" s="322">
        <v>60.9</v>
      </c>
      <c r="D111" s="322">
        <v>85.9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23.5</v>
      </c>
      <c r="C112" s="322">
        <v>55.6</v>
      </c>
      <c r="D112" s="322">
        <v>84.5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42.2</v>
      </c>
      <c r="C113" s="322">
        <v>73.599999999999994</v>
      </c>
      <c r="D113" s="322">
        <v>87.2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37.299999999999997</v>
      </c>
      <c r="C114" s="322">
        <v>45.4</v>
      </c>
      <c r="D114" s="322">
        <v>97.4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35.6</v>
      </c>
      <c r="C115" s="322">
        <v>56.8</v>
      </c>
      <c r="D115" s="322">
        <v>94.5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31.7</v>
      </c>
      <c r="C116" s="322">
        <v>53.5</v>
      </c>
      <c r="D116" s="322">
        <v>84.3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25.7</v>
      </c>
      <c r="C117" s="322">
        <v>66.8</v>
      </c>
      <c r="D117" s="322">
        <v>91.3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25.4</v>
      </c>
      <c r="C118" s="322">
        <v>59.5</v>
      </c>
      <c r="D118" s="322">
        <v>81.2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24.1</v>
      </c>
      <c r="C119" s="322">
        <v>64.099999999999994</v>
      </c>
      <c r="D119" s="322">
        <v>98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30.3</v>
      </c>
      <c r="C120" s="322">
        <v>73.900000000000006</v>
      </c>
      <c r="D120" s="322">
        <v>94.3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26.1</v>
      </c>
      <c r="C121" s="322">
        <v>64.3</v>
      </c>
      <c r="D121" s="322">
        <v>94.5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66</v>
      </c>
      <c r="D122" s="322">
        <v>88.3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88.7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32.9</v>
      </c>
      <c r="C127" s="322">
        <v>65.3</v>
      </c>
      <c r="D127" s="322">
        <v>92.4</v>
      </c>
      <c r="E127" s="322">
        <v>42.4</v>
      </c>
      <c r="F127" s="322">
        <v>84.9</v>
      </c>
      <c r="G127" s="322">
        <v>92.6</v>
      </c>
      <c r="H127" s="318"/>
    </row>
    <row r="128" spans="1:8" ht="14.5" x14ac:dyDescent="0.35">
      <c r="A128" s="320">
        <v>2</v>
      </c>
      <c r="B128" s="322">
        <v>32.5</v>
      </c>
      <c r="C128" s="322">
        <v>78.900000000000006</v>
      </c>
      <c r="D128" s="322">
        <v>85.4</v>
      </c>
      <c r="E128" s="322">
        <v>48.6</v>
      </c>
      <c r="F128" s="322">
        <v>83.7</v>
      </c>
      <c r="G128" s="322">
        <v>101.4</v>
      </c>
      <c r="H128" s="318"/>
    </row>
    <row r="129" spans="1:8" ht="14.5" x14ac:dyDescent="0.35">
      <c r="A129" s="320">
        <v>3</v>
      </c>
      <c r="B129" s="322">
        <v>44.9</v>
      </c>
      <c r="C129" s="322">
        <v>73</v>
      </c>
      <c r="D129" s="322">
        <v>81.7</v>
      </c>
      <c r="E129" s="322">
        <v>38.299999999999997</v>
      </c>
      <c r="F129" s="322">
        <v>85</v>
      </c>
      <c r="G129" s="322">
        <v>106.5</v>
      </c>
      <c r="H129" s="318"/>
    </row>
    <row r="130" spans="1:8" ht="14.5" x14ac:dyDescent="0.35">
      <c r="A130" s="320">
        <v>4</v>
      </c>
      <c r="B130" s="322">
        <v>26.6</v>
      </c>
      <c r="C130" s="322">
        <v>73.7</v>
      </c>
      <c r="D130" s="322">
        <v>81.2</v>
      </c>
      <c r="E130" s="322">
        <v>46.3</v>
      </c>
      <c r="F130" s="322">
        <v>74</v>
      </c>
      <c r="G130" s="322">
        <v>94.8</v>
      </c>
      <c r="H130" s="318"/>
    </row>
    <row r="131" spans="1:8" ht="14.5" x14ac:dyDescent="0.35">
      <c r="A131" s="320">
        <v>5</v>
      </c>
      <c r="B131" s="322">
        <v>35.9</v>
      </c>
      <c r="C131" s="322">
        <v>50.7</v>
      </c>
      <c r="D131" s="322">
        <v>97.4</v>
      </c>
      <c r="E131" s="322"/>
      <c r="F131" s="322">
        <v>82.1</v>
      </c>
      <c r="G131" s="322">
        <v>96.8</v>
      </c>
      <c r="H131" s="318"/>
    </row>
    <row r="132" spans="1:8" ht="14.5" x14ac:dyDescent="0.35">
      <c r="A132" s="320">
        <v>6</v>
      </c>
      <c r="B132" s="322">
        <v>32.299999999999997</v>
      </c>
      <c r="C132" s="322">
        <v>72.900000000000006</v>
      </c>
      <c r="D132" s="322">
        <v>93.7</v>
      </c>
      <c r="E132" s="322"/>
      <c r="F132" s="322"/>
      <c r="G132" s="322">
        <v>101.6</v>
      </c>
      <c r="H132" s="318"/>
    </row>
    <row r="133" spans="1:8" ht="14.5" x14ac:dyDescent="0.35">
      <c r="A133" s="320">
        <v>7</v>
      </c>
      <c r="B133" s="322">
        <v>42.8</v>
      </c>
      <c r="C133" s="322">
        <v>57.6</v>
      </c>
      <c r="D133" s="322">
        <v>91.2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40.6</v>
      </c>
      <c r="C134" s="322">
        <v>59.6</v>
      </c>
      <c r="D134" s="322">
        <v>91.3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35.6</v>
      </c>
      <c r="C135" s="322">
        <v>47.1</v>
      </c>
      <c r="D135" s="322">
        <v>95.7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39.299999999999997</v>
      </c>
      <c r="C136" s="322">
        <v>54.7</v>
      </c>
      <c r="D136" s="322">
        <v>85.4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30.4</v>
      </c>
      <c r="C137" s="322">
        <v>65.8</v>
      </c>
      <c r="D137" s="322">
        <v>89.2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34.1</v>
      </c>
      <c r="C138" s="322">
        <v>46.1</v>
      </c>
      <c r="D138" s="322">
        <v>92.6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30.4</v>
      </c>
      <c r="C139" s="322">
        <v>75.3</v>
      </c>
      <c r="D139" s="322">
        <v>81.8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42.8</v>
      </c>
      <c r="C140" s="322">
        <v>67.5</v>
      </c>
      <c r="D140" s="322">
        <v>86.6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38.299999999999997</v>
      </c>
      <c r="C141" s="322">
        <v>56.3</v>
      </c>
      <c r="D141" s="322">
        <v>88.9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40.799999999999997</v>
      </c>
      <c r="C142" s="322">
        <v>62.5</v>
      </c>
      <c r="D142" s="322">
        <v>97.3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25.2</v>
      </c>
      <c r="C143" s="322">
        <v>49.8</v>
      </c>
      <c r="D143" s="322">
        <v>85.6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21.7</v>
      </c>
      <c r="C144" s="322">
        <v>51.1</v>
      </c>
      <c r="D144" s="322">
        <v>93.8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20</v>
      </c>
      <c r="C145" s="322">
        <v>53.5</v>
      </c>
      <c r="D145" s="322">
        <v>91.2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41.5</v>
      </c>
      <c r="C146" s="322">
        <v>66.2</v>
      </c>
      <c r="D146" s="322">
        <v>84.2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22.8</v>
      </c>
      <c r="C147" s="322">
        <v>68.900000000000006</v>
      </c>
      <c r="D147" s="322">
        <v>90.7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25</v>
      </c>
      <c r="C148" s="322">
        <v>48.1</v>
      </c>
      <c r="D148" s="322">
        <v>92.5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91.7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81.8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60.3</v>
      </c>
      <c r="C155" s="325">
        <f>ROUNDDOWN(AVERAGE(E6:G45),1)</f>
        <v>79.900000000000006</v>
      </c>
      <c r="D155" s="320">
        <v>94502</v>
      </c>
      <c r="E155" s="320">
        <v>12730</v>
      </c>
      <c r="F155" s="325">
        <f>B155*D155</f>
        <v>5698470.5999999996</v>
      </c>
      <c r="G155" s="325">
        <f>C155*E155</f>
        <v>1017127.0000000001</v>
      </c>
    </row>
    <row r="156" spans="1:8" ht="13" x14ac:dyDescent="0.25">
      <c r="A156" s="321" t="s">
        <v>356</v>
      </c>
      <c r="B156" s="325">
        <f>ROUNDDOWN(AVERAGE(B49:D73),1)</f>
        <v>64.8</v>
      </c>
      <c r="C156" s="325">
        <f>ROUNDDOWN(AVERAGE(E49:G73),1)</f>
        <v>79.5</v>
      </c>
      <c r="D156" s="320">
        <v>52390</v>
      </c>
      <c r="E156" s="320">
        <v>6878</v>
      </c>
      <c r="F156" s="325">
        <f t="shared" ref="F156:G159" si="0">B156*D156</f>
        <v>3394872</v>
      </c>
      <c r="G156" s="325">
        <f t="shared" si="0"/>
        <v>546801</v>
      </c>
    </row>
    <row r="157" spans="1:8" ht="13" x14ac:dyDescent="0.25">
      <c r="A157" s="321" t="s">
        <v>358</v>
      </c>
      <c r="B157" s="325">
        <f>ROUNDDOWN(AVERAGE(B77:D102),1)</f>
        <v>61.7</v>
      </c>
      <c r="C157" s="325">
        <f>ROUNDDOWN(AVERAGE(E77:G102),1)</f>
        <v>81.5</v>
      </c>
      <c r="D157" s="320">
        <v>60472</v>
      </c>
      <c r="E157" s="320">
        <v>10183</v>
      </c>
      <c r="F157" s="325">
        <f t="shared" si="0"/>
        <v>3731122.4000000004</v>
      </c>
      <c r="G157" s="325">
        <f t="shared" si="0"/>
        <v>829914.5</v>
      </c>
    </row>
    <row r="158" spans="1:8" ht="13" x14ac:dyDescent="0.25">
      <c r="A158" s="321" t="s">
        <v>360</v>
      </c>
      <c r="B158" s="325">
        <f>ROUNDDOWN(AVERAGE(B106:D123),1)</f>
        <v>62.5</v>
      </c>
      <c r="C158" s="325">
        <f>ROUNDDOWN(AVERAGE(E106:G123),1)</f>
        <v>81.400000000000006</v>
      </c>
      <c r="D158" s="320">
        <v>40323</v>
      </c>
      <c r="E158" s="320">
        <v>5097</v>
      </c>
      <c r="F158" s="325">
        <f t="shared" si="0"/>
        <v>2520187.5</v>
      </c>
      <c r="G158" s="325">
        <f t="shared" si="0"/>
        <v>414895.80000000005</v>
      </c>
    </row>
    <row r="159" spans="1:8" ht="13" x14ac:dyDescent="0.25">
      <c r="A159" s="321" t="s">
        <v>362</v>
      </c>
      <c r="B159" s="325">
        <f>ROUNDDOWN(AVERAGE(B127:D150),1)</f>
        <v>62.1</v>
      </c>
      <c r="C159" s="325">
        <f>ROUNDDOWN(AVERAGE(E127:G150),1)</f>
        <v>78.599999999999994</v>
      </c>
      <c r="D159" s="320">
        <v>54596</v>
      </c>
      <c r="E159" s="320">
        <v>11029</v>
      </c>
      <c r="F159" s="325">
        <f t="shared" si="0"/>
        <v>3390411.6</v>
      </c>
      <c r="G159" s="325">
        <f t="shared" si="0"/>
        <v>866879.39999999991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45917</v>
      </c>
      <c r="F160" s="325">
        <f>SUM(F155:F159)</f>
        <v>18735064.100000001</v>
      </c>
      <c r="G160" s="325">
        <f>SUM(G155:G159)</f>
        <v>3675617.6999999997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61.9</v>
      </c>
      <c r="D165" s="327">
        <f>ROUNDDOWN(G160/E160,1)</f>
        <v>80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890F8-55D2-44A6-AC2B-29A8B0604C63}">
  <dimension ref="A1:H165"/>
  <sheetViews>
    <sheetView topLeftCell="A104" zoomScale="70" zoomScaleNormal="70" workbookViewId="0">
      <selection activeCell="B127" sqref="B127:G150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2022.06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36.299999999999997</v>
      </c>
      <c r="C6" s="322">
        <v>67.7</v>
      </c>
      <c r="D6" s="322">
        <v>81.8</v>
      </c>
      <c r="E6" s="322">
        <v>50.4</v>
      </c>
      <c r="F6" s="322">
        <v>72.8</v>
      </c>
      <c r="G6" s="322">
        <v>92.4</v>
      </c>
      <c r="H6" s="318"/>
    </row>
    <row r="7" spans="1:8" ht="14.5" x14ac:dyDescent="0.35">
      <c r="A7" s="320">
        <v>2</v>
      </c>
      <c r="B7" s="322">
        <v>27</v>
      </c>
      <c r="C7" s="322">
        <v>71.599999999999994</v>
      </c>
      <c r="D7" s="322">
        <v>93.8</v>
      </c>
      <c r="E7" s="322">
        <v>57.2</v>
      </c>
      <c r="F7" s="322">
        <v>60.4</v>
      </c>
      <c r="G7" s="322">
        <v>110.9</v>
      </c>
      <c r="H7" s="318"/>
    </row>
    <row r="8" spans="1:8" ht="14.5" x14ac:dyDescent="0.35">
      <c r="A8" s="320">
        <v>3</v>
      </c>
      <c r="B8" s="322">
        <v>22.9</v>
      </c>
      <c r="C8" s="322">
        <v>56.6</v>
      </c>
      <c r="D8" s="322">
        <v>92.3</v>
      </c>
      <c r="E8" s="322">
        <v>35.799999999999997</v>
      </c>
      <c r="F8" s="322">
        <v>61.6</v>
      </c>
      <c r="G8" s="322">
        <v>104.3</v>
      </c>
      <c r="H8" s="318"/>
    </row>
    <row r="9" spans="1:8" ht="14.5" x14ac:dyDescent="0.35">
      <c r="A9" s="320">
        <v>4</v>
      </c>
      <c r="B9" s="322">
        <v>38.700000000000003</v>
      </c>
      <c r="C9" s="322">
        <v>50.9</v>
      </c>
      <c r="D9" s="322">
        <v>92</v>
      </c>
      <c r="E9" s="322">
        <v>49.1</v>
      </c>
      <c r="F9" s="322">
        <v>81.7</v>
      </c>
      <c r="G9" s="322">
        <v>97.5</v>
      </c>
      <c r="H9" s="318"/>
    </row>
    <row r="10" spans="1:8" ht="14.5" x14ac:dyDescent="0.35">
      <c r="A10" s="320">
        <v>5</v>
      </c>
      <c r="B10" s="322">
        <v>29.5</v>
      </c>
      <c r="C10" s="322">
        <v>66.099999999999994</v>
      </c>
      <c r="D10" s="322">
        <v>84.4</v>
      </c>
      <c r="E10" s="322"/>
      <c r="F10" s="322">
        <v>77.2</v>
      </c>
      <c r="G10" s="322">
        <v>107.2</v>
      </c>
      <c r="H10" s="318"/>
    </row>
    <row r="11" spans="1:8" ht="14.5" x14ac:dyDescent="0.35">
      <c r="A11" s="320">
        <v>6</v>
      </c>
      <c r="B11" s="322">
        <v>41.8</v>
      </c>
      <c r="C11" s="322">
        <v>48.7</v>
      </c>
      <c r="D11" s="322">
        <v>83.1</v>
      </c>
      <c r="E11" s="322"/>
      <c r="F11" s="322">
        <v>68.900000000000006</v>
      </c>
      <c r="G11" s="322">
        <v>95.8</v>
      </c>
      <c r="H11" s="318"/>
    </row>
    <row r="12" spans="1:8" ht="14.5" x14ac:dyDescent="0.35">
      <c r="A12" s="320">
        <v>7</v>
      </c>
      <c r="B12" s="322">
        <v>26.6</v>
      </c>
      <c r="C12" s="322">
        <v>58.1</v>
      </c>
      <c r="D12" s="322">
        <v>94</v>
      </c>
      <c r="E12" s="322"/>
      <c r="F12" s="322"/>
      <c r="G12" s="322">
        <v>113.9</v>
      </c>
      <c r="H12" s="318"/>
    </row>
    <row r="13" spans="1:8" ht="14.5" x14ac:dyDescent="0.35">
      <c r="A13" s="320">
        <v>8</v>
      </c>
      <c r="B13" s="322">
        <v>36.299999999999997</v>
      </c>
      <c r="C13" s="322">
        <v>65.8</v>
      </c>
      <c r="D13" s="322">
        <v>87.9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32.5</v>
      </c>
      <c r="C14" s="322">
        <v>55.8</v>
      </c>
      <c r="D14" s="322">
        <v>82.1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34.700000000000003</v>
      </c>
      <c r="C15" s="322">
        <v>76.900000000000006</v>
      </c>
      <c r="D15" s="322">
        <v>94.1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40.9</v>
      </c>
      <c r="C16" s="322">
        <v>46.4</v>
      </c>
      <c r="D16" s="322">
        <v>91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24.3</v>
      </c>
      <c r="C17" s="322">
        <v>59.4</v>
      </c>
      <c r="D17" s="322">
        <v>96.9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32.299999999999997</v>
      </c>
      <c r="C18" s="322">
        <v>72.5</v>
      </c>
      <c r="D18" s="322">
        <v>95.4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36.700000000000003</v>
      </c>
      <c r="C19" s="322">
        <v>57.8</v>
      </c>
      <c r="D19" s="322">
        <v>80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22.2</v>
      </c>
      <c r="C20" s="322">
        <v>78.8</v>
      </c>
      <c r="D20" s="322">
        <v>97.9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41.5</v>
      </c>
      <c r="C21" s="322">
        <v>63.2</v>
      </c>
      <c r="D21" s="322">
        <v>85.7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26.6</v>
      </c>
      <c r="C22" s="322">
        <v>54.1</v>
      </c>
      <c r="D22" s="322">
        <v>85.3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28.1</v>
      </c>
      <c r="C23" s="322">
        <v>60.3</v>
      </c>
      <c r="D23" s="322">
        <v>84.3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38.200000000000003</v>
      </c>
      <c r="C24" s="322">
        <v>45.4</v>
      </c>
      <c r="D24" s="322">
        <v>95.6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22.7</v>
      </c>
      <c r="C25" s="322">
        <v>58</v>
      </c>
      <c r="D25" s="322">
        <v>92.8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29.8</v>
      </c>
      <c r="C26" s="322">
        <v>53.6</v>
      </c>
      <c r="D26" s="322">
        <v>84.7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30.3</v>
      </c>
      <c r="C27" s="322">
        <v>73.8</v>
      </c>
      <c r="D27" s="322">
        <v>82.1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41.1</v>
      </c>
      <c r="C28" s="322">
        <v>73.2</v>
      </c>
      <c r="D28" s="322">
        <v>87.3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33.9</v>
      </c>
      <c r="C29" s="322">
        <v>61</v>
      </c>
      <c r="D29" s="322">
        <v>93.7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43.8</v>
      </c>
      <c r="C30" s="322">
        <v>48.1</v>
      </c>
      <c r="D30" s="322">
        <v>96.8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20.100000000000001</v>
      </c>
      <c r="C31" s="322">
        <v>65.5</v>
      </c>
      <c r="D31" s="322">
        <v>87.3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31.5</v>
      </c>
      <c r="C32" s="322">
        <v>78.900000000000006</v>
      </c>
      <c r="D32" s="322">
        <v>87.7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38.4</v>
      </c>
      <c r="C33" s="322">
        <v>76.3</v>
      </c>
      <c r="D33" s="322">
        <v>81.5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37.299999999999997</v>
      </c>
      <c r="C34" s="322">
        <v>50.9</v>
      </c>
      <c r="D34" s="322">
        <v>83.3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33.5</v>
      </c>
      <c r="C35" s="322">
        <v>53.8</v>
      </c>
      <c r="D35" s="322">
        <v>87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26.1</v>
      </c>
      <c r="C36" s="322">
        <v>55.8</v>
      </c>
      <c r="D36" s="322">
        <v>80.7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28.7</v>
      </c>
      <c r="C37" s="322">
        <v>68.8</v>
      </c>
      <c r="D37" s="322">
        <v>92.5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34.5</v>
      </c>
      <c r="C38" s="322">
        <v>53.8</v>
      </c>
      <c r="D38" s="322">
        <v>86.3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31.8</v>
      </c>
      <c r="C39" s="322">
        <v>54.3</v>
      </c>
      <c r="D39" s="322">
        <v>91.9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30.1</v>
      </c>
      <c r="C40" s="322">
        <v>66.400000000000006</v>
      </c>
      <c r="D40" s="322">
        <v>84.6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38.200000000000003</v>
      </c>
      <c r="C41" s="322">
        <v>68.3</v>
      </c>
      <c r="D41" s="322">
        <v>80.2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24.2</v>
      </c>
      <c r="C42" s="322">
        <v>55.5</v>
      </c>
      <c r="D42" s="322">
        <v>86.9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26.6</v>
      </c>
      <c r="C43" s="322">
        <v>75.8</v>
      </c>
      <c r="D43" s="322">
        <v>97.8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78.400000000000006</v>
      </c>
      <c r="D44" s="322">
        <v>84.8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97.9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27.1</v>
      </c>
      <c r="C49" s="322">
        <v>72.900000000000006</v>
      </c>
      <c r="D49" s="322">
        <v>94.2</v>
      </c>
      <c r="E49" s="322">
        <v>37.299999999999997</v>
      </c>
      <c r="F49" s="322">
        <v>88.4</v>
      </c>
      <c r="G49" s="322">
        <v>114.3</v>
      </c>
      <c r="H49" s="318"/>
    </row>
    <row r="50" spans="1:8" ht="14.5" x14ac:dyDescent="0.35">
      <c r="A50" s="320">
        <v>2</v>
      </c>
      <c r="B50" s="322">
        <v>20.100000000000001</v>
      </c>
      <c r="C50" s="322">
        <v>76.3</v>
      </c>
      <c r="D50" s="322">
        <v>94.5</v>
      </c>
      <c r="E50" s="322">
        <v>33.200000000000003</v>
      </c>
      <c r="F50" s="322">
        <v>80.5</v>
      </c>
      <c r="G50" s="322">
        <v>118</v>
      </c>
      <c r="H50" s="318"/>
    </row>
    <row r="51" spans="1:8" ht="14.5" x14ac:dyDescent="0.35">
      <c r="A51" s="320">
        <v>3</v>
      </c>
      <c r="B51" s="322">
        <v>34.299999999999997</v>
      </c>
      <c r="C51" s="322">
        <v>76.2</v>
      </c>
      <c r="D51" s="322">
        <v>80</v>
      </c>
      <c r="E51" s="322"/>
      <c r="F51" s="322">
        <v>76.2</v>
      </c>
      <c r="G51" s="322">
        <v>108.6</v>
      </c>
      <c r="H51" s="318"/>
    </row>
    <row r="52" spans="1:8" ht="14.5" x14ac:dyDescent="0.35">
      <c r="A52" s="320">
        <v>4</v>
      </c>
      <c r="B52" s="322">
        <v>41.3</v>
      </c>
      <c r="C52" s="322">
        <v>59.8</v>
      </c>
      <c r="D52" s="322">
        <v>97.9</v>
      </c>
      <c r="E52" s="322"/>
      <c r="F52" s="322">
        <v>84.5</v>
      </c>
      <c r="G52" s="322">
        <v>104.7</v>
      </c>
      <c r="H52" s="318"/>
    </row>
    <row r="53" spans="1:8" ht="14.5" x14ac:dyDescent="0.35">
      <c r="A53" s="320">
        <v>5</v>
      </c>
      <c r="B53" s="322">
        <v>38.799999999999997</v>
      </c>
      <c r="C53" s="322">
        <v>73.900000000000006</v>
      </c>
      <c r="D53" s="322">
        <v>94.1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31.8</v>
      </c>
      <c r="C54" s="322">
        <v>52.9</v>
      </c>
      <c r="D54" s="322">
        <v>85.9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39.4</v>
      </c>
      <c r="C55" s="322">
        <v>77.400000000000006</v>
      </c>
      <c r="D55" s="322">
        <v>98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21.5</v>
      </c>
      <c r="C56" s="322">
        <v>54</v>
      </c>
      <c r="D56" s="322">
        <v>81.599999999999994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43.3</v>
      </c>
      <c r="C57" s="322">
        <v>74.5</v>
      </c>
      <c r="D57" s="322">
        <v>87.7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25.9</v>
      </c>
      <c r="C58" s="322">
        <v>49.7</v>
      </c>
      <c r="D58" s="322">
        <v>84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24.4</v>
      </c>
      <c r="C59" s="322">
        <v>77.599999999999994</v>
      </c>
      <c r="D59" s="322">
        <v>82.9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41.8</v>
      </c>
      <c r="C60" s="322">
        <v>49.9</v>
      </c>
      <c r="D60" s="322">
        <v>96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35.700000000000003</v>
      </c>
      <c r="C61" s="322">
        <v>78.599999999999994</v>
      </c>
      <c r="D61" s="322">
        <v>91.3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27.6</v>
      </c>
      <c r="C62" s="322">
        <v>64</v>
      </c>
      <c r="D62" s="322">
        <v>94.2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37.1</v>
      </c>
      <c r="C63" s="322">
        <v>76.8</v>
      </c>
      <c r="D63" s="322">
        <v>96.7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33.5</v>
      </c>
      <c r="C64" s="322">
        <v>78.599999999999994</v>
      </c>
      <c r="D64" s="322">
        <v>95.3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41.3</v>
      </c>
      <c r="C65" s="322">
        <v>55.7</v>
      </c>
      <c r="D65" s="322">
        <v>86.1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29.5</v>
      </c>
      <c r="C66" s="322">
        <v>70.5</v>
      </c>
      <c r="D66" s="322">
        <v>95.5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78.8</v>
      </c>
      <c r="D67" s="322">
        <v>83.5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51.3</v>
      </c>
      <c r="D68" s="322">
        <v>87.1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53</v>
      </c>
      <c r="D69" s="322">
        <v>86.1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61.3</v>
      </c>
      <c r="D70" s="322">
        <v>93.2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56.3</v>
      </c>
      <c r="D71" s="322">
        <v>94.2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87.4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83.8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33.200000000000003</v>
      </c>
      <c r="C77" s="322">
        <v>59.6</v>
      </c>
      <c r="D77" s="322">
        <v>90.3</v>
      </c>
      <c r="E77" s="322">
        <v>47.2</v>
      </c>
      <c r="F77" s="322">
        <v>69.400000000000006</v>
      </c>
      <c r="G77" s="322">
        <v>113.5</v>
      </c>
      <c r="H77" s="318"/>
    </row>
    <row r="78" spans="1:8" ht="14.5" x14ac:dyDescent="0.35">
      <c r="A78" s="320">
        <v>2</v>
      </c>
      <c r="B78" s="322">
        <v>35.5</v>
      </c>
      <c r="C78" s="322">
        <v>46.8</v>
      </c>
      <c r="D78" s="322">
        <v>91.5</v>
      </c>
      <c r="E78" s="322">
        <v>42.1</v>
      </c>
      <c r="F78" s="322">
        <v>76.8</v>
      </c>
      <c r="G78" s="322">
        <v>90.6</v>
      </c>
      <c r="H78" s="318"/>
    </row>
    <row r="79" spans="1:8" ht="14.5" x14ac:dyDescent="0.35">
      <c r="A79" s="320">
        <v>3</v>
      </c>
      <c r="B79" s="322">
        <v>37</v>
      </c>
      <c r="C79" s="322">
        <v>58.9</v>
      </c>
      <c r="D79" s="322">
        <v>91.3</v>
      </c>
      <c r="E79" s="322">
        <v>52.4</v>
      </c>
      <c r="F79" s="322">
        <v>71.5</v>
      </c>
      <c r="G79" s="322">
        <v>118.8</v>
      </c>
      <c r="H79" s="318"/>
    </row>
    <row r="80" spans="1:8" ht="14.5" x14ac:dyDescent="0.35">
      <c r="A80" s="320">
        <v>4</v>
      </c>
      <c r="B80" s="322">
        <v>40.6</v>
      </c>
      <c r="C80" s="322">
        <v>63.8</v>
      </c>
      <c r="D80" s="322">
        <v>93</v>
      </c>
      <c r="E80" s="322"/>
      <c r="F80" s="322">
        <v>62.2</v>
      </c>
      <c r="G80" s="322">
        <v>109.3</v>
      </c>
      <c r="H80" s="318"/>
    </row>
    <row r="81" spans="1:8" ht="14.5" x14ac:dyDescent="0.35">
      <c r="A81" s="320">
        <v>5</v>
      </c>
      <c r="B81" s="322">
        <v>28.1</v>
      </c>
      <c r="C81" s="322">
        <v>67</v>
      </c>
      <c r="D81" s="322">
        <v>96.4</v>
      </c>
      <c r="E81" s="322"/>
      <c r="F81" s="322">
        <v>67.7</v>
      </c>
      <c r="G81" s="322">
        <v>109.2</v>
      </c>
      <c r="H81" s="318"/>
    </row>
    <row r="82" spans="1:8" ht="14.5" x14ac:dyDescent="0.35">
      <c r="A82" s="320">
        <v>6</v>
      </c>
      <c r="B82" s="322">
        <v>42</v>
      </c>
      <c r="C82" s="322">
        <v>52.6</v>
      </c>
      <c r="D82" s="322">
        <v>90.6</v>
      </c>
      <c r="E82" s="322"/>
      <c r="F82" s="322"/>
      <c r="G82" s="322">
        <v>106.9</v>
      </c>
      <c r="H82" s="318"/>
    </row>
    <row r="83" spans="1:8" ht="14.5" x14ac:dyDescent="0.35">
      <c r="A83" s="320">
        <v>7</v>
      </c>
      <c r="B83" s="322">
        <v>44.3</v>
      </c>
      <c r="C83" s="322">
        <v>78.7</v>
      </c>
      <c r="D83" s="322">
        <v>94.9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41.8</v>
      </c>
      <c r="C84" s="322">
        <v>61</v>
      </c>
      <c r="D84" s="322">
        <v>97.7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25.7</v>
      </c>
      <c r="C85" s="322">
        <v>75</v>
      </c>
      <c r="D85" s="322">
        <v>84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39.1</v>
      </c>
      <c r="C86" s="322">
        <v>69</v>
      </c>
      <c r="D86" s="322">
        <v>90.8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31.8</v>
      </c>
      <c r="C87" s="322">
        <v>50.7</v>
      </c>
      <c r="D87" s="322">
        <v>91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22.1</v>
      </c>
      <c r="C88" s="322">
        <v>52.1</v>
      </c>
      <c r="D88" s="322">
        <v>86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38.799999999999997</v>
      </c>
      <c r="C89" s="322">
        <v>55.1</v>
      </c>
      <c r="D89" s="322">
        <v>87.1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33.200000000000003</v>
      </c>
      <c r="C90" s="322">
        <v>59.3</v>
      </c>
      <c r="D90" s="322">
        <v>93.3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43.1</v>
      </c>
      <c r="C91" s="322">
        <v>67.599999999999994</v>
      </c>
      <c r="D91" s="322">
        <v>84.8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23.8</v>
      </c>
      <c r="C92" s="322">
        <v>53.1</v>
      </c>
      <c r="D92" s="322">
        <v>82.8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20</v>
      </c>
      <c r="C93" s="322">
        <v>79.7</v>
      </c>
      <c r="D93" s="322">
        <v>89.2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24</v>
      </c>
      <c r="C94" s="322">
        <v>75.099999999999994</v>
      </c>
      <c r="D94" s="322">
        <v>96.4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35.9</v>
      </c>
      <c r="C95" s="322">
        <v>67.2</v>
      </c>
      <c r="D95" s="322">
        <v>93.5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31.4</v>
      </c>
      <c r="C96" s="322">
        <v>46.5</v>
      </c>
      <c r="D96" s="322">
        <v>86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20.100000000000001</v>
      </c>
      <c r="C97" s="322">
        <v>72</v>
      </c>
      <c r="D97" s="322">
        <v>80.5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26</v>
      </c>
      <c r="C98" s="322">
        <v>48.6</v>
      </c>
      <c r="D98" s="322">
        <v>96.1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35.9</v>
      </c>
      <c r="C99" s="322">
        <v>47.1</v>
      </c>
      <c r="D99" s="322">
        <v>94.6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78.400000000000006</v>
      </c>
      <c r="D100" s="322">
        <v>92.4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47.9</v>
      </c>
      <c r="D101" s="322">
        <v>88.4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48.2</v>
      </c>
      <c r="D102" s="322">
        <v>96.7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36.1</v>
      </c>
      <c r="C106" s="322">
        <v>55.3</v>
      </c>
      <c r="D106" s="322">
        <v>96.1</v>
      </c>
      <c r="E106" s="322">
        <v>51.7</v>
      </c>
      <c r="F106" s="322">
        <v>86.2</v>
      </c>
      <c r="G106" s="322">
        <v>104.1</v>
      </c>
      <c r="H106" s="318"/>
    </row>
    <row r="107" spans="1:8" ht="14.5" x14ac:dyDescent="0.35">
      <c r="A107" s="320">
        <v>2</v>
      </c>
      <c r="B107" s="322">
        <v>38.299999999999997</v>
      </c>
      <c r="C107" s="322">
        <v>55.5</v>
      </c>
      <c r="D107" s="322">
        <v>81.400000000000006</v>
      </c>
      <c r="E107" s="322">
        <v>31.5</v>
      </c>
      <c r="F107" s="322">
        <v>88</v>
      </c>
      <c r="G107" s="322">
        <v>90.1</v>
      </c>
      <c r="H107" s="318"/>
    </row>
    <row r="108" spans="1:8" ht="14.5" x14ac:dyDescent="0.35">
      <c r="A108" s="320">
        <v>3</v>
      </c>
      <c r="B108" s="322">
        <v>23.3</v>
      </c>
      <c r="C108" s="322">
        <v>54.3</v>
      </c>
      <c r="D108" s="322">
        <v>94.6</v>
      </c>
      <c r="E108" s="322"/>
      <c r="F108" s="322">
        <v>79.099999999999994</v>
      </c>
      <c r="G108" s="322">
        <v>94</v>
      </c>
      <c r="H108" s="318"/>
    </row>
    <row r="109" spans="1:8" ht="14.5" x14ac:dyDescent="0.35">
      <c r="A109" s="320">
        <v>4</v>
      </c>
      <c r="B109" s="322">
        <v>29.6</v>
      </c>
      <c r="C109" s="322">
        <v>67.099999999999994</v>
      </c>
      <c r="D109" s="322">
        <v>86.4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29.3</v>
      </c>
      <c r="C110" s="322">
        <v>46.9</v>
      </c>
      <c r="D110" s="322">
        <v>88.4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30.1</v>
      </c>
      <c r="C111" s="322">
        <v>52.9</v>
      </c>
      <c r="D111" s="322">
        <v>92.7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35.1</v>
      </c>
      <c r="C112" s="322">
        <v>63.4</v>
      </c>
      <c r="D112" s="322">
        <v>97.8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28.6</v>
      </c>
      <c r="C113" s="322">
        <v>78.2</v>
      </c>
      <c r="D113" s="322">
        <v>91.5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39</v>
      </c>
      <c r="C114" s="322">
        <v>58.4</v>
      </c>
      <c r="D114" s="322">
        <v>95.4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42.2</v>
      </c>
      <c r="C115" s="322">
        <v>70.7</v>
      </c>
      <c r="D115" s="322">
        <v>90.5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42.9</v>
      </c>
      <c r="C116" s="322">
        <v>74.900000000000006</v>
      </c>
      <c r="D116" s="322">
        <v>83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42.2</v>
      </c>
      <c r="C117" s="322">
        <v>50</v>
      </c>
      <c r="D117" s="322">
        <v>96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43.2</v>
      </c>
      <c r="C118" s="322">
        <v>63.3</v>
      </c>
      <c r="D118" s="322">
        <v>90.9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24</v>
      </c>
      <c r="C119" s="322">
        <v>72.7</v>
      </c>
      <c r="D119" s="322">
        <v>91.4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25.1</v>
      </c>
      <c r="C120" s="322">
        <v>59.4</v>
      </c>
      <c r="D120" s="322">
        <v>87.6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37.299999999999997</v>
      </c>
      <c r="C121" s="322">
        <v>50.8</v>
      </c>
      <c r="D121" s="322">
        <v>88.4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70.8</v>
      </c>
      <c r="D122" s="322">
        <v>95.7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89.6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45</v>
      </c>
      <c r="C127" s="322">
        <v>46.6</v>
      </c>
      <c r="D127" s="322">
        <v>88.1</v>
      </c>
      <c r="E127" s="322">
        <v>48.4</v>
      </c>
      <c r="F127" s="322">
        <v>81.5</v>
      </c>
      <c r="G127" s="322">
        <v>113.3</v>
      </c>
      <c r="H127" s="318"/>
    </row>
    <row r="128" spans="1:8" ht="14.5" x14ac:dyDescent="0.35">
      <c r="A128" s="320">
        <v>2</v>
      </c>
      <c r="B128" s="322">
        <v>27.4</v>
      </c>
      <c r="C128" s="322">
        <v>52.2</v>
      </c>
      <c r="D128" s="322">
        <v>88.5</v>
      </c>
      <c r="E128" s="322">
        <v>40.4</v>
      </c>
      <c r="F128" s="322">
        <v>85.4</v>
      </c>
      <c r="G128" s="322">
        <v>90.1</v>
      </c>
      <c r="H128" s="318"/>
    </row>
    <row r="129" spans="1:8" ht="14.5" x14ac:dyDescent="0.35">
      <c r="A129" s="320">
        <v>3</v>
      </c>
      <c r="B129" s="322">
        <v>26.6</v>
      </c>
      <c r="C129" s="322">
        <v>45.6</v>
      </c>
      <c r="D129" s="322">
        <v>96.6</v>
      </c>
      <c r="E129" s="322">
        <v>49</v>
      </c>
      <c r="F129" s="322">
        <v>60.7</v>
      </c>
      <c r="G129" s="322">
        <v>108.5</v>
      </c>
      <c r="H129" s="318"/>
    </row>
    <row r="130" spans="1:8" ht="14.5" x14ac:dyDescent="0.35">
      <c r="A130" s="320">
        <v>4</v>
      </c>
      <c r="B130" s="322">
        <v>39.200000000000003</v>
      </c>
      <c r="C130" s="322">
        <v>47.2</v>
      </c>
      <c r="D130" s="322">
        <v>93.1</v>
      </c>
      <c r="E130" s="322">
        <v>52.5</v>
      </c>
      <c r="F130" s="322">
        <v>68.5</v>
      </c>
      <c r="G130" s="322">
        <v>116.3</v>
      </c>
      <c r="H130" s="318"/>
    </row>
    <row r="131" spans="1:8" ht="14.5" x14ac:dyDescent="0.35">
      <c r="A131" s="320">
        <v>5</v>
      </c>
      <c r="B131" s="322">
        <v>30.8</v>
      </c>
      <c r="C131" s="322">
        <v>47.6</v>
      </c>
      <c r="D131" s="322">
        <v>92.3</v>
      </c>
      <c r="E131" s="322"/>
      <c r="F131" s="322">
        <v>87.8</v>
      </c>
      <c r="G131" s="322">
        <v>118.2</v>
      </c>
      <c r="H131" s="318"/>
    </row>
    <row r="132" spans="1:8" ht="14.5" x14ac:dyDescent="0.35">
      <c r="A132" s="320">
        <v>6</v>
      </c>
      <c r="B132" s="322">
        <v>30.5</v>
      </c>
      <c r="C132" s="322">
        <v>63.2</v>
      </c>
      <c r="D132" s="322">
        <v>87.1</v>
      </c>
      <c r="E132" s="322"/>
      <c r="F132" s="322"/>
      <c r="G132" s="322">
        <v>90.5</v>
      </c>
      <c r="H132" s="318"/>
    </row>
    <row r="133" spans="1:8" ht="14.5" x14ac:dyDescent="0.35">
      <c r="A133" s="320">
        <v>7</v>
      </c>
      <c r="B133" s="322">
        <v>25.6</v>
      </c>
      <c r="C133" s="322">
        <v>59.4</v>
      </c>
      <c r="D133" s="322">
        <v>95.8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27.5</v>
      </c>
      <c r="C134" s="322">
        <v>72.2</v>
      </c>
      <c r="D134" s="322">
        <v>82.2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43.3</v>
      </c>
      <c r="C135" s="322">
        <v>56.2</v>
      </c>
      <c r="D135" s="322">
        <v>81.5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30.5</v>
      </c>
      <c r="C136" s="322">
        <v>76.599999999999994</v>
      </c>
      <c r="D136" s="322">
        <v>94.8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29.2</v>
      </c>
      <c r="C137" s="322">
        <v>58.1</v>
      </c>
      <c r="D137" s="322">
        <v>91.8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37.6</v>
      </c>
      <c r="C138" s="322">
        <v>68.900000000000006</v>
      </c>
      <c r="D138" s="322">
        <v>86.2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38</v>
      </c>
      <c r="C139" s="322">
        <v>71.7</v>
      </c>
      <c r="D139" s="322">
        <v>89.2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27.3</v>
      </c>
      <c r="C140" s="322">
        <v>46.6</v>
      </c>
      <c r="D140" s="322">
        <v>91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25.2</v>
      </c>
      <c r="C141" s="322">
        <v>52</v>
      </c>
      <c r="D141" s="322">
        <v>90.1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33.799999999999997</v>
      </c>
      <c r="C142" s="322">
        <v>55.2</v>
      </c>
      <c r="D142" s="322">
        <v>95.7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42.3</v>
      </c>
      <c r="C143" s="322">
        <v>58.9</v>
      </c>
      <c r="D143" s="322">
        <v>90.5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28.6</v>
      </c>
      <c r="C144" s="322">
        <v>59.6</v>
      </c>
      <c r="D144" s="322">
        <v>80.7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27.5</v>
      </c>
      <c r="C145" s="322">
        <v>55.3</v>
      </c>
      <c r="D145" s="322">
        <v>95.6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38.700000000000003</v>
      </c>
      <c r="C146" s="322">
        <v>68.5</v>
      </c>
      <c r="D146" s="322">
        <v>97.4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28.9</v>
      </c>
      <c r="C147" s="322">
        <v>58.3</v>
      </c>
      <c r="D147" s="322">
        <v>88.1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28.7</v>
      </c>
      <c r="C148" s="322">
        <v>77.900000000000006</v>
      </c>
      <c r="D148" s="322">
        <v>92.3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91.7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86.5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61.4</v>
      </c>
      <c r="C155" s="325">
        <f>ROUNDDOWN(AVERAGE(E6:G45),1)</f>
        <v>78.599999999999994</v>
      </c>
      <c r="D155" s="320">
        <v>94502</v>
      </c>
      <c r="E155" s="320">
        <v>12798</v>
      </c>
      <c r="F155" s="325">
        <f>B155*D155</f>
        <v>5802422.7999999998</v>
      </c>
      <c r="G155" s="325">
        <f>C155*E155</f>
        <v>1005922.7999999999</v>
      </c>
    </row>
    <row r="156" spans="1:8" ht="13" x14ac:dyDescent="0.25">
      <c r="A156" s="321" t="s">
        <v>356</v>
      </c>
      <c r="B156" s="325">
        <f>ROUNDDOWN(AVERAGE(B49:D73),1)</f>
        <v>66.099999999999994</v>
      </c>
      <c r="C156" s="325">
        <f>ROUNDDOWN(AVERAGE(E49:G73),1)</f>
        <v>84.5</v>
      </c>
      <c r="D156" s="320">
        <v>52390</v>
      </c>
      <c r="E156" s="320">
        <v>6915</v>
      </c>
      <c r="F156" s="325">
        <f t="shared" ref="F156:G159" si="0">B156*D156</f>
        <v>3462978.9999999995</v>
      </c>
      <c r="G156" s="325">
        <f t="shared" si="0"/>
        <v>584317.5</v>
      </c>
    </row>
    <row r="157" spans="1:8" ht="13" x14ac:dyDescent="0.25">
      <c r="A157" s="321" t="s">
        <v>358</v>
      </c>
      <c r="B157" s="325">
        <f>ROUNDDOWN(AVERAGE(B77:D102),1)</f>
        <v>62.5</v>
      </c>
      <c r="C157" s="325">
        <f>ROUNDDOWN(AVERAGE(E77:G102),1)</f>
        <v>81.2</v>
      </c>
      <c r="D157" s="320">
        <v>60472</v>
      </c>
      <c r="E157" s="320">
        <v>10237</v>
      </c>
      <c r="F157" s="325">
        <f t="shared" si="0"/>
        <v>3779500</v>
      </c>
      <c r="G157" s="325">
        <f t="shared" si="0"/>
        <v>831244.4</v>
      </c>
    </row>
    <row r="158" spans="1:8" ht="13" x14ac:dyDescent="0.25">
      <c r="A158" s="321" t="s">
        <v>360</v>
      </c>
      <c r="B158" s="325">
        <f>ROUNDDOWN(AVERAGE(B106:D123),1)</f>
        <v>63.3</v>
      </c>
      <c r="C158" s="325">
        <f>ROUNDDOWN(AVERAGE(E106:G123),1)</f>
        <v>78</v>
      </c>
      <c r="D158" s="320">
        <v>40323</v>
      </c>
      <c r="E158" s="320">
        <v>5124</v>
      </c>
      <c r="F158" s="325">
        <f t="shared" si="0"/>
        <v>2552445.9</v>
      </c>
      <c r="G158" s="325">
        <f t="shared" si="0"/>
        <v>399672</v>
      </c>
    </row>
    <row r="159" spans="1:8" ht="13" x14ac:dyDescent="0.25">
      <c r="A159" s="321" t="s">
        <v>362</v>
      </c>
      <c r="B159" s="325">
        <f>ROUNDDOWN(AVERAGE(B127:D150),1)</f>
        <v>61.4</v>
      </c>
      <c r="C159" s="325">
        <f>ROUNDDOWN(AVERAGE(E127:G150),1)</f>
        <v>80.7</v>
      </c>
      <c r="D159" s="320">
        <v>54596</v>
      </c>
      <c r="E159" s="320">
        <v>11088</v>
      </c>
      <c r="F159" s="325">
        <f t="shared" si="0"/>
        <v>3352194.4</v>
      </c>
      <c r="G159" s="325">
        <f t="shared" si="0"/>
        <v>894801.6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46162</v>
      </c>
      <c r="F160" s="325">
        <f>SUM(F155:F159)</f>
        <v>18949542.099999998</v>
      </c>
      <c r="G160" s="325">
        <f>SUM(G155:G159)</f>
        <v>3715958.3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62.6</v>
      </c>
      <c r="D165" s="327">
        <f>ROUNDDOWN(G160/E160,1)</f>
        <v>80.400000000000006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E3FD4-2A5D-461C-B38F-56BE8758EF35}">
  <dimension ref="A1:H165"/>
  <sheetViews>
    <sheetView topLeftCell="A91" zoomScale="60" zoomScaleNormal="60" workbookViewId="0">
      <selection activeCell="F115" sqref="F115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2022.07</v>
      </c>
      <c r="C2" s="337"/>
      <c r="D2" s="337"/>
      <c r="E2" s="337"/>
      <c r="F2" s="337"/>
      <c r="G2" s="338"/>
      <c r="H2" s="318"/>
    </row>
    <row r="3" spans="1:8" ht="14.5" x14ac:dyDescent="0.35">
      <c r="A3" s="559" t="s">
        <v>354</v>
      </c>
      <c r="B3" s="560"/>
      <c r="C3" s="560"/>
      <c r="D3" s="560"/>
      <c r="E3" s="560"/>
      <c r="F3" s="560"/>
      <c r="G3" s="561"/>
      <c r="H3" s="318"/>
    </row>
    <row r="4" spans="1:8" ht="14.5" x14ac:dyDescent="0.35">
      <c r="A4" s="319"/>
      <c r="B4" s="562" t="s">
        <v>327</v>
      </c>
      <c r="C4" s="563"/>
      <c r="D4" s="564"/>
      <c r="E4" s="562" t="s">
        <v>328</v>
      </c>
      <c r="F4" s="563"/>
      <c r="G4" s="564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42.6</v>
      </c>
      <c r="C6" s="322">
        <v>64.5</v>
      </c>
      <c r="D6" s="322">
        <v>90.1</v>
      </c>
      <c r="E6" s="322">
        <v>39.5</v>
      </c>
      <c r="F6" s="322">
        <v>81.3</v>
      </c>
      <c r="G6" s="322">
        <v>105.2</v>
      </c>
      <c r="H6" s="318"/>
    </row>
    <row r="7" spans="1:8" ht="14.5" x14ac:dyDescent="0.35">
      <c r="A7" s="320">
        <v>2</v>
      </c>
      <c r="B7" s="322">
        <v>33.200000000000003</v>
      </c>
      <c r="C7" s="322">
        <v>45.1</v>
      </c>
      <c r="D7" s="322">
        <v>89.1</v>
      </c>
      <c r="E7" s="322">
        <v>41.1</v>
      </c>
      <c r="F7" s="322">
        <v>68.2</v>
      </c>
      <c r="G7" s="322">
        <v>111.5</v>
      </c>
      <c r="H7" s="318"/>
    </row>
    <row r="8" spans="1:8" ht="14.5" x14ac:dyDescent="0.35">
      <c r="A8" s="320">
        <v>3</v>
      </c>
      <c r="B8" s="322">
        <v>27.1</v>
      </c>
      <c r="C8" s="322">
        <v>65.7</v>
      </c>
      <c r="D8" s="322">
        <v>87.6</v>
      </c>
      <c r="E8" s="322">
        <v>40.6</v>
      </c>
      <c r="F8" s="322">
        <v>85.6</v>
      </c>
      <c r="G8" s="322">
        <v>101.7</v>
      </c>
      <c r="H8" s="318"/>
    </row>
    <row r="9" spans="1:8" ht="14.5" x14ac:dyDescent="0.35">
      <c r="A9" s="320">
        <v>4</v>
      </c>
      <c r="B9" s="322">
        <v>39.700000000000003</v>
      </c>
      <c r="C9" s="322">
        <v>49.9</v>
      </c>
      <c r="D9" s="322">
        <v>90.1</v>
      </c>
      <c r="E9" s="322">
        <v>48.9</v>
      </c>
      <c r="F9" s="322">
        <v>83</v>
      </c>
      <c r="G9" s="322">
        <v>100.2</v>
      </c>
      <c r="H9" s="318"/>
    </row>
    <row r="10" spans="1:8" ht="14.5" x14ac:dyDescent="0.35">
      <c r="A10" s="320">
        <v>5</v>
      </c>
      <c r="B10" s="322">
        <v>22.3</v>
      </c>
      <c r="C10" s="322">
        <v>71.900000000000006</v>
      </c>
      <c r="D10" s="322">
        <v>83</v>
      </c>
      <c r="E10" s="322"/>
      <c r="F10" s="322">
        <v>65.7</v>
      </c>
      <c r="G10" s="322">
        <v>107.9</v>
      </c>
      <c r="H10" s="318"/>
    </row>
    <row r="11" spans="1:8" ht="14.5" x14ac:dyDescent="0.35">
      <c r="A11" s="320">
        <v>6</v>
      </c>
      <c r="B11" s="322">
        <v>31.1</v>
      </c>
      <c r="C11" s="322">
        <v>69.7</v>
      </c>
      <c r="D11" s="322">
        <v>80.599999999999994</v>
      </c>
      <c r="E11" s="322"/>
      <c r="F11" s="322">
        <v>80.599999999999994</v>
      </c>
      <c r="G11" s="322">
        <v>97.4</v>
      </c>
      <c r="H11" s="318"/>
    </row>
    <row r="12" spans="1:8" ht="14.5" x14ac:dyDescent="0.35">
      <c r="A12" s="320">
        <v>7</v>
      </c>
      <c r="B12" s="322">
        <v>44.2</v>
      </c>
      <c r="C12" s="322">
        <v>62.2</v>
      </c>
      <c r="D12" s="322">
        <v>90.2</v>
      </c>
      <c r="E12" s="322"/>
      <c r="F12" s="322"/>
      <c r="G12" s="322">
        <v>104.2</v>
      </c>
      <c r="H12" s="318"/>
    </row>
    <row r="13" spans="1:8" ht="14.5" x14ac:dyDescent="0.35">
      <c r="A13" s="320">
        <v>8</v>
      </c>
      <c r="B13" s="322">
        <v>42.3</v>
      </c>
      <c r="C13" s="322">
        <v>74.900000000000006</v>
      </c>
      <c r="D13" s="322">
        <v>84.1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36.200000000000003</v>
      </c>
      <c r="C14" s="322">
        <v>65.099999999999994</v>
      </c>
      <c r="D14" s="322">
        <v>90.1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26.1</v>
      </c>
      <c r="C15" s="322">
        <v>54.4</v>
      </c>
      <c r="D15" s="322">
        <v>90.6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21.9</v>
      </c>
      <c r="C16" s="322">
        <v>79.7</v>
      </c>
      <c r="D16" s="322">
        <v>96.2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42.2</v>
      </c>
      <c r="C17" s="322">
        <v>73.400000000000006</v>
      </c>
      <c r="D17" s="322">
        <v>91.9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39.299999999999997</v>
      </c>
      <c r="C18" s="322">
        <v>75.2</v>
      </c>
      <c r="D18" s="322">
        <v>86.9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29.1</v>
      </c>
      <c r="C19" s="322">
        <v>59.1</v>
      </c>
      <c r="D19" s="322">
        <v>90.8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37.700000000000003</v>
      </c>
      <c r="C20" s="322">
        <v>59.1</v>
      </c>
      <c r="D20" s="322">
        <v>95.3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35.9</v>
      </c>
      <c r="C21" s="322">
        <v>68.2</v>
      </c>
      <c r="D21" s="322">
        <v>95.2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40.1</v>
      </c>
      <c r="C22" s="322">
        <v>58.9</v>
      </c>
      <c r="D22" s="322">
        <v>94.8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41.6</v>
      </c>
      <c r="C23" s="322">
        <v>70.7</v>
      </c>
      <c r="D23" s="322">
        <v>80.2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36</v>
      </c>
      <c r="C24" s="322">
        <v>61.2</v>
      </c>
      <c r="D24" s="322">
        <v>97.1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40.1</v>
      </c>
      <c r="C25" s="322">
        <v>76.3</v>
      </c>
      <c r="D25" s="322">
        <v>85.8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37.1</v>
      </c>
      <c r="C26" s="322">
        <v>74.099999999999994</v>
      </c>
      <c r="D26" s="322">
        <v>81.099999999999994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36.299999999999997</v>
      </c>
      <c r="C27" s="322">
        <v>48.9</v>
      </c>
      <c r="D27" s="322">
        <v>95.1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36.1</v>
      </c>
      <c r="C28" s="322">
        <v>59.8</v>
      </c>
      <c r="D28" s="322">
        <v>93.1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42.2</v>
      </c>
      <c r="C29" s="322">
        <v>50.6</v>
      </c>
      <c r="D29" s="322">
        <v>95.5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36</v>
      </c>
      <c r="C30" s="322">
        <v>74.5</v>
      </c>
      <c r="D30" s="322">
        <v>91.2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31.3</v>
      </c>
      <c r="C31" s="322">
        <v>77.7</v>
      </c>
      <c r="D31" s="322">
        <v>87.2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43.2</v>
      </c>
      <c r="C32" s="322">
        <v>54.3</v>
      </c>
      <c r="D32" s="322">
        <v>80.400000000000006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30.3</v>
      </c>
      <c r="C33" s="322">
        <v>58.7</v>
      </c>
      <c r="D33" s="322">
        <v>82.8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23</v>
      </c>
      <c r="C34" s="322">
        <v>65.099999999999994</v>
      </c>
      <c r="D34" s="322">
        <v>94.3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38.6</v>
      </c>
      <c r="C35" s="322">
        <v>71.7</v>
      </c>
      <c r="D35" s="322">
        <v>80.8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38.5</v>
      </c>
      <c r="C36" s="322">
        <v>61</v>
      </c>
      <c r="D36" s="322">
        <v>92.9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34.5</v>
      </c>
      <c r="C37" s="322">
        <v>76</v>
      </c>
      <c r="D37" s="322">
        <v>92.7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26.4</v>
      </c>
      <c r="C38" s="322">
        <v>64.2</v>
      </c>
      <c r="D38" s="322">
        <v>87.8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24.4</v>
      </c>
      <c r="C39" s="322">
        <v>47.5</v>
      </c>
      <c r="D39" s="322">
        <v>92.3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33.4</v>
      </c>
      <c r="C40" s="322">
        <v>62</v>
      </c>
      <c r="D40" s="322">
        <v>87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37.700000000000003</v>
      </c>
      <c r="C41" s="322">
        <v>63.4</v>
      </c>
      <c r="D41" s="322">
        <v>97.5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37.4</v>
      </c>
      <c r="C42" s="322">
        <v>45.1</v>
      </c>
      <c r="D42" s="322">
        <v>80.3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30.2</v>
      </c>
      <c r="C43" s="322">
        <v>69.7</v>
      </c>
      <c r="D43" s="322">
        <v>95.7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51.6</v>
      </c>
      <c r="D44" s="322">
        <v>86.7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80.5</v>
      </c>
      <c r="E45" s="322"/>
      <c r="F45" s="322"/>
      <c r="G45" s="322"/>
      <c r="H45" s="318"/>
    </row>
    <row r="46" spans="1:8" ht="14.5" x14ac:dyDescent="0.35">
      <c r="A46" s="559" t="s">
        <v>356</v>
      </c>
      <c r="B46" s="560"/>
      <c r="C46" s="560"/>
      <c r="D46" s="560"/>
      <c r="E46" s="560"/>
      <c r="F46" s="560"/>
      <c r="G46" s="561"/>
      <c r="H46" s="318"/>
    </row>
    <row r="47" spans="1:8" ht="14.5" x14ac:dyDescent="0.35">
      <c r="A47" s="319"/>
      <c r="B47" s="562" t="s">
        <v>327</v>
      </c>
      <c r="C47" s="563"/>
      <c r="D47" s="564"/>
      <c r="E47" s="562" t="s">
        <v>328</v>
      </c>
      <c r="F47" s="563"/>
      <c r="G47" s="564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29.5</v>
      </c>
      <c r="C49" s="322">
        <v>80</v>
      </c>
      <c r="D49" s="322">
        <v>83.3</v>
      </c>
      <c r="E49" s="322">
        <v>35.299999999999997</v>
      </c>
      <c r="F49" s="322">
        <v>73</v>
      </c>
      <c r="G49" s="322">
        <v>117.9</v>
      </c>
      <c r="H49" s="318"/>
    </row>
    <row r="50" spans="1:8" ht="14.5" x14ac:dyDescent="0.35">
      <c r="A50" s="320">
        <v>2</v>
      </c>
      <c r="B50" s="322">
        <v>37.700000000000003</v>
      </c>
      <c r="C50" s="322">
        <v>66.400000000000006</v>
      </c>
      <c r="D50" s="322">
        <v>82.4</v>
      </c>
      <c r="E50" s="322">
        <v>48.1</v>
      </c>
      <c r="F50" s="322">
        <v>74.400000000000006</v>
      </c>
      <c r="G50" s="322">
        <v>107.2</v>
      </c>
      <c r="H50" s="318"/>
    </row>
    <row r="51" spans="1:8" ht="14.5" x14ac:dyDescent="0.35">
      <c r="A51" s="320">
        <v>3</v>
      </c>
      <c r="B51" s="322">
        <v>21.9</v>
      </c>
      <c r="C51" s="322">
        <v>69.900000000000006</v>
      </c>
      <c r="D51" s="322">
        <v>96.9</v>
      </c>
      <c r="E51" s="322"/>
      <c r="F51" s="322">
        <v>79.3</v>
      </c>
      <c r="G51" s="322">
        <v>95.3</v>
      </c>
      <c r="H51" s="318"/>
    </row>
    <row r="52" spans="1:8" ht="14.5" x14ac:dyDescent="0.35">
      <c r="A52" s="320">
        <v>4</v>
      </c>
      <c r="B52" s="322">
        <v>36.4</v>
      </c>
      <c r="C52" s="322">
        <v>45.8</v>
      </c>
      <c r="D52" s="322">
        <v>82</v>
      </c>
      <c r="E52" s="322"/>
      <c r="F52" s="322">
        <v>75.8</v>
      </c>
      <c r="G52" s="322">
        <v>104.4</v>
      </c>
      <c r="H52" s="318"/>
    </row>
    <row r="53" spans="1:8" ht="14.5" x14ac:dyDescent="0.35">
      <c r="A53" s="320">
        <v>5</v>
      </c>
      <c r="B53" s="322">
        <v>26.6</v>
      </c>
      <c r="C53" s="322">
        <v>76.900000000000006</v>
      </c>
      <c r="D53" s="322">
        <v>96.2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20</v>
      </c>
      <c r="C54" s="322">
        <v>50.7</v>
      </c>
      <c r="D54" s="322">
        <v>81.2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38.6</v>
      </c>
      <c r="C55" s="322">
        <v>68.900000000000006</v>
      </c>
      <c r="D55" s="322">
        <v>95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31.4</v>
      </c>
      <c r="C56" s="322">
        <v>55.6</v>
      </c>
      <c r="D56" s="322">
        <v>83.6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40.6</v>
      </c>
      <c r="C57" s="322">
        <v>65.7</v>
      </c>
      <c r="D57" s="322">
        <v>96.1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37.1</v>
      </c>
      <c r="C58" s="322">
        <v>54.4</v>
      </c>
      <c r="D58" s="322">
        <v>84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28.7</v>
      </c>
      <c r="C59" s="322">
        <v>64.099999999999994</v>
      </c>
      <c r="D59" s="322">
        <v>92.2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33.299999999999997</v>
      </c>
      <c r="C60" s="322">
        <v>69.599999999999994</v>
      </c>
      <c r="D60" s="322">
        <v>91.4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21.3</v>
      </c>
      <c r="C61" s="322">
        <v>72.3</v>
      </c>
      <c r="D61" s="322">
        <v>95.3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43.7</v>
      </c>
      <c r="C62" s="322">
        <v>58.1</v>
      </c>
      <c r="D62" s="322">
        <v>92.6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44.2</v>
      </c>
      <c r="C63" s="322">
        <v>47.8</v>
      </c>
      <c r="D63" s="322">
        <v>88.2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38.700000000000003</v>
      </c>
      <c r="C64" s="322">
        <v>75.099999999999994</v>
      </c>
      <c r="D64" s="322">
        <v>88.8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32.5</v>
      </c>
      <c r="C65" s="322">
        <v>66.8</v>
      </c>
      <c r="D65" s="322">
        <v>93.3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37.6</v>
      </c>
      <c r="C66" s="322">
        <v>52.6</v>
      </c>
      <c r="D66" s="322">
        <v>89.3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72.900000000000006</v>
      </c>
      <c r="D67" s="322">
        <v>97.9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47.8</v>
      </c>
      <c r="D68" s="322">
        <v>89.6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52.7</v>
      </c>
      <c r="D69" s="322">
        <v>86.8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63.7</v>
      </c>
      <c r="D70" s="322">
        <v>81.900000000000006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47.1</v>
      </c>
      <c r="D71" s="322">
        <v>81.099999999999994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85.8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93.5</v>
      </c>
      <c r="E73" s="322"/>
      <c r="F73" s="322"/>
      <c r="G73" s="322"/>
      <c r="H73" s="318"/>
    </row>
    <row r="74" spans="1:8" ht="14.5" x14ac:dyDescent="0.35">
      <c r="A74" s="559" t="s">
        <v>358</v>
      </c>
      <c r="B74" s="560"/>
      <c r="C74" s="560"/>
      <c r="D74" s="560"/>
      <c r="E74" s="560"/>
      <c r="F74" s="560"/>
      <c r="G74" s="561"/>
      <c r="H74" s="318"/>
    </row>
    <row r="75" spans="1:8" ht="14.5" x14ac:dyDescent="0.35">
      <c r="A75" s="319"/>
      <c r="B75" s="562" t="s">
        <v>327</v>
      </c>
      <c r="C75" s="563"/>
      <c r="D75" s="564"/>
      <c r="E75" s="562" t="s">
        <v>328</v>
      </c>
      <c r="F75" s="563"/>
      <c r="G75" s="564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33.4</v>
      </c>
      <c r="C77" s="322">
        <v>64.599999999999994</v>
      </c>
      <c r="D77" s="322">
        <v>87.6</v>
      </c>
      <c r="E77" s="322">
        <v>27.6</v>
      </c>
      <c r="F77" s="322">
        <v>74.5</v>
      </c>
      <c r="G77" s="322">
        <v>107.1</v>
      </c>
      <c r="H77" s="318"/>
    </row>
    <row r="78" spans="1:8" ht="14.5" x14ac:dyDescent="0.35">
      <c r="A78" s="320">
        <v>2</v>
      </c>
      <c r="B78" s="322">
        <v>25.1</v>
      </c>
      <c r="C78" s="322">
        <v>56.7</v>
      </c>
      <c r="D78" s="322">
        <v>86.9</v>
      </c>
      <c r="E78" s="322">
        <v>55.9</v>
      </c>
      <c r="F78" s="322">
        <v>88.9</v>
      </c>
      <c r="G78" s="322">
        <v>110.3</v>
      </c>
      <c r="H78" s="318"/>
    </row>
    <row r="79" spans="1:8" ht="14.5" x14ac:dyDescent="0.35">
      <c r="A79" s="320">
        <v>3</v>
      </c>
      <c r="B79" s="322">
        <v>22</v>
      </c>
      <c r="C79" s="322">
        <v>49.9</v>
      </c>
      <c r="D79" s="322">
        <v>86.1</v>
      </c>
      <c r="E79" s="322">
        <v>36.5</v>
      </c>
      <c r="F79" s="322">
        <v>75.3</v>
      </c>
      <c r="G79" s="322">
        <v>95.6</v>
      </c>
      <c r="H79" s="318"/>
    </row>
    <row r="80" spans="1:8" ht="14.5" x14ac:dyDescent="0.35">
      <c r="A80" s="320">
        <v>4</v>
      </c>
      <c r="B80" s="322">
        <v>31.6</v>
      </c>
      <c r="C80" s="322">
        <v>73.2</v>
      </c>
      <c r="D80" s="322">
        <v>91.7</v>
      </c>
      <c r="E80" s="322"/>
      <c r="F80" s="322">
        <v>82.3</v>
      </c>
      <c r="G80" s="322">
        <v>102.7</v>
      </c>
      <c r="H80" s="318"/>
    </row>
    <row r="81" spans="1:8" ht="14.5" x14ac:dyDescent="0.35">
      <c r="A81" s="320">
        <v>5</v>
      </c>
      <c r="B81" s="322">
        <v>27.9</v>
      </c>
      <c r="C81" s="322">
        <v>47.7</v>
      </c>
      <c r="D81" s="322">
        <v>91.6</v>
      </c>
      <c r="E81" s="322"/>
      <c r="F81" s="322">
        <v>84.6</v>
      </c>
      <c r="G81" s="322">
        <v>113.1</v>
      </c>
      <c r="H81" s="318"/>
    </row>
    <row r="82" spans="1:8" ht="14.5" x14ac:dyDescent="0.35">
      <c r="A82" s="320">
        <v>6</v>
      </c>
      <c r="B82" s="322">
        <v>31.6</v>
      </c>
      <c r="C82" s="322">
        <v>59.9</v>
      </c>
      <c r="D82" s="322">
        <v>92.5</v>
      </c>
      <c r="E82" s="322"/>
      <c r="F82" s="322"/>
      <c r="G82" s="322">
        <v>98.6</v>
      </c>
      <c r="H82" s="318"/>
    </row>
    <row r="83" spans="1:8" ht="14.5" x14ac:dyDescent="0.35">
      <c r="A83" s="320">
        <v>7</v>
      </c>
      <c r="B83" s="322">
        <v>32.4</v>
      </c>
      <c r="C83" s="322">
        <v>67.400000000000006</v>
      </c>
      <c r="D83" s="322">
        <v>88.5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31.2</v>
      </c>
      <c r="C84" s="322">
        <v>70.099999999999994</v>
      </c>
      <c r="D84" s="322">
        <v>97.2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23.1</v>
      </c>
      <c r="C85" s="322">
        <v>51.8</v>
      </c>
      <c r="D85" s="322">
        <v>83.1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31.1</v>
      </c>
      <c r="C86" s="322">
        <v>46.3</v>
      </c>
      <c r="D86" s="322">
        <v>89.6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40.700000000000003</v>
      </c>
      <c r="C87" s="322">
        <v>48</v>
      </c>
      <c r="D87" s="322">
        <v>87.9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22.3</v>
      </c>
      <c r="C88" s="322">
        <v>72.599999999999994</v>
      </c>
      <c r="D88" s="322">
        <v>90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26.4</v>
      </c>
      <c r="C89" s="322">
        <v>62.4</v>
      </c>
      <c r="D89" s="322">
        <v>81.900000000000006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35</v>
      </c>
      <c r="C90" s="322">
        <v>71</v>
      </c>
      <c r="D90" s="322">
        <v>84.5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25.6</v>
      </c>
      <c r="C91" s="322">
        <v>63.4</v>
      </c>
      <c r="D91" s="322">
        <v>83.6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22.4</v>
      </c>
      <c r="C92" s="322">
        <v>55.2</v>
      </c>
      <c r="D92" s="322">
        <v>90.5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28.1</v>
      </c>
      <c r="C93" s="322">
        <v>69.7</v>
      </c>
      <c r="D93" s="322">
        <v>97.8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39.700000000000003</v>
      </c>
      <c r="C94" s="322">
        <v>49.2</v>
      </c>
      <c r="D94" s="322">
        <v>82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27</v>
      </c>
      <c r="C95" s="322">
        <v>74.099999999999994</v>
      </c>
      <c r="D95" s="322">
        <v>92.8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39.9</v>
      </c>
      <c r="C96" s="322">
        <v>72.3</v>
      </c>
      <c r="D96" s="322">
        <v>82.2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24.2</v>
      </c>
      <c r="C97" s="322">
        <v>77.900000000000006</v>
      </c>
      <c r="D97" s="322">
        <v>85.8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28</v>
      </c>
      <c r="C98" s="322">
        <v>68</v>
      </c>
      <c r="D98" s="322">
        <v>83.4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33.200000000000003</v>
      </c>
      <c r="C99" s="322">
        <v>63.7</v>
      </c>
      <c r="D99" s="322">
        <v>89.6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78.8</v>
      </c>
      <c r="D100" s="322">
        <v>84.2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77.400000000000006</v>
      </c>
      <c r="D101" s="322">
        <v>80.7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56.5</v>
      </c>
      <c r="D102" s="322">
        <v>88.9</v>
      </c>
      <c r="E102" s="322"/>
      <c r="F102" s="322"/>
      <c r="G102" s="322"/>
      <c r="H102" s="318"/>
    </row>
    <row r="103" spans="1:8" ht="14.5" x14ac:dyDescent="0.35">
      <c r="A103" s="559" t="s">
        <v>360</v>
      </c>
      <c r="B103" s="560"/>
      <c r="C103" s="560"/>
      <c r="D103" s="560"/>
      <c r="E103" s="560"/>
      <c r="F103" s="560"/>
      <c r="G103" s="561"/>
      <c r="H103" s="318"/>
    </row>
    <row r="104" spans="1:8" ht="14.5" x14ac:dyDescent="0.35">
      <c r="A104" s="319"/>
      <c r="B104" s="562" t="s">
        <v>327</v>
      </c>
      <c r="C104" s="563"/>
      <c r="D104" s="564"/>
      <c r="E104" s="562" t="s">
        <v>328</v>
      </c>
      <c r="F104" s="563"/>
      <c r="G104" s="564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27.9</v>
      </c>
      <c r="C106" s="322">
        <v>52.6</v>
      </c>
      <c r="D106" s="322">
        <v>84.8</v>
      </c>
      <c r="E106" s="322">
        <v>56.6</v>
      </c>
      <c r="F106" s="322">
        <v>82.4</v>
      </c>
      <c r="G106" s="322">
        <v>113.2</v>
      </c>
      <c r="H106" s="318"/>
    </row>
    <row r="107" spans="1:8" ht="14.5" x14ac:dyDescent="0.35">
      <c r="A107" s="320">
        <v>2</v>
      </c>
      <c r="B107" s="322">
        <v>37.6</v>
      </c>
      <c r="C107" s="322">
        <v>69.3</v>
      </c>
      <c r="D107" s="322">
        <v>93.9</v>
      </c>
      <c r="E107" s="322">
        <v>52.2</v>
      </c>
      <c r="F107" s="322">
        <v>77.8</v>
      </c>
      <c r="G107" s="322">
        <v>90.9</v>
      </c>
      <c r="H107" s="318"/>
    </row>
    <row r="108" spans="1:8" ht="14.5" x14ac:dyDescent="0.35">
      <c r="A108" s="320">
        <v>3</v>
      </c>
      <c r="B108" s="322">
        <v>42.1</v>
      </c>
      <c r="C108" s="322">
        <v>69.3</v>
      </c>
      <c r="D108" s="322">
        <v>83.3</v>
      </c>
      <c r="E108" s="322"/>
      <c r="F108" s="322">
        <v>74</v>
      </c>
      <c r="G108" s="322">
        <v>105</v>
      </c>
      <c r="H108" s="318"/>
    </row>
    <row r="109" spans="1:8" ht="14.5" x14ac:dyDescent="0.35">
      <c r="A109" s="320">
        <v>4</v>
      </c>
      <c r="B109" s="322">
        <v>36.1</v>
      </c>
      <c r="C109" s="322">
        <v>57.2</v>
      </c>
      <c r="D109" s="322">
        <v>95.5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29.3</v>
      </c>
      <c r="C110" s="322">
        <v>67</v>
      </c>
      <c r="D110" s="322">
        <v>83.6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33.1</v>
      </c>
      <c r="C111" s="322">
        <v>46.4</v>
      </c>
      <c r="D111" s="322">
        <v>84.5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36.799999999999997</v>
      </c>
      <c r="C112" s="322">
        <v>64.400000000000006</v>
      </c>
      <c r="D112" s="322">
        <v>94.2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21</v>
      </c>
      <c r="C113" s="322">
        <v>55.3</v>
      </c>
      <c r="D113" s="322">
        <v>82.4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21.9</v>
      </c>
      <c r="C114" s="322">
        <v>67.099999999999994</v>
      </c>
      <c r="D114" s="322">
        <v>89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34</v>
      </c>
      <c r="C115" s="322">
        <v>58.7</v>
      </c>
      <c r="D115" s="322">
        <v>94.4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41.1</v>
      </c>
      <c r="C116" s="322">
        <v>78.8</v>
      </c>
      <c r="D116" s="322">
        <v>95.5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35.200000000000003</v>
      </c>
      <c r="C117" s="322">
        <v>59</v>
      </c>
      <c r="D117" s="322">
        <v>80.8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43.9</v>
      </c>
      <c r="C118" s="322">
        <v>50.7</v>
      </c>
      <c r="D118" s="322">
        <v>86.7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26.7</v>
      </c>
      <c r="C119" s="322">
        <v>56.2</v>
      </c>
      <c r="D119" s="322">
        <v>81.8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26</v>
      </c>
      <c r="C120" s="322">
        <v>79.099999999999994</v>
      </c>
      <c r="D120" s="322">
        <v>93.6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43.1</v>
      </c>
      <c r="C121" s="322">
        <v>76.2</v>
      </c>
      <c r="D121" s="322">
        <v>87.8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52.3</v>
      </c>
      <c r="D122" s="322">
        <v>89.8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95.7</v>
      </c>
      <c r="E123" s="322"/>
      <c r="F123" s="322"/>
      <c r="G123" s="322"/>
      <c r="H123" s="318"/>
    </row>
    <row r="124" spans="1:8" ht="14.5" x14ac:dyDescent="0.35">
      <c r="A124" s="559" t="s">
        <v>362</v>
      </c>
      <c r="B124" s="560"/>
      <c r="C124" s="560"/>
      <c r="D124" s="560"/>
      <c r="E124" s="560"/>
      <c r="F124" s="560"/>
      <c r="G124" s="561"/>
      <c r="H124" s="318"/>
    </row>
    <row r="125" spans="1:8" ht="14.5" x14ac:dyDescent="0.35">
      <c r="A125" s="319"/>
      <c r="B125" s="562" t="s">
        <v>327</v>
      </c>
      <c r="C125" s="563"/>
      <c r="D125" s="564"/>
      <c r="E125" s="562" t="s">
        <v>328</v>
      </c>
      <c r="F125" s="563"/>
      <c r="G125" s="564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37.299999999999997</v>
      </c>
      <c r="C127" s="322">
        <v>52</v>
      </c>
      <c r="D127" s="322">
        <v>87.8</v>
      </c>
      <c r="E127" s="322">
        <v>43</v>
      </c>
      <c r="F127" s="322">
        <v>62.6</v>
      </c>
      <c r="G127" s="322">
        <v>93.8</v>
      </c>
      <c r="H127" s="318"/>
    </row>
    <row r="128" spans="1:8" ht="14.5" x14ac:dyDescent="0.35">
      <c r="A128" s="320">
        <v>2</v>
      </c>
      <c r="B128" s="322">
        <v>35.9</v>
      </c>
      <c r="C128" s="322">
        <v>63.8</v>
      </c>
      <c r="D128" s="322">
        <v>87.5</v>
      </c>
      <c r="E128" s="322">
        <v>26.2</v>
      </c>
      <c r="F128" s="322">
        <v>76.3</v>
      </c>
      <c r="G128" s="322">
        <v>117.2</v>
      </c>
      <c r="H128" s="318"/>
    </row>
    <row r="129" spans="1:8" ht="14.5" x14ac:dyDescent="0.35">
      <c r="A129" s="320">
        <v>3</v>
      </c>
      <c r="B129" s="322">
        <v>41.9</v>
      </c>
      <c r="C129" s="322">
        <v>75.7</v>
      </c>
      <c r="D129" s="322">
        <v>81.8</v>
      </c>
      <c r="E129" s="322">
        <v>55.3</v>
      </c>
      <c r="F129" s="322">
        <v>66.3</v>
      </c>
      <c r="G129" s="322">
        <v>118.8</v>
      </c>
      <c r="H129" s="318"/>
    </row>
    <row r="130" spans="1:8" ht="14.5" x14ac:dyDescent="0.35">
      <c r="A130" s="320">
        <v>4</v>
      </c>
      <c r="B130" s="322">
        <v>35.5</v>
      </c>
      <c r="C130" s="322">
        <v>67.099999999999994</v>
      </c>
      <c r="D130" s="322">
        <v>93.1</v>
      </c>
      <c r="E130" s="322">
        <v>34.5</v>
      </c>
      <c r="F130" s="322">
        <v>67.8</v>
      </c>
      <c r="G130" s="322">
        <v>114.6</v>
      </c>
      <c r="H130" s="318"/>
    </row>
    <row r="131" spans="1:8" ht="14.5" x14ac:dyDescent="0.35">
      <c r="A131" s="320">
        <v>5</v>
      </c>
      <c r="B131" s="322">
        <v>42.6</v>
      </c>
      <c r="C131" s="322">
        <v>48.7</v>
      </c>
      <c r="D131" s="322">
        <v>86.3</v>
      </c>
      <c r="E131" s="322"/>
      <c r="F131" s="322">
        <v>67.400000000000006</v>
      </c>
      <c r="G131" s="322">
        <v>92.9</v>
      </c>
      <c r="H131" s="318"/>
    </row>
    <row r="132" spans="1:8" ht="14.5" x14ac:dyDescent="0.35">
      <c r="A132" s="320">
        <v>6</v>
      </c>
      <c r="B132" s="322">
        <v>21.8</v>
      </c>
      <c r="C132" s="322">
        <v>70.900000000000006</v>
      </c>
      <c r="D132" s="322">
        <v>86.8</v>
      </c>
      <c r="E132" s="322"/>
      <c r="F132" s="322"/>
      <c r="G132" s="322">
        <v>102.5</v>
      </c>
      <c r="H132" s="318"/>
    </row>
    <row r="133" spans="1:8" ht="14.5" x14ac:dyDescent="0.35">
      <c r="A133" s="320">
        <v>7</v>
      </c>
      <c r="B133" s="322">
        <v>32</v>
      </c>
      <c r="C133" s="322">
        <v>78</v>
      </c>
      <c r="D133" s="322">
        <v>85.4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22.5</v>
      </c>
      <c r="C134" s="322">
        <v>53.1</v>
      </c>
      <c r="D134" s="322">
        <v>83.2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28.8</v>
      </c>
      <c r="C135" s="322">
        <v>63.6</v>
      </c>
      <c r="D135" s="322">
        <v>83.2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31.6</v>
      </c>
      <c r="C136" s="322">
        <v>65</v>
      </c>
      <c r="D136" s="322">
        <v>90.9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25.2</v>
      </c>
      <c r="C137" s="322">
        <v>59.9</v>
      </c>
      <c r="D137" s="322">
        <v>88.1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26.8</v>
      </c>
      <c r="C138" s="322">
        <v>69.599999999999994</v>
      </c>
      <c r="D138" s="322">
        <v>84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20.2</v>
      </c>
      <c r="C139" s="322">
        <v>48.5</v>
      </c>
      <c r="D139" s="322">
        <v>87.1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38.299999999999997</v>
      </c>
      <c r="C140" s="322">
        <v>56.8</v>
      </c>
      <c r="D140" s="322">
        <v>87.9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41</v>
      </c>
      <c r="C141" s="322">
        <v>64.099999999999994</v>
      </c>
      <c r="D141" s="322">
        <v>85.1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43.2</v>
      </c>
      <c r="C142" s="322">
        <v>49.5</v>
      </c>
      <c r="D142" s="322">
        <v>93.2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31.3</v>
      </c>
      <c r="C143" s="322">
        <v>58.6</v>
      </c>
      <c r="D143" s="322">
        <v>84.6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29.7</v>
      </c>
      <c r="C144" s="322">
        <v>74</v>
      </c>
      <c r="D144" s="322">
        <v>94.7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21.1</v>
      </c>
      <c r="C145" s="322">
        <v>47.8</v>
      </c>
      <c r="D145" s="322">
        <v>93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30.8</v>
      </c>
      <c r="C146" s="322">
        <v>71.3</v>
      </c>
      <c r="D146" s="322">
        <v>96.9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29.1</v>
      </c>
      <c r="C147" s="322">
        <v>49.8</v>
      </c>
      <c r="D147" s="322">
        <v>90.4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31.4</v>
      </c>
      <c r="C148" s="322">
        <v>69.2</v>
      </c>
      <c r="D148" s="322">
        <v>83.2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92.3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96.2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63</v>
      </c>
      <c r="C155" s="325">
        <f>ROUNDDOWN(AVERAGE(E6:G45),1)</f>
        <v>80.099999999999994</v>
      </c>
      <c r="D155" s="320">
        <v>94502</v>
      </c>
      <c r="E155" s="320">
        <v>12814</v>
      </c>
      <c r="F155" s="325">
        <f>B155*D155</f>
        <v>5953626</v>
      </c>
      <c r="G155" s="325">
        <f>C155*E155</f>
        <v>1026401.3999999999</v>
      </c>
    </row>
    <row r="156" spans="1:8" ht="13" x14ac:dyDescent="0.25">
      <c r="A156" s="321" t="s">
        <v>356</v>
      </c>
      <c r="B156" s="325">
        <f>ROUNDDOWN(AVERAGE(B49:D73),1)</f>
        <v>64.400000000000006</v>
      </c>
      <c r="C156" s="325">
        <f>ROUNDDOWN(AVERAGE(E49:G73),1)</f>
        <v>81</v>
      </c>
      <c r="D156" s="320">
        <v>52390</v>
      </c>
      <c r="E156" s="320">
        <v>6923</v>
      </c>
      <c r="F156" s="325">
        <f t="shared" ref="F156:G159" si="0">B156*D156</f>
        <v>3373916.0000000005</v>
      </c>
      <c r="G156" s="325">
        <f t="shared" si="0"/>
        <v>560763</v>
      </c>
    </row>
    <row r="157" spans="1:8" ht="13" x14ac:dyDescent="0.25">
      <c r="A157" s="321" t="s">
        <v>358</v>
      </c>
      <c r="B157" s="325">
        <f>ROUNDDOWN(AVERAGE(B77:D102),1)</f>
        <v>61.4</v>
      </c>
      <c r="C157" s="325">
        <f>ROUNDDOWN(AVERAGE(E77:G102),1)</f>
        <v>82.3</v>
      </c>
      <c r="D157" s="320">
        <v>60472</v>
      </c>
      <c r="E157" s="320">
        <v>10249</v>
      </c>
      <c r="F157" s="325">
        <f t="shared" si="0"/>
        <v>3712980.8</v>
      </c>
      <c r="G157" s="325">
        <f t="shared" si="0"/>
        <v>843492.7</v>
      </c>
    </row>
    <row r="158" spans="1:8" ht="13" x14ac:dyDescent="0.25">
      <c r="A158" s="321" t="s">
        <v>360</v>
      </c>
      <c r="B158" s="325">
        <f>ROUNDDOWN(AVERAGE(B106:D123),1)</f>
        <v>62.6</v>
      </c>
      <c r="C158" s="325">
        <f>ROUNDDOWN(AVERAGE(E106:G123),1)</f>
        <v>81.5</v>
      </c>
      <c r="D158" s="320">
        <v>40323</v>
      </c>
      <c r="E158" s="320">
        <v>5130</v>
      </c>
      <c r="F158" s="325">
        <f t="shared" si="0"/>
        <v>2524219.8000000003</v>
      </c>
      <c r="G158" s="325">
        <f t="shared" si="0"/>
        <v>418095</v>
      </c>
    </row>
    <row r="159" spans="1:8" ht="13" x14ac:dyDescent="0.25">
      <c r="A159" s="321" t="s">
        <v>362</v>
      </c>
      <c r="B159" s="325">
        <f>ROUNDDOWN(AVERAGE(B127:D150),1)</f>
        <v>61.4</v>
      </c>
      <c r="C159" s="325">
        <f>ROUNDDOWN(AVERAGE(E127:G150),1)</f>
        <v>75.900000000000006</v>
      </c>
      <c r="D159" s="320">
        <v>54596</v>
      </c>
      <c r="E159" s="320">
        <v>11101</v>
      </c>
      <c r="F159" s="325">
        <f t="shared" si="0"/>
        <v>3352194.4</v>
      </c>
      <c r="G159" s="325">
        <f t="shared" si="0"/>
        <v>842565.9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46217</v>
      </c>
      <c r="F160" s="325">
        <f>SUM(F155:F159)</f>
        <v>18916937</v>
      </c>
      <c r="G160" s="325">
        <f>SUM(G155:G159)</f>
        <v>3691317.9999999995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62.5</v>
      </c>
      <c r="D165" s="327">
        <f>ROUNDDOWN(G160/E160,1)</f>
        <v>79.8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E2F4C-373C-4D0E-B734-3D8EE4860C88}">
  <dimension ref="A1:H165"/>
  <sheetViews>
    <sheetView topLeftCell="A88" zoomScale="60" zoomScaleNormal="60" workbookViewId="0">
      <selection activeCell="B127" sqref="B127:G150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2022.08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33.5</v>
      </c>
      <c r="C6" s="322">
        <v>70</v>
      </c>
      <c r="D6" s="322">
        <v>91.9</v>
      </c>
      <c r="E6" s="322">
        <v>46.6</v>
      </c>
      <c r="F6" s="322">
        <v>82.7</v>
      </c>
      <c r="G6" s="322">
        <v>118.4</v>
      </c>
      <c r="H6" s="318"/>
    </row>
    <row r="7" spans="1:8" ht="14.5" x14ac:dyDescent="0.35">
      <c r="A7" s="320">
        <v>2</v>
      </c>
      <c r="B7" s="322">
        <v>35.799999999999997</v>
      </c>
      <c r="C7" s="322">
        <v>47.5</v>
      </c>
      <c r="D7" s="322">
        <v>86.1</v>
      </c>
      <c r="E7" s="322">
        <v>38.4</v>
      </c>
      <c r="F7" s="322">
        <v>64.099999999999994</v>
      </c>
      <c r="G7" s="322">
        <v>113</v>
      </c>
      <c r="H7" s="318"/>
    </row>
    <row r="8" spans="1:8" ht="14.5" x14ac:dyDescent="0.35">
      <c r="A8" s="320">
        <v>3</v>
      </c>
      <c r="B8" s="322">
        <v>20.5</v>
      </c>
      <c r="C8" s="322">
        <v>45.4</v>
      </c>
      <c r="D8" s="322">
        <v>97.4</v>
      </c>
      <c r="E8" s="322">
        <v>50.1</v>
      </c>
      <c r="F8" s="322">
        <v>84.5</v>
      </c>
      <c r="G8" s="322">
        <v>90.9</v>
      </c>
      <c r="H8" s="318"/>
    </row>
    <row r="9" spans="1:8" ht="14.5" x14ac:dyDescent="0.35">
      <c r="A9" s="320">
        <v>4</v>
      </c>
      <c r="B9" s="322">
        <v>28.7</v>
      </c>
      <c r="C9" s="322">
        <v>75.8</v>
      </c>
      <c r="D9" s="322">
        <v>91.9</v>
      </c>
      <c r="E9" s="322">
        <v>50.8</v>
      </c>
      <c r="F9" s="322">
        <v>83.2</v>
      </c>
      <c r="G9" s="322">
        <v>118.4</v>
      </c>
      <c r="H9" s="318"/>
    </row>
    <row r="10" spans="1:8" ht="14.5" x14ac:dyDescent="0.35">
      <c r="A10" s="320">
        <v>5</v>
      </c>
      <c r="B10" s="322">
        <v>35.6</v>
      </c>
      <c r="C10" s="322">
        <v>56.8</v>
      </c>
      <c r="D10" s="322">
        <v>93.9</v>
      </c>
      <c r="E10" s="322"/>
      <c r="F10" s="322">
        <v>66.3</v>
      </c>
      <c r="G10" s="322">
        <v>96.8</v>
      </c>
      <c r="H10" s="318"/>
    </row>
    <row r="11" spans="1:8" ht="14.5" x14ac:dyDescent="0.35">
      <c r="A11" s="320">
        <v>6</v>
      </c>
      <c r="B11" s="322">
        <v>26.5</v>
      </c>
      <c r="C11" s="322">
        <v>47.7</v>
      </c>
      <c r="D11" s="322">
        <v>83.1</v>
      </c>
      <c r="E11" s="322"/>
      <c r="F11" s="322">
        <v>76.400000000000006</v>
      </c>
      <c r="G11" s="322">
        <v>117.5</v>
      </c>
      <c r="H11" s="318"/>
    </row>
    <row r="12" spans="1:8" ht="14.5" x14ac:dyDescent="0.35">
      <c r="A12" s="320">
        <v>7</v>
      </c>
      <c r="B12" s="322">
        <v>33.6</v>
      </c>
      <c r="C12" s="322">
        <v>57.5</v>
      </c>
      <c r="D12" s="322">
        <v>90.5</v>
      </c>
      <c r="E12" s="322"/>
      <c r="F12" s="322"/>
      <c r="G12" s="322">
        <v>118</v>
      </c>
      <c r="H12" s="318"/>
    </row>
    <row r="13" spans="1:8" ht="14.5" x14ac:dyDescent="0.35">
      <c r="A13" s="320">
        <v>8</v>
      </c>
      <c r="B13" s="322">
        <v>35.6</v>
      </c>
      <c r="C13" s="322">
        <v>51.2</v>
      </c>
      <c r="D13" s="322">
        <v>87.3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41.2</v>
      </c>
      <c r="C14" s="322">
        <v>56.7</v>
      </c>
      <c r="D14" s="322">
        <v>81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43.5</v>
      </c>
      <c r="C15" s="322">
        <v>68.400000000000006</v>
      </c>
      <c r="D15" s="322">
        <v>84.4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25.9</v>
      </c>
      <c r="C16" s="322">
        <v>80</v>
      </c>
      <c r="D16" s="322">
        <v>86.6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23</v>
      </c>
      <c r="C17" s="322">
        <v>65.3</v>
      </c>
      <c r="D17" s="322">
        <v>94.3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41.3</v>
      </c>
      <c r="C18" s="322">
        <v>48.7</v>
      </c>
      <c r="D18" s="322">
        <v>95.2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37.299999999999997</v>
      </c>
      <c r="C19" s="322">
        <v>49.7</v>
      </c>
      <c r="D19" s="322">
        <v>94.9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39.6</v>
      </c>
      <c r="C20" s="322">
        <v>60.3</v>
      </c>
      <c r="D20" s="322">
        <v>80.8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36.4</v>
      </c>
      <c r="C21" s="322">
        <v>70.3</v>
      </c>
      <c r="D21" s="322">
        <v>83.7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32.9</v>
      </c>
      <c r="C22" s="322">
        <v>52.4</v>
      </c>
      <c r="D22" s="322">
        <v>91.3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22.9</v>
      </c>
      <c r="C23" s="322">
        <v>62.5</v>
      </c>
      <c r="D23" s="322">
        <v>83.4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32.299999999999997</v>
      </c>
      <c r="C24" s="322">
        <v>54</v>
      </c>
      <c r="D24" s="322">
        <v>81.400000000000006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44.3</v>
      </c>
      <c r="C25" s="322">
        <v>70.8</v>
      </c>
      <c r="D25" s="322">
        <v>85.5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35.799999999999997</v>
      </c>
      <c r="C26" s="322">
        <v>49.5</v>
      </c>
      <c r="D26" s="322">
        <v>96.7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21.6</v>
      </c>
      <c r="C27" s="322">
        <v>48.9</v>
      </c>
      <c r="D27" s="322">
        <v>81.5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29</v>
      </c>
      <c r="C28" s="322">
        <v>66.7</v>
      </c>
      <c r="D28" s="322">
        <v>94.8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40.700000000000003</v>
      </c>
      <c r="C29" s="322">
        <v>72.400000000000006</v>
      </c>
      <c r="D29" s="322">
        <v>88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43.7</v>
      </c>
      <c r="C30" s="322">
        <v>76.8</v>
      </c>
      <c r="D30" s="322">
        <v>84.7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38.6</v>
      </c>
      <c r="C31" s="322">
        <v>49.9</v>
      </c>
      <c r="D31" s="322">
        <v>82.1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21.8</v>
      </c>
      <c r="C32" s="322">
        <v>55.7</v>
      </c>
      <c r="D32" s="322">
        <v>96.4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29.5</v>
      </c>
      <c r="C33" s="322">
        <v>54.7</v>
      </c>
      <c r="D33" s="322">
        <v>93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44.3</v>
      </c>
      <c r="C34" s="322">
        <v>52.3</v>
      </c>
      <c r="D34" s="322">
        <v>89.3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26.3</v>
      </c>
      <c r="C35" s="322">
        <v>79.8</v>
      </c>
      <c r="D35" s="322">
        <v>81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41</v>
      </c>
      <c r="C36" s="322">
        <v>67.8</v>
      </c>
      <c r="D36" s="322">
        <v>89.3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39.5</v>
      </c>
      <c r="C37" s="322">
        <v>52.3</v>
      </c>
      <c r="D37" s="322">
        <v>93.1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26.8</v>
      </c>
      <c r="C38" s="322">
        <v>46</v>
      </c>
      <c r="D38" s="322">
        <v>91.8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38.9</v>
      </c>
      <c r="C39" s="322">
        <v>72.099999999999994</v>
      </c>
      <c r="D39" s="322">
        <v>94.4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29.1</v>
      </c>
      <c r="C40" s="322">
        <v>77</v>
      </c>
      <c r="D40" s="322">
        <v>92.4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25.3</v>
      </c>
      <c r="C41" s="322">
        <v>59.3</v>
      </c>
      <c r="D41" s="322">
        <v>95.3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40.299999999999997</v>
      </c>
      <c r="C42" s="322">
        <v>70.7</v>
      </c>
      <c r="D42" s="322">
        <v>92.8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39.5</v>
      </c>
      <c r="C43" s="322">
        <v>45.4</v>
      </c>
      <c r="D43" s="322">
        <v>98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71.7</v>
      </c>
      <c r="D44" s="322">
        <v>94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89.8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24.3</v>
      </c>
      <c r="C49" s="322">
        <v>49.4</v>
      </c>
      <c r="D49" s="322">
        <v>85.9</v>
      </c>
      <c r="E49" s="322">
        <v>42</v>
      </c>
      <c r="F49" s="322">
        <v>75.400000000000006</v>
      </c>
      <c r="G49" s="322">
        <v>115.2</v>
      </c>
      <c r="H49" s="318"/>
    </row>
    <row r="50" spans="1:8" ht="14.5" x14ac:dyDescent="0.35">
      <c r="A50" s="320">
        <v>2</v>
      </c>
      <c r="B50" s="322">
        <v>30.1</v>
      </c>
      <c r="C50" s="322">
        <v>77.3</v>
      </c>
      <c r="D50" s="322">
        <v>87.4</v>
      </c>
      <c r="E50" s="322">
        <v>44.7</v>
      </c>
      <c r="F50" s="322">
        <v>61.8</v>
      </c>
      <c r="G50" s="322">
        <v>101</v>
      </c>
      <c r="H50" s="318"/>
    </row>
    <row r="51" spans="1:8" ht="14.5" x14ac:dyDescent="0.35">
      <c r="A51" s="320">
        <v>3</v>
      </c>
      <c r="B51" s="322">
        <v>21.6</v>
      </c>
      <c r="C51" s="322">
        <v>71.599999999999994</v>
      </c>
      <c r="D51" s="322">
        <v>96.6</v>
      </c>
      <c r="E51" s="322"/>
      <c r="F51" s="322">
        <v>61.5</v>
      </c>
      <c r="G51" s="322">
        <v>99.8</v>
      </c>
      <c r="H51" s="318"/>
    </row>
    <row r="52" spans="1:8" ht="14.5" x14ac:dyDescent="0.35">
      <c r="A52" s="320">
        <v>4</v>
      </c>
      <c r="B52" s="322">
        <v>29.1</v>
      </c>
      <c r="C52" s="322">
        <v>51.6</v>
      </c>
      <c r="D52" s="322">
        <v>96.4</v>
      </c>
      <c r="E52" s="322"/>
      <c r="F52" s="322">
        <v>70.3</v>
      </c>
      <c r="G52" s="322">
        <v>98.4</v>
      </c>
      <c r="H52" s="318"/>
    </row>
    <row r="53" spans="1:8" ht="14.5" x14ac:dyDescent="0.35">
      <c r="A53" s="320">
        <v>5</v>
      </c>
      <c r="B53" s="322">
        <v>42.3</v>
      </c>
      <c r="C53" s="322">
        <v>51</v>
      </c>
      <c r="D53" s="322">
        <v>82.9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25.6</v>
      </c>
      <c r="C54" s="322">
        <v>45.5</v>
      </c>
      <c r="D54" s="322">
        <v>84.2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37.700000000000003</v>
      </c>
      <c r="C55" s="322">
        <v>64.7</v>
      </c>
      <c r="D55" s="322">
        <v>94.3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20.399999999999999</v>
      </c>
      <c r="C56" s="322">
        <v>47.3</v>
      </c>
      <c r="D56" s="322">
        <v>96.5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33</v>
      </c>
      <c r="C57" s="322">
        <v>78.5</v>
      </c>
      <c r="D57" s="322">
        <v>84.4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21.2</v>
      </c>
      <c r="C58" s="322">
        <v>69.2</v>
      </c>
      <c r="D58" s="322">
        <v>84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34.200000000000003</v>
      </c>
      <c r="C59" s="322">
        <v>78.7</v>
      </c>
      <c r="D59" s="322">
        <v>95.7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40.299999999999997</v>
      </c>
      <c r="C60" s="322">
        <v>48.7</v>
      </c>
      <c r="D60" s="322">
        <v>93.2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28.8</v>
      </c>
      <c r="C61" s="322">
        <v>65</v>
      </c>
      <c r="D61" s="322">
        <v>89.3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31.5</v>
      </c>
      <c r="C62" s="322">
        <v>51.6</v>
      </c>
      <c r="D62" s="322">
        <v>87.4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28.5</v>
      </c>
      <c r="C63" s="322">
        <v>67</v>
      </c>
      <c r="D63" s="322">
        <v>89.7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25.8</v>
      </c>
      <c r="C64" s="322">
        <v>45.3</v>
      </c>
      <c r="D64" s="322">
        <v>88.2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26.7</v>
      </c>
      <c r="C65" s="322">
        <v>72.5</v>
      </c>
      <c r="D65" s="322">
        <v>91.1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40.9</v>
      </c>
      <c r="C66" s="322">
        <v>71.2</v>
      </c>
      <c r="D66" s="322">
        <v>91.5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72.599999999999994</v>
      </c>
      <c r="D67" s="322">
        <v>81.7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49</v>
      </c>
      <c r="D68" s="322">
        <v>85.3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46</v>
      </c>
      <c r="D69" s="322">
        <v>84.1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52.5</v>
      </c>
      <c r="D70" s="322">
        <v>87.6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71.8</v>
      </c>
      <c r="D71" s="322">
        <v>94.1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89.2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95.7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32.700000000000003</v>
      </c>
      <c r="C77" s="322">
        <v>71.3</v>
      </c>
      <c r="D77" s="322">
        <v>86.4</v>
      </c>
      <c r="E77" s="322">
        <v>52.6</v>
      </c>
      <c r="F77" s="322">
        <v>74.2</v>
      </c>
      <c r="G77" s="322">
        <v>97.3</v>
      </c>
      <c r="H77" s="318"/>
    </row>
    <row r="78" spans="1:8" ht="14.5" x14ac:dyDescent="0.35">
      <c r="A78" s="320">
        <v>2</v>
      </c>
      <c r="B78" s="322">
        <v>34</v>
      </c>
      <c r="C78" s="322">
        <v>69.400000000000006</v>
      </c>
      <c r="D78" s="322">
        <v>83</v>
      </c>
      <c r="E78" s="322">
        <v>38.700000000000003</v>
      </c>
      <c r="F78" s="322">
        <v>77.599999999999994</v>
      </c>
      <c r="G78" s="322">
        <v>92.4</v>
      </c>
      <c r="H78" s="318"/>
    </row>
    <row r="79" spans="1:8" ht="14.5" x14ac:dyDescent="0.35">
      <c r="A79" s="320">
        <v>3</v>
      </c>
      <c r="B79" s="322">
        <v>30.3</v>
      </c>
      <c r="C79" s="322">
        <v>74.3</v>
      </c>
      <c r="D79" s="322">
        <v>91.5</v>
      </c>
      <c r="E79" s="322">
        <v>55.8</v>
      </c>
      <c r="F79" s="322">
        <v>64</v>
      </c>
      <c r="G79" s="322">
        <v>113.8</v>
      </c>
      <c r="H79" s="318"/>
    </row>
    <row r="80" spans="1:8" ht="14.5" x14ac:dyDescent="0.35">
      <c r="A80" s="320">
        <v>4</v>
      </c>
      <c r="B80" s="322">
        <v>42.1</v>
      </c>
      <c r="C80" s="322">
        <v>53.1</v>
      </c>
      <c r="D80" s="322">
        <v>96.4</v>
      </c>
      <c r="E80" s="322"/>
      <c r="F80" s="322">
        <v>82.5</v>
      </c>
      <c r="G80" s="322">
        <v>105.3</v>
      </c>
      <c r="H80" s="318"/>
    </row>
    <row r="81" spans="1:8" ht="14.5" x14ac:dyDescent="0.35">
      <c r="A81" s="320">
        <v>5</v>
      </c>
      <c r="B81" s="322">
        <v>27.5</v>
      </c>
      <c r="C81" s="322">
        <v>57.3</v>
      </c>
      <c r="D81" s="322">
        <v>93.1</v>
      </c>
      <c r="E81" s="322"/>
      <c r="F81" s="322">
        <v>78.7</v>
      </c>
      <c r="G81" s="322">
        <v>110.1</v>
      </c>
      <c r="H81" s="318"/>
    </row>
    <row r="82" spans="1:8" ht="14.5" x14ac:dyDescent="0.35">
      <c r="A82" s="320">
        <v>6</v>
      </c>
      <c r="B82" s="322">
        <v>26.9</v>
      </c>
      <c r="C82" s="322">
        <v>48.4</v>
      </c>
      <c r="D82" s="322">
        <v>97.6</v>
      </c>
      <c r="E82" s="322"/>
      <c r="F82" s="322"/>
      <c r="G82" s="322">
        <v>111.1</v>
      </c>
      <c r="H82" s="318"/>
    </row>
    <row r="83" spans="1:8" ht="14.5" x14ac:dyDescent="0.35">
      <c r="A83" s="320">
        <v>7</v>
      </c>
      <c r="B83" s="322">
        <v>34.299999999999997</v>
      </c>
      <c r="C83" s="322">
        <v>47.1</v>
      </c>
      <c r="D83" s="322">
        <v>89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27.6</v>
      </c>
      <c r="C84" s="322">
        <v>78.7</v>
      </c>
      <c r="D84" s="322">
        <v>84.1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31.5</v>
      </c>
      <c r="C85" s="322">
        <v>75.5</v>
      </c>
      <c r="D85" s="322">
        <v>86.7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24.9</v>
      </c>
      <c r="C86" s="322">
        <v>67.7</v>
      </c>
      <c r="D86" s="322">
        <v>97.1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31.1</v>
      </c>
      <c r="C87" s="322">
        <v>72.2</v>
      </c>
      <c r="D87" s="322">
        <v>81.2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35.1</v>
      </c>
      <c r="C88" s="322">
        <v>67.5</v>
      </c>
      <c r="D88" s="322">
        <v>84.8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40.799999999999997</v>
      </c>
      <c r="C89" s="322">
        <v>79.099999999999994</v>
      </c>
      <c r="D89" s="322">
        <v>97.5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43.3</v>
      </c>
      <c r="C90" s="322">
        <v>59.7</v>
      </c>
      <c r="D90" s="322">
        <v>95.2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32.200000000000003</v>
      </c>
      <c r="C91" s="322">
        <v>79.3</v>
      </c>
      <c r="D91" s="322">
        <v>80.7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22.7</v>
      </c>
      <c r="C92" s="322">
        <v>67.2</v>
      </c>
      <c r="D92" s="322">
        <v>95.7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34.6</v>
      </c>
      <c r="C93" s="322">
        <v>55.3</v>
      </c>
      <c r="D93" s="322">
        <v>91.3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21.4</v>
      </c>
      <c r="C94" s="322">
        <v>71.7</v>
      </c>
      <c r="D94" s="322">
        <v>86.9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44</v>
      </c>
      <c r="C95" s="322">
        <v>73.5</v>
      </c>
      <c r="D95" s="322">
        <v>83.3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36.6</v>
      </c>
      <c r="C96" s="322">
        <v>62.2</v>
      </c>
      <c r="D96" s="322">
        <v>81.7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20.5</v>
      </c>
      <c r="C97" s="322">
        <v>45.3</v>
      </c>
      <c r="D97" s="322">
        <v>92.9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43.2</v>
      </c>
      <c r="C98" s="322">
        <v>71.099999999999994</v>
      </c>
      <c r="D98" s="322">
        <v>82.2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28.3</v>
      </c>
      <c r="C99" s="322">
        <v>50.2</v>
      </c>
      <c r="D99" s="322">
        <v>82.9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59.1</v>
      </c>
      <c r="D100" s="322">
        <v>93.5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79.099999999999994</v>
      </c>
      <c r="D101" s="322">
        <v>94.1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71.900000000000006</v>
      </c>
      <c r="D102" s="322">
        <v>83.5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32.9</v>
      </c>
      <c r="C106" s="322">
        <v>69.900000000000006</v>
      </c>
      <c r="D106" s="322">
        <v>86.7</v>
      </c>
      <c r="E106" s="322">
        <v>37.6</v>
      </c>
      <c r="F106" s="322">
        <v>85.5</v>
      </c>
      <c r="G106" s="322">
        <v>98.9</v>
      </c>
      <c r="H106" s="318"/>
    </row>
    <row r="107" spans="1:8" ht="14.5" x14ac:dyDescent="0.35">
      <c r="A107" s="320">
        <v>2</v>
      </c>
      <c r="B107" s="322">
        <v>34.4</v>
      </c>
      <c r="C107" s="322">
        <v>50</v>
      </c>
      <c r="D107" s="322">
        <v>81.099999999999994</v>
      </c>
      <c r="E107" s="322">
        <v>32</v>
      </c>
      <c r="F107" s="322">
        <v>61.9</v>
      </c>
      <c r="G107" s="322">
        <v>102.5</v>
      </c>
      <c r="H107" s="318"/>
    </row>
    <row r="108" spans="1:8" ht="14.5" x14ac:dyDescent="0.35">
      <c r="A108" s="320">
        <v>3</v>
      </c>
      <c r="B108" s="322">
        <v>42.4</v>
      </c>
      <c r="C108" s="322">
        <v>45</v>
      </c>
      <c r="D108" s="322">
        <v>81.7</v>
      </c>
      <c r="E108" s="322"/>
      <c r="F108" s="322">
        <v>79.3</v>
      </c>
      <c r="G108" s="322">
        <v>103.1</v>
      </c>
      <c r="H108" s="318"/>
    </row>
    <row r="109" spans="1:8" ht="14.5" x14ac:dyDescent="0.35">
      <c r="A109" s="320">
        <v>4</v>
      </c>
      <c r="B109" s="322">
        <v>39.5</v>
      </c>
      <c r="C109" s="322">
        <v>53.8</v>
      </c>
      <c r="D109" s="322">
        <v>81.900000000000006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26.1</v>
      </c>
      <c r="C110" s="322">
        <v>49.1</v>
      </c>
      <c r="D110" s="322">
        <v>87.5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28.8</v>
      </c>
      <c r="C111" s="322">
        <v>54.9</v>
      </c>
      <c r="D111" s="322">
        <v>83.1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44.5</v>
      </c>
      <c r="C112" s="322">
        <v>47.3</v>
      </c>
      <c r="D112" s="322">
        <v>92.5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36.1</v>
      </c>
      <c r="C113" s="322">
        <v>71.400000000000006</v>
      </c>
      <c r="D113" s="322">
        <v>87.2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38</v>
      </c>
      <c r="C114" s="322">
        <v>61.8</v>
      </c>
      <c r="D114" s="322">
        <v>95.4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27.4</v>
      </c>
      <c r="C115" s="322">
        <v>75.3</v>
      </c>
      <c r="D115" s="322">
        <v>90.2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44.5</v>
      </c>
      <c r="C116" s="322">
        <v>57.3</v>
      </c>
      <c r="D116" s="322">
        <v>85.4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24.1</v>
      </c>
      <c r="C117" s="322">
        <v>47</v>
      </c>
      <c r="D117" s="322">
        <v>81.7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30.5</v>
      </c>
      <c r="C118" s="322">
        <v>67.7</v>
      </c>
      <c r="D118" s="322">
        <v>84.8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37.6</v>
      </c>
      <c r="C119" s="322">
        <v>79.3</v>
      </c>
      <c r="D119" s="322">
        <v>96.4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25.7</v>
      </c>
      <c r="C120" s="322">
        <v>66.8</v>
      </c>
      <c r="D120" s="322">
        <v>82.6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41.1</v>
      </c>
      <c r="C121" s="322">
        <v>66.099999999999994</v>
      </c>
      <c r="D121" s="322">
        <v>96.2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71.2</v>
      </c>
      <c r="D122" s="322">
        <v>86.4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85.3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29.6</v>
      </c>
      <c r="C127" s="322">
        <v>68.3</v>
      </c>
      <c r="D127" s="322">
        <v>80.7</v>
      </c>
      <c r="E127" s="322">
        <v>41.6</v>
      </c>
      <c r="F127" s="322">
        <v>72.900000000000006</v>
      </c>
      <c r="G127" s="322">
        <v>97.4</v>
      </c>
      <c r="H127" s="318"/>
    </row>
    <row r="128" spans="1:8" ht="14.5" x14ac:dyDescent="0.35">
      <c r="A128" s="320">
        <v>2</v>
      </c>
      <c r="B128" s="322">
        <v>30.9</v>
      </c>
      <c r="C128" s="322">
        <v>46.3</v>
      </c>
      <c r="D128" s="322">
        <v>88.8</v>
      </c>
      <c r="E128" s="322">
        <v>50.6</v>
      </c>
      <c r="F128" s="322">
        <v>75.5</v>
      </c>
      <c r="G128" s="322">
        <v>102.4</v>
      </c>
      <c r="H128" s="318"/>
    </row>
    <row r="129" spans="1:8" ht="14.5" x14ac:dyDescent="0.35">
      <c r="A129" s="320">
        <v>3</v>
      </c>
      <c r="B129" s="322">
        <v>25.7</v>
      </c>
      <c r="C129" s="322">
        <v>69.099999999999994</v>
      </c>
      <c r="D129" s="322">
        <v>93.6</v>
      </c>
      <c r="E129" s="322">
        <v>25</v>
      </c>
      <c r="F129" s="322">
        <v>77.099999999999994</v>
      </c>
      <c r="G129" s="322">
        <v>111.5</v>
      </c>
      <c r="H129" s="318"/>
    </row>
    <row r="130" spans="1:8" ht="14.5" x14ac:dyDescent="0.35">
      <c r="A130" s="320">
        <v>4</v>
      </c>
      <c r="B130" s="322">
        <v>42.1</v>
      </c>
      <c r="C130" s="322">
        <v>79.7</v>
      </c>
      <c r="D130" s="322">
        <v>97.7</v>
      </c>
      <c r="E130" s="322">
        <v>57.7</v>
      </c>
      <c r="F130" s="322">
        <v>80.7</v>
      </c>
      <c r="G130" s="322">
        <v>108.1</v>
      </c>
      <c r="H130" s="318"/>
    </row>
    <row r="131" spans="1:8" ht="14.5" x14ac:dyDescent="0.35">
      <c r="A131" s="320">
        <v>5</v>
      </c>
      <c r="B131" s="322">
        <v>23.6</v>
      </c>
      <c r="C131" s="322">
        <v>72.7</v>
      </c>
      <c r="D131" s="322">
        <v>92.3</v>
      </c>
      <c r="E131" s="322"/>
      <c r="F131" s="322">
        <v>82.9</v>
      </c>
      <c r="G131" s="322">
        <v>113.5</v>
      </c>
      <c r="H131" s="318"/>
    </row>
    <row r="132" spans="1:8" ht="14.5" x14ac:dyDescent="0.35">
      <c r="A132" s="320">
        <v>6</v>
      </c>
      <c r="B132" s="322">
        <v>41.5</v>
      </c>
      <c r="C132" s="322">
        <v>69.400000000000006</v>
      </c>
      <c r="D132" s="322">
        <v>86.8</v>
      </c>
      <c r="E132" s="322"/>
      <c r="F132" s="322"/>
      <c r="G132" s="322">
        <v>111</v>
      </c>
      <c r="H132" s="318"/>
    </row>
    <row r="133" spans="1:8" ht="14.5" x14ac:dyDescent="0.35">
      <c r="A133" s="320">
        <v>7</v>
      </c>
      <c r="B133" s="322">
        <v>40.4</v>
      </c>
      <c r="C133" s="322">
        <v>63.1</v>
      </c>
      <c r="D133" s="322">
        <v>91.1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38.299999999999997</v>
      </c>
      <c r="C134" s="322">
        <v>65.7</v>
      </c>
      <c r="D134" s="322">
        <v>93.4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39.299999999999997</v>
      </c>
      <c r="C135" s="322">
        <v>57.1</v>
      </c>
      <c r="D135" s="322">
        <v>88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24.4</v>
      </c>
      <c r="C136" s="322">
        <v>65.5</v>
      </c>
      <c r="D136" s="322">
        <v>96.5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44.3</v>
      </c>
      <c r="C137" s="322">
        <v>64.2</v>
      </c>
      <c r="D137" s="322">
        <v>92.8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28.7</v>
      </c>
      <c r="C138" s="322">
        <v>61.7</v>
      </c>
      <c r="D138" s="322">
        <v>87.2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41.1</v>
      </c>
      <c r="C139" s="322">
        <v>48.8</v>
      </c>
      <c r="D139" s="322">
        <v>95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32.299999999999997</v>
      </c>
      <c r="C140" s="322">
        <v>65.8</v>
      </c>
      <c r="D140" s="322">
        <v>86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40.299999999999997</v>
      </c>
      <c r="C141" s="322">
        <v>47.5</v>
      </c>
      <c r="D141" s="322">
        <v>93.6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33.799999999999997</v>
      </c>
      <c r="C142" s="322">
        <v>51.8</v>
      </c>
      <c r="D142" s="322">
        <v>97.6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24</v>
      </c>
      <c r="C143" s="322">
        <v>49.9</v>
      </c>
      <c r="D143" s="322">
        <v>97.4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30.6</v>
      </c>
      <c r="C144" s="322">
        <v>74.099999999999994</v>
      </c>
      <c r="D144" s="322">
        <v>95.5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24.2</v>
      </c>
      <c r="C145" s="322">
        <v>62.9</v>
      </c>
      <c r="D145" s="322">
        <v>89.2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36</v>
      </c>
      <c r="C146" s="322">
        <v>64.099999999999994</v>
      </c>
      <c r="D146" s="322">
        <v>96.6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42.6</v>
      </c>
      <c r="C147" s="322">
        <v>71.3</v>
      </c>
      <c r="D147" s="322">
        <v>95.8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40.299999999999997</v>
      </c>
      <c r="C148" s="322">
        <v>66</v>
      </c>
      <c r="D148" s="322">
        <v>94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93.3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96.6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61.7</v>
      </c>
      <c r="C155" s="325">
        <f>ROUNDDOWN(AVERAGE(E6:G45),1)</f>
        <v>83.3</v>
      </c>
      <c r="D155" s="320">
        <v>94502</v>
      </c>
      <c r="E155" s="320">
        <v>12647</v>
      </c>
      <c r="F155" s="325">
        <f>B155*D155</f>
        <v>5830773.4000000004</v>
      </c>
      <c r="G155" s="325">
        <f>C155*E155</f>
        <v>1053495.0999999999</v>
      </c>
    </row>
    <row r="156" spans="1:8" ht="13" x14ac:dyDescent="0.25">
      <c r="A156" s="321" t="s">
        <v>356</v>
      </c>
      <c r="B156" s="325">
        <f>ROUNDDOWN(AVERAGE(B49:D73),1)</f>
        <v>63.2</v>
      </c>
      <c r="C156" s="325">
        <f>ROUNDDOWN(AVERAGE(E49:G73),1)</f>
        <v>77</v>
      </c>
      <c r="D156" s="320">
        <v>52390</v>
      </c>
      <c r="E156" s="320">
        <v>6833</v>
      </c>
      <c r="F156" s="325">
        <f t="shared" ref="F156:G159" si="0">B156*D156</f>
        <v>3311048</v>
      </c>
      <c r="G156" s="325">
        <f t="shared" si="0"/>
        <v>526141</v>
      </c>
    </row>
    <row r="157" spans="1:8" ht="13" x14ac:dyDescent="0.25">
      <c r="A157" s="321" t="s">
        <v>358</v>
      </c>
      <c r="B157" s="325">
        <f>ROUNDDOWN(AVERAGE(B77:D102),1)</f>
        <v>63.5</v>
      </c>
      <c r="C157" s="325">
        <f>ROUNDDOWN(AVERAGE(E77:G102),1)</f>
        <v>82.4</v>
      </c>
      <c r="D157" s="320">
        <v>60472</v>
      </c>
      <c r="E157" s="320">
        <v>10116</v>
      </c>
      <c r="F157" s="325">
        <f t="shared" si="0"/>
        <v>3839972</v>
      </c>
      <c r="G157" s="325">
        <f t="shared" si="0"/>
        <v>833558.4</v>
      </c>
    </row>
    <row r="158" spans="1:8" ht="13" x14ac:dyDescent="0.25">
      <c r="A158" s="321" t="s">
        <v>360</v>
      </c>
      <c r="B158" s="325">
        <f>ROUNDDOWN(AVERAGE(B106:D123),1)</f>
        <v>61.8</v>
      </c>
      <c r="C158" s="325">
        <f>ROUNDDOWN(AVERAGE(E106:G123),1)</f>
        <v>75.099999999999994</v>
      </c>
      <c r="D158" s="320">
        <v>40323</v>
      </c>
      <c r="E158" s="320">
        <v>5064</v>
      </c>
      <c r="F158" s="325">
        <f t="shared" si="0"/>
        <v>2491961.4</v>
      </c>
      <c r="G158" s="325">
        <f t="shared" si="0"/>
        <v>380306.39999999997</v>
      </c>
    </row>
    <row r="159" spans="1:8" ht="13" x14ac:dyDescent="0.25">
      <c r="A159" s="321" t="s">
        <v>362</v>
      </c>
      <c r="B159" s="325">
        <f>ROUNDDOWN(AVERAGE(B127:D150),1)</f>
        <v>64</v>
      </c>
      <c r="C159" s="325">
        <f>ROUNDDOWN(AVERAGE(E127:G150),1)</f>
        <v>80.5</v>
      </c>
      <c r="D159" s="320">
        <v>54596</v>
      </c>
      <c r="E159" s="320">
        <v>10957</v>
      </c>
      <c r="F159" s="325">
        <f t="shared" si="0"/>
        <v>3494144</v>
      </c>
      <c r="G159" s="325">
        <f t="shared" si="0"/>
        <v>882038.5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45617</v>
      </c>
      <c r="F160" s="325">
        <f>SUM(F155:F159)</f>
        <v>18967898.800000001</v>
      </c>
      <c r="G160" s="325">
        <f>SUM(G155:G159)</f>
        <v>3675539.4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62.7</v>
      </c>
      <c r="D165" s="327">
        <f>ROUNDDOWN(G160/E160,1)</f>
        <v>80.5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F3F32-FFD5-4453-8D2D-54030C2F7E17}">
  <dimension ref="A1:H165"/>
  <sheetViews>
    <sheetView topLeftCell="A106" zoomScale="60" zoomScaleNormal="60" workbookViewId="0">
      <selection activeCell="D136" sqref="D136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2022.09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31.9</v>
      </c>
      <c r="C6" s="322">
        <v>70.400000000000006</v>
      </c>
      <c r="D6" s="322">
        <v>86.4</v>
      </c>
      <c r="E6" s="322">
        <v>55.2</v>
      </c>
      <c r="F6" s="322">
        <v>64.8</v>
      </c>
      <c r="G6" s="322">
        <v>114.7</v>
      </c>
      <c r="H6" s="318"/>
    </row>
    <row r="7" spans="1:8" ht="14.5" x14ac:dyDescent="0.35">
      <c r="A7" s="320">
        <v>2</v>
      </c>
      <c r="B7" s="322">
        <v>31.5</v>
      </c>
      <c r="C7" s="322">
        <v>60.4</v>
      </c>
      <c r="D7" s="322">
        <v>88.3</v>
      </c>
      <c r="E7" s="322">
        <v>55.4</v>
      </c>
      <c r="F7" s="322">
        <v>78.599999999999994</v>
      </c>
      <c r="G7" s="322">
        <v>96</v>
      </c>
      <c r="H7" s="318"/>
    </row>
    <row r="8" spans="1:8" ht="14.5" x14ac:dyDescent="0.35">
      <c r="A8" s="320">
        <v>3</v>
      </c>
      <c r="B8" s="322">
        <v>37.799999999999997</v>
      </c>
      <c r="C8" s="322">
        <v>54.6</v>
      </c>
      <c r="D8" s="322">
        <v>91.9</v>
      </c>
      <c r="E8" s="322">
        <v>26</v>
      </c>
      <c r="F8" s="322">
        <v>76.8</v>
      </c>
      <c r="G8" s="322">
        <v>92.8</v>
      </c>
      <c r="H8" s="318"/>
    </row>
    <row r="9" spans="1:8" ht="14.5" x14ac:dyDescent="0.35">
      <c r="A9" s="320">
        <v>4</v>
      </c>
      <c r="B9" s="322">
        <v>30.2</v>
      </c>
      <c r="C9" s="322">
        <v>63.9</v>
      </c>
      <c r="D9" s="322">
        <v>82.7</v>
      </c>
      <c r="E9" s="322">
        <v>49.8</v>
      </c>
      <c r="F9" s="322">
        <v>71.400000000000006</v>
      </c>
      <c r="G9" s="322">
        <v>99.7</v>
      </c>
      <c r="H9" s="318"/>
    </row>
    <row r="10" spans="1:8" ht="14.5" x14ac:dyDescent="0.35">
      <c r="A10" s="320">
        <v>5</v>
      </c>
      <c r="B10" s="322">
        <v>23.7</v>
      </c>
      <c r="C10" s="322">
        <v>47.9</v>
      </c>
      <c r="D10" s="322">
        <v>92.3</v>
      </c>
      <c r="E10" s="322"/>
      <c r="F10" s="322">
        <v>64.5</v>
      </c>
      <c r="G10" s="322">
        <v>95.4</v>
      </c>
      <c r="H10" s="318"/>
    </row>
    <row r="11" spans="1:8" ht="14.5" x14ac:dyDescent="0.35">
      <c r="A11" s="320">
        <v>6</v>
      </c>
      <c r="B11" s="322">
        <v>29.1</v>
      </c>
      <c r="C11" s="322">
        <v>45.1</v>
      </c>
      <c r="D11" s="322">
        <v>96.2</v>
      </c>
      <c r="E11" s="322"/>
      <c r="F11" s="322">
        <v>84.3</v>
      </c>
      <c r="G11" s="322">
        <v>103.5</v>
      </c>
      <c r="H11" s="318"/>
    </row>
    <row r="12" spans="1:8" ht="14.5" x14ac:dyDescent="0.35">
      <c r="A12" s="320">
        <v>7</v>
      </c>
      <c r="B12" s="322">
        <v>28.5</v>
      </c>
      <c r="C12" s="322">
        <v>57.5</v>
      </c>
      <c r="D12" s="322">
        <v>84.8</v>
      </c>
      <c r="E12" s="322"/>
      <c r="F12" s="322"/>
      <c r="G12" s="322">
        <v>105.8</v>
      </c>
      <c r="H12" s="318"/>
    </row>
    <row r="13" spans="1:8" ht="14.5" x14ac:dyDescent="0.35">
      <c r="A13" s="320">
        <v>8</v>
      </c>
      <c r="B13" s="322">
        <v>30.3</v>
      </c>
      <c r="C13" s="322">
        <v>65.900000000000006</v>
      </c>
      <c r="D13" s="322">
        <v>81.099999999999994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40.1</v>
      </c>
      <c r="C14" s="322">
        <v>78.900000000000006</v>
      </c>
      <c r="D14" s="322">
        <v>81.8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41.6</v>
      </c>
      <c r="C15" s="322">
        <v>47.4</v>
      </c>
      <c r="D15" s="322">
        <v>82.3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32.6</v>
      </c>
      <c r="C16" s="322">
        <v>45.2</v>
      </c>
      <c r="D16" s="322">
        <v>96.5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21.1</v>
      </c>
      <c r="C17" s="322">
        <v>52.6</v>
      </c>
      <c r="D17" s="322">
        <v>95.9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36.799999999999997</v>
      </c>
      <c r="C18" s="322">
        <v>53.7</v>
      </c>
      <c r="D18" s="322">
        <v>89.4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44.1</v>
      </c>
      <c r="C19" s="322">
        <v>53.4</v>
      </c>
      <c r="D19" s="322">
        <v>94.6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39.9</v>
      </c>
      <c r="C20" s="322">
        <v>75.400000000000006</v>
      </c>
      <c r="D20" s="322">
        <v>93.9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24.6</v>
      </c>
      <c r="C21" s="322">
        <v>68.900000000000006</v>
      </c>
      <c r="D21" s="322">
        <v>83.9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38.4</v>
      </c>
      <c r="C22" s="322">
        <v>55.4</v>
      </c>
      <c r="D22" s="322">
        <v>97.1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38.1</v>
      </c>
      <c r="C23" s="322">
        <v>65.3</v>
      </c>
      <c r="D23" s="322">
        <v>93.4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26.6</v>
      </c>
      <c r="C24" s="322">
        <v>52.2</v>
      </c>
      <c r="D24" s="322">
        <v>96.8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26.3</v>
      </c>
      <c r="C25" s="322">
        <v>59.7</v>
      </c>
      <c r="D25" s="322">
        <v>89.3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23.3</v>
      </c>
      <c r="C26" s="322">
        <v>51.8</v>
      </c>
      <c r="D26" s="322">
        <v>81.900000000000006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29.3</v>
      </c>
      <c r="C27" s="322">
        <v>52.3</v>
      </c>
      <c r="D27" s="322">
        <v>88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20.399999999999999</v>
      </c>
      <c r="C28" s="322">
        <v>61.8</v>
      </c>
      <c r="D28" s="322">
        <v>84.1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26.4</v>
      </c>
      <c r="C29" s="322">
        <v>72.8</v>
      </c>
      <c r="D29" s="322">
        <v>95.4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36.700000000000003</v>
      </c>
      <c r="C30" s="322">
        <v>68.400000000000006</v>
      </c>
      <c r="D30" s="322">
        <v>85.9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36.4</v>
      </c>
      <c r="C31" s="322">
        <v>46.4</v>
      </c>
      <c r="D31" s="322">
        <v>86.3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29.1</v>
      </c>
      <c r="C32" s="322">
        <v>56.1</v>
      </c>
      <c r="D32" s="322">
        <v>94.1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37.700000000000003</v>
      </c>
      <c r="C33" s="322">
        <v>61.6</v>
      </c>
      <c r="D33" s="322">
        <v>82.3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45</v>
      </c>
      <c r="C34" s="322">
        <v>66.2</v>
      </c>
      <c r="D34" s="322">
        <v>95.9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25.7</v>
      </c>
      <c r="C35" s="322">
        <v>50.4</v>
      </c>
      <c r="D35" s="322">
        <v>87.5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26.9</v>
      </c>
      <c r="C36" s="322">
        <v>55.6</v>
      </c>
      <c r="D36" s="322">
        <v>81.400000000000006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27.7</v>
      </c>
      <c r="C37" s="322">
        <v>72.2</v>
      </c>
      <c r="D37" s="322">
        <v>90.6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20.399999999999999</v>
      </c>
      <c r="C38" s="322">
        <v>77.2</v>
      </c>
      <c r="D38" s="322">
        <v>83.2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28.9</v>
      </c>
      <c r="C39" s="322">
        <v>54.5</v>
      </c>
      <c r="D39" s="322">
        <v>80.099999999999994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40.9</v>
      </c>
      <c r="C40" s="322">
        <v>70.599999999999994</v>
      </c>
      <c r="D40" s="322">
        <v>97.7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44.7</v>
      </c>
      <c r="C41" s="322">
        <v>70.599999999999994</v>
      </c>
      <c r="D41" s="322">
        <v>85.2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40.200000000000003</v>
      </c>
      <c r="C42" s="322">
        <v>56.8</v>
      </c>
      <c r="D42" s="322">
        <v>80.7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43.3</v>
      </c>
      <c r="C43" s="322">
        <v>61.4</v>
      </c>
      <c r="D43" s="322">
        <v>85.8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48.8</v>
      </c>
      <c r="D44" s="322">
        <v>89.1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81.599999999999994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38.4</v>
      </c>
      <c r="C49" s="322">
        <v>68.099999999999994</v>
      </c>
      <c r="D49" s="322">
        <v>84.9</v>
      </c>
      <c r="E49" s="322">
        <v>27.1</v>
      </c>
      <c r="F49" s="322">
        <v>88.2</v>
      </c>
      <c r="G49" s="322">
        <v>111.7</v>
      </c>
      <c r="H49" s="318"/>
    </row>
    <row r="50" spans="1:8" ht="14.5" x14ac:dyDescent="0.35">
      <c r="A50" s="320">
        <v>2</v>
      </c>
      <c r="B50" s="322">
        <v>34.4</v>
      </c>
      <c r="C50" s="322">
        <v>67.5</v>
      </c>
      <c r="D50" s="322">
        <v>89.4</v>
      </c>
      <c r="E50" s="322">
        <v>36.5</v>
      </c>
      <c r="F50" s="322">
        <v>88.3</v>
      </c>
      <c r="G50" s="322">
        <v>97.1</v>
      </c>
      <c r="H50" s="318"/>
    </row>
    <row r="51" spans="1:8" ht="14.5" x14ac:dyDescent="0.35">
      <c r="A51" s="320">
        <v>3</v>
      </c>
      <c r="B51" s="322">
        <v>32.299999999999997</v>
      </c>
      <c r="C51" s="322">
        <v>58.4</v>
      </c>
      <c r="D51" s="322">
        <v>86.2</v>
      </c>
      <c r="E51" s="322"/>
      <c r="F51" s="322">
        <v>73.099999999999994</v>
      </c>
      <c r="G51" s="322">
        <v>91.3</v>
      </c>
      <c r="H51" s="318"/>
    </row>
    <row r="52" spans="1:8" ht="14.5" x14ac:dyDescent="0.35">
      <c r="A52" s="320">
        <v>4</v>
      </c>
      <c r="B52" s="322">
        <v>32.4</v>
      </c>
      <c r="C52" s="322">
        <v>80</v>
      </c>
      <c r="D52" s="322">
        <v>92.9</v>
      </c>
      <c r="E52" s="322"/>
      <c r="F52" s="322">
        <v>66.599999999999994</v>
      </c>
      <c r="G52" s="322">
        <v>119</v>
      </c>
      <c r="H52" s="318"/>
    </row>
    <row r="53" spans="1:8" ht="14.5" x14ac:dyDescent="0.35">
      <c r="A53" s="320">
        <v>5</v>
      </c>
      <c r="B53" s="322">
        <v>25.9</v>
      </c>
      <c r="C53" s="322">
        <v>58.2</v>
      </c>
      <c r="D53" s="322">
        <v>95.1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35</v>
      </c>
      <c r="C54" s="322">
        <v>64.3</v>
      </c>
      <c r="D54" s="322">
        <v>87.3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24.2</v>
      </c>
      <c r="C55" s="322">
        <v>59</v>
      </c>
      <c r="D55" s="322">
        <v>93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23.8</v>
      </c>
      <c r="C56" s="322">
        <v>59.8</v>
      </c>
      <c r="D56" s="322">
        <v>97.1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30.9</v>
      </c>
      <c r="C57" s="322">
        <v>73.3</v>
      </c>
      <c r="D57" s="322">
        <v>93.7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25.2</v>
      </c>
      <c r="C58" s="322">
        <v>74.2</v>
      </c>
      <c r="D58" s="322">
        <v>96.9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33.799999999999997</v>
      </c>
      <c r="C59" s="322">
        <v>47.6</v>
      </c>
      <c r="D59" s="322">
        <v>85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42</v>
      </c>
      <c r="C60" s="322">
        <v>48.5</v>
      </c>
      <c r="D60" s="322">
        <v>84.8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41.8</v>
      </c>
      <c r="C61" s="322">
        <v>75.2</v>
      </c>
      <c r="D61" s="322">
        <v>86.9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31.4</v>
      </c>
      <c r="C62" s="322">
        <v>53.7</v>
      </c>
      <c r="D62" s="322">
        <v>90.2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44.1</v>
      </c>
      <c r="C63" s="322">
        <v>56.7</v>
      </c>
      <c r="D63" s="322">
        <v>96.2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23.2</v>
      </c>
      <c r="C64" s="322">
        <v>67</v>
      </c>
      <c r="D64" s="322">
        <v>89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37.5</v>
      </c>
      <c r="C65" s="322">
        <v>59.2</v>
      </c>
      <c r="D65" s="322">
        <v>88.8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35.700000000000003</v>
      </c>
      <c r="C66" s="322">
        <v>76.900000000000006</v>
      </c>
      <c r="D66" s="322">
        <v>91.8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59.6</v>
      </c>
      <c r="D67" s="322">
        <v>82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53.3</v>
      </c>
      <c r="D68" s="322">
        <v>91.3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72.099999999999994</v>
      </c>
      <c r="D69" s="322">
        <v>87.6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72.599999999999994</v>
      </c>
      <c r="D70" s="322">
        <v>92.7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58.3</v>
      </c>
      <c r="D71" s="322">
        <v>89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85.5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93.3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22.6</v>
      </c>
      <c r="C77" s="322">
        <v>67</v>
      </c>
      <c r="D77" s="322">
        <v>85.4</v>
      </c>
      <c r="E77" s="322">
        <v>49.1</v>
      </c>
      <c r="F77" s="322">
        <v>63.2</v>
      </c>
      <c r="G77" s="322">
        <v>115</v>
      </c>
      <c r="H77" s="318"/>
    </row>
    <row r="78" spans="1:8" ht="14.5" x14ac:dyDescent="0.35">
      <c r="A78" s="320">
        <v>2</v>
      </c>
      <c r="B78" s="322">
        <v>29.2</v>
      </c>
      <c r="C78" s="322">
        <v>52.6</v>
      </c>
      <c r="D78" s="322">
        <v>83.7</v>
      </c>
      <c r="E78" s="322">
        <v>26.2</v>
      </c>
      <c r="F78" s="322">
        <v>73.2</v>
      </c>
      <c r="G78" s="322">
        <v>102.7</v>
      </c>
      <c r="H78" s="318"/>
    </row>
    <row r="79" spans="1:8" ht="14.5" x14ac:dyDescent="0.35">
      <c r="A79" s="320">
        <v>3</v>
      </c>
      <c r="B79" s="322">
        <v>22.3</v>
      </c>
      <c r="C79" s="322">
        <v>52.4</v>
      </c>
      <c r="D79" s="322">
        <v>91.5</v>
      </c>
      <c r="E79" s="322">
        <v>51.2</v>
      </c>
      <c r="F79" s="322">
        <v>84.7</v>
      </c>
      <c r="G79" s="322">
        <v>113.4</v>
      </c>
      <c r="H79" s="318"/>
    </row>
    <row r="80" spans="1:8" ht="14.5" x14ac:dyDescent="0.35">
      <c r="A80" s="320">
        <v>4</v>
      </c>
      <c r="B80" s="322">
        <v>26.5</v>
      </c>
      <c r="C80" s="322">
        <v>46.9</v>
      </c>
      <c r="D80" s="322">
        <v>91.6</v>
      </c>
      <c r="E80" s="322"/>
      <c r="F80" s="322">
        <v>62.8</v>
      </c>
      <c r="G80" s="322">
        <v>99.4</v>
      </c>
      <c r="H80" s="318"/>
    </row>
    <row r="81" spans="1:8" ht="14.5" x14ac:dyDescent="0.35">
      <c r="A81" s="320">
        <v>5</v>
      </c>
      <c r="B81" s="322">
        <v>32.799999999999997</v>
      </c>
      <c r="C81" s="322">
        <v>46.9</v>
      </c>
      <c r="D81" s="322">
        <v>97.7</v>
      </c>
      <c r="E81" s="322"/>
      <c r="F81" s="322">
        <v>80.900000000000006</v>
      </c>
      <c r="G81" s="322">
        <v>118.9</v>
      </c>
      <c r="H81" s="318"/>
    </row>
    <row r="82" spans="1:8" ht="14.5" x14ac:dyDescent="0.35">
      <c r="A82" s="320">
        <v>6</v>
      </c>
      <c r="B82" s="322">
        <v>36.9</v>
      </c>
      <c r="C82" s="322">
        <v>66</v>
      </c>
      <c r="D82" s="322">
        <v>86.4</v>
      </c>
      <c r="E82" s="322"/>
      <c r="F82" s="322"/>
      <c r="G82" s="322">
        <v>90.8</v>
      </c>
      <c r="H82" s="318"/>
    </row>
    <row r="83" spans="1:8" ht="14.5" x14ac:dyDescent="0.35">
      <c r="A83" s="320">
        <v>7</v>
      </c>
      <c r="B83" s="322">
        <v>31.6</v>
      </c>
      <c r="C83" s="322">
        <v>52.3</v>
      </c>
      <c r="D83" s="322">
        <v>94.5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44.1</v>
      </c>
      <c r="C84" s="322">
        <v>70.599999999999994</v>
      </c>
      <c r="D84" s="322">
        <v>88.4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43.7</v>
      </c>
      <c r="C85" s="322">
        <v>72.2</v>
      </c>
      <c r="D85" s="322">
        <v>86.9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38.5</v>
      </c>
      <c r="C86" s="322">
        <v>56.2</v>
      </c>
      <c r="D86" s="322">
        <v>84.9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41.5</v>
      </c>
      <c r="C87" s="322">
        <v>57.9</v>
      </c>
      <c r="D87" s="322">
        <v>80.2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42.4</v>
      </c>
      <c r="C88" s="322">
        <v>52.8</v>
      </c>
      <c r="D88" s="322">
        <v>90.4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30.7</v>
      </c>
      <c r="C89" s="322">
        <v>65.400000000000006</v>
      </c>
      <c r="D89" s="322">
        <v>90.1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27.2</v>
      </c>
      <c r="C90" s="322">
        <v>60.8</v>
      </c>
      <c r="D90" s="322">
        <v>83.2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39.700000000000003</v>
      </c>
      <c r="C91" s="322">
        <v>50.1</v>
      </c>
      <c r="D91" s="322">
        <v>90.8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43.7</v>
      </c>
      <c r="C92" s="322">
        <v>52.2</v>
      </c>
      <c r="D92" s="322">
        <v>94.5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28.8</v>
      </c>
      <c r="C93" s="322">
        <v>57.1</v>
      </c>
      <c r="D93" s="322">
        <v>83.4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43.6</v>
      </c>
      <c r="C94" s="322">
        <v>61.7</v>
      </c>
      <c r="D94" s="322">
        <v>89.5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38.299999999999997</v>
      </c>
      <c r="C95" s="322">
        <v>50.7</v>
      </c>
      <c r="D95" s="322">
        <v>94.5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44.4</v>
      </c>
      <c r="C96" s="322">
        <v>67.099999999999994</v>
      </c>
      <c r="D96" s="322">
        <v>97.2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21.1</v>
      </c>
      <c r="C97" s="322">
        <v>76</v>
      </c>
      <c r="D97" s="322">
        <v>89.6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24.5</v>
      </c>
      <c r="C98" s="322">
        <v>71.8</v>
      </c>
      <c r="D98" s="322">
        <v>81.5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26.6</v>
      </c>
      <c r="C99" s="322">
        <v>48.6</v>
      </c>
      <c r="D99" s="322">
        <v>82.7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59.5</v>
      </c>
      <c r="D100" s="322">
        <v>92.9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71</v>
      </c>
      <c r="D101" s="322">
        <v>85.3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50.3</v>
      </c>
      <c r="D102" s="322">
        <v>95.6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44.4</v>
      </c>
      <c r="C106" s="322">
        <v>77.3</v>
      </c>
      <c r="D106" s="322">
        <v>96.6</v>
      </c>
      <c r="E106" s="322">
        <v>56.3</v>
      </c>
      <c r="F106" s="322">
        <v>83.4</v>
      </c>
      <c r="G106" s="322">
        <v>105.4</v>
      </c>
      <c r="H106" s="318"/>
    </row>
    <row r="107" spans="1:8" ht="14.5" x14ac:dyDescent="0.35">
      <c r="A107" s="320">
        <v>2</v>
      </c>
      <c r="B107" s="322">
        <v>32.9</v>
      </c>
      <c r="C107" s="322">
        <v>64.099999999999994</v>
      </c>
      <c r="D107" s="322">
        <v>80.8</v>
      </c>
      <c r="E107" s="322">
        <v>53.6</v>
      </c>
      <c r="F107" s="322">
        <v>83.3</v>
      </c>
      <c r="G107" s="322">
        <v>117.8</v>
      </c>
      <c r="H107" s="318"/>
    </row>
    <row r="108" spans="1:8" ht="14.5" x14ac:dyDescent="0.35">
      <c r="A108" s="320">
        <v>3</v>
      </c>
      <c r="B108" s="322">
        <v>29.7</v>
      </c>
      <c r="C108" s="322">
        <v>77.5</v>
      </c>
      <c r="D108" s="322">
        <v>97.7</v>
      </c>
      <c r="E108" s="322"/>
      <c r="F108" s="322">
        <v>80.400000000000006</v>
      </c>
      <c r="G108" s="322">
        <v>111</v>
      </c>
      <c r="H108" s="318"/>
    </row>
    <row r="109" spans="1:8" ht="14.5" x14ac:dyDescent="0.35">
      <c r="A109" s="320">
        <v>4</v>
      </c>
      <c r="B109" s="322">
        <v>25.7</v>
      </c>
      <c r="C109" s="322">
        <v>61.4</v>
      </c>
      <c r="D109" s="322">
        <v>90.3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41.6</v>
      </c>
      <c r="C110" s="322">
        <v>54</v>
      </c>
      <c r="D110" s="322">
        <v>92.7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35.1</v>
      </c>
      <c r="C111" s="322">
        <v>53.5</v>
      </c>
      <c r="D111" s="322">
        <v>80.7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44.5</v>
      </c>
      <c r="C112" s="322">
        <v>77</v>
      </c>
      <c r="D112" s="322">
        <v>92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44.8</v>
      </c>
      <c r="C113" s="322">
        <v>59</v>
      </c>
      <c r="D113" s="322">
        <v>83.5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31.9</v>
      </c>
      <c r="C114" s="322">
        <v>58.7</v>
      </c>
      <c r="D114" s="322">
        <v>96.8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37.799999999999997</v>
      </c>
      <c r="C115" s="322">
        <v>65.900000000000006</v>
      </c>
      <c r="D115" s="322">
        <v>93.6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21.6</v>
      </c>
      <c r="C116" s="322">
        <v>60.8</v>
      </c>
      <c r="D116" s="322">
        <v>93.5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42.9</v>
      </c>
      <c r="C117" s="322">
        <v>54.9</v>
      </c>
      <c r="D117" s="322">
        <v>89.9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31.5</v>
      </c>
      <c r="C118" s="322">
        <v>56.3</v>
      </c>
      <c r="D118" s="322">
        <v>81.400000000000006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31.9</v>
      </c>
      <c r="C119" s="322">
        <v>78.5</v>
      </c>
      <c r="D119" s="322">
        <v>91.9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21.6</v>
      </c>
      <c r="C120" s="322">
        <v>73.3</v>
      </c>
      <c r="D120" s="322">
        <v>84.6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42.2</v>
      </c>
      <c r="C121" s="322">
        <v>69.5</v>
      </c>
      <c r="D121" s="322">
        <v>90.3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66.5</v>
      </c>
      <c r="D122" s="322">
        <v>80.099999999999994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81.099999999999994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22.3</v>
      </c>
      <c r="C127" s="322">
        <v>50</v>
      </c>
      <c r="D127" s="322">
        <v>90.6</v>
      </c>
      <c r="E127" s="322">
        <v>25.3</v>
      </c>
      <c r="F127" s="322">
        <v>83</v>
      </c>
      <c r="G127" s="322">
        <v>111.2</v>
      </c>
      <c r="H127" s="318"/>
    </row>
    <row r="128" spans="1:8" ht="14.5" x14ac:dyDescent="0.35">
      <c r="A128" s="320">
        <v>2</v>
      </c>
      <c r="B128" s="322">
        <v>21.1</v>
      </c>
      <c r="C128" s="322">
        <v>45.1</v>
      </c>
      <c r="D128" s="322">
        <v>94.7</v>
      </c>
      <c r="E128" s="322">
        <v>37.1</v>
      </c>
      <c r="F128" s="322">
        <v>86.7</v>
      </c>
      <c r="G128" s="322">
        <v>96.4</v>
      </c>
      <c r="H128" s="318"/>
    </row>
    <row r="129" spans="1:8" ht="14.5" x14ac:dyDescent="0.35">
      <c r="A129" s="320">
        <v>3</v>
      </c>
      <c r="B129" s="322">
        <v>43</v>
      </c>
      <c r="C129" s="322">
        <v>62.3</v>
      </c>
      <c r="D129" s="322">
        <v>87.8</v>
      </c>
      <c r="E129" s="322">
        <v>37.9</v>
      </c>
      <c r="F129" s="322">
        <v>83</v>
      </c>
      <c r="G129" s="322">
        <v>106.8</v>
      </c>
      <c r="H129" s="318"/>
    </row>
    <row r="130" spans="1:8" ht="14.5" x14ac:dyDescent="0.35">
      <c r="A130" s="320">
        <v>4</v>
      </c>
      <c r="B130" s="322">
        <v>22.4</v>
      </c>
      <c r="C130" s="322">
        <v>59.7</v>
      </c>
      <c r="D130" s="322">
        <v>83.6</v>
      </c>
      <c r="E130" s="322">
        <v>29.5</v>
      </c>
      <c r="F130" s="322">
        <v>76.2</v>
      </c>
      <c r="G130" s="322">
        <v>91.5</v>
      </c>
      <c r="H130" s="318"/>
    </row>
    <row r="131" spans="1:8" ht="14.5" x14ac:dyDescent="0.35">
      <c r="A131" s="320">
        <v>5</v>
      </c>
      <c r="B131" s="322">
        <v>22.7</v>
      </c>
      <c r="C131" s="322">
        <v>56.4</v>
      </c>
      <c r="D131" s="322">
        <v>95.7</v>
      </c>
      <c r="E131" s="322"/>
      <c r="F131" s="322">
        <v>61.2</v>
      </c>
      <c r="G131" s="322">
        <v>108</v>
      </c>
      <c r="H131" s="318"/>
    </row>
    <row r="132" spans="1:8" ht="14.5" x14ac:dyDescent="0.35">
      <c r="A132" s="320">
        <v>6</v>
      </c>
      <c r="B132" s="322">
        <v>32.6</v>
      </c>
      <c r="C132" s="322">
        <v>71.900000000000006</v>
      </c>
      <c r="D132" s="322">
        <v>90.3</v>
      </c>
      <c r="E132" s="322"/>
      <c r="F132" s="322"/>
      <c r="G132" s="322">
        <v>97.4</v>
      </c>
      <c r="H132" s="318"/>
    </row>
    <row r="133" spans="1:8" ht="14.5" x14ac:dyDescent="0.35">
      <c r="A133" s="320">
        <v>7</v>
      </c>
      <c r="B133" s="322">
        <v>37.5</v>
      </c>
      <c r="C133" s="322">
        <v>51.7</v>
      </c>
      <c r="D133" s="322">
        <v>97.1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36.9</v>
      </c>
      <c r="C134" s="322">
        <v>76.2</v>
      </c>
      <c r="D134" s="322">
        <v>89.1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38.200000000000003</v>
      </c>
      <c r="C135" s="322">
        <v>53</v>
      </c>
      <c r="D135" s="322">
        <v>87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30.3</v>
      </c>
      <c r="C136" s="322">
        <v>79.900000000000006</v>
      </c>
      <c r="D136" s="322">
        <v>94.9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36.9</v>
      </c>
      <c r="C137" s="322">
        <v>73.400000000000006</v>
      </c>
      <c r="D137" s="322">
        <v>95.4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27</v>
      </c>
      <c r="C138" s="322">
        <v>78.5</v>
      </c>
      <c r="D138" s="322">
        <v>91.7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29.6</v>
      </c>
      <c r="C139" s="322">
        <v>73.900000000000006</v>
      </c>
      <c r="D139" s="322">
        <v>81.3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43.4</v>
      </c>
      <c r="C140" s="322">
        <v>73.7</v>
      </c>
      <c r="D140" s="322">
        <v>87.7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32.6</v>
      </c>
      <c r="C141" s="322">
        <v>72.599999999999994</v>
      </c>
      <c r="D141" s="322">
        <v>97.4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39.4</v>
      </c>
      <c r="C142" s="322">
        <v>48.6</v>
      </c>
      <c r="D142" s="322">
        <v>95.2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37.1</v>
      </c>
      <c r="C143" s="322">
        <v>59.6</v>
      </c>
      <c r="D143" s="322">
        <v>94.1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26.9</v>
      </c>
      <c r="C144" s="322">
        <v>50.1</v>
      </c>
      <c r="D144" s="322">
        <v>82.5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44.8</v>
      </c>
      <c r="C145" s="322">
        <v>69.599999999999994</v>
      </c>
      <c r="D145" s="322">
        <v>80.8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38.6</v>
      </c>
      <c r="C146" s="322">
        <v>47.1</v>
      </c>
      <c r="D146" s="322">
        <v>81.7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29</v>
      </c>
      <c r="C147" s="322">
        <v>53.2</v>
      </c>
      <c r="D147" s="322">
        <v>81.7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43.5</v>
      </c>
      <c r="C148" s="322">
        <v>46.5</v>
      </c>
      <c r="D148" s="322">
        <v>87.1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90.6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88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60.6</v>
      </c>
      <c r="C155" s="325">
        <f>ROUNDDOWN(AVERAGE(E6:G45),1)</f>
        <v>78.5</v>
      </c>
      <c r="D155" s="320">
        <v>94502</v>
      </c>
      <c r="E155" s="320">
        <v>12833</v>
      </c>
      <c r="F155" s="325">
        <f>B155*D155</f>
        <v>5726821.2000000002</v>
      </c>
      <c r="G155" s="325">
        <f>C155*E155</f>
        <v>1007390.5</v>
      </c>
    </row>
    <row r="156" spans="1:8" ht="13" x14ac:dyDescent="0.25">
      <c r="A156" s="321" t="s">
        <v>356</v>
      </c>
      <c r="B156" s="325">
        <f>ROUNDDOWN(AVERAGE(B49:D73),1)</f>
        <v>65.2</v>
      </c>
      <c r="C156" s="325">
        <f>ROUNDDOWN(AVERAGE(E49:G73),1)</f>
        <v>79.8</v>
      </c>
      <c r="D156" s="320">
        <v>52390</v>
      </c>
      <c r="E156" s="320">
        <v>6934</v>
      </c>
      <c r="F156" s="325">
        <f t="shared" ref="F156:G159" si="0">B156*D156</f>
        <v>3415828</v>
      </c>
      <c r="G156" s="325">
        <f t="shared" si="0"/>
        <v>553333.19999999995</v>
      </c>
    </row>
    <row r="157" spans="1:8" ht="13" x14ac:dyDescent="0.25">
      <c r="A157" s="321" t="s">
        <v>358</v>
      </c>
      <c r="B157" s="325">
        <f>ROUNDDOWN(AVERAGE(B77:D102),1)</f>
        <v>61.7</v>
      </c>
      <c r="C157" s="325">
        <f>ROUNDDOWN(AVERAGE(E77:G102),1)</f>
        <v>80.8</v>
      </c>
      <c r="D157" s="320">
        <v>60472</v>
      </c>
      <c r="E157" s="320">
        <v>10265</v>
      </c>
      <c r="F157" s="325">
        <f t="shared" si="0"/>
        <v>3731122.4000000004</v>
      </c>
      <c r="G157" s="325">
        <f t="shared" si="0"/>
        <v>829412</v>
      </c>
    </row>
    <row r="158" spans="1:8" ht="13" x14ac:dyDescent="0.25">
      <c r="A158" s="321" t="s">
        <v>360</v>
      </c>
      <c r="B158" s="325">
        <f>ROUNDDOWN(AVERAGE(B106:D123),1)</f>
        <v>64</v>
      </c>
      <c r="C158" s="325">
        <f>ROUNDDOWN(AVERAGE(E106:G123),1)</f>
        <v>86.4</v>
      </c>
      <c r="D158" s="320">
        <v>40323</v>
      </c>
      <c r="E158" s="320">
        <v>5138</v>
      </c>
      <c r="F158" s="325">
        <f t="shared" si="0"/>
        <v>2580672</v>
      </c>
      <c r="G158" s="325">
        <f t="shared" si="0"/>
        <v>443923.20000000001</v>
      </c>
    </row>
    <row r="159" spans="1:8" ht="13" x14ac:dyDescent="0.25">
      <c r="A159" s="321" t="s">
        <v>362</v>
      </c>
      <c r="B159" s="325">
        <f>ROUNDDOWN(AVERAGE(B127:D150),1)</f>
        <v>62.2</v>
      </c>
      <c r="C159" s="325">
        <f>ROUNDDOWN(AVERAGE(E127:G150),1)</f>
        <v>75.400000000000006</v>
      </c>
      <c r="D159" s="320">
        <v>54596</v>
      </c>
      <c r="E159" s="320">
        <v>11118</v>
      </c>
      <c r="F159" s="325">
        <f t="shared" si="0"/>
        <v>3395871.2</v>
      </c>
      <c r="G159" s="325">
        <f t="shared" si="0"/>
        <v>838297.20000000007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46288</v>
      </c>
      <c r="F160" s="325">
        <f>SUM(F155:F159)</f>
        <v>18850314.800000001</v>
      </c>
      <c r="G160" s="325">
        <f>SUM(G155:G159)</f>
        <v>3672356.1000000006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62.3</v>
      </c>
      <c r="D165" s="327">
        <f>ROUNDDOWN(G160/E160,1)</f>
        <v>79.3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143E2-0B89-48C2-AD65-A8B3479BAD59}">
  <dimension ref="A1:H165"/>
  <sheetViews>
    <sheetView topLeftCell="A93" zoomScale="60" zoomScaleNormal="60" workbookViewId="0">
      <selection activeCell="D133" sqref="D133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73">
        <v>2022.1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38.799999999999997</v>
      </c>
      <c r="C6" s="322">
        <v>71.5</v>
      </c>
      <c r="D6" s="322">
        <v>97.4</v>
      </c>
      <c r="E6" s="322">
        <v>54.8</v>
      </c>
      <c r="F6" s="322">
        <v>84.4</v>
      </c>
      <c r="G6" s="322">
        <v>98.1</v>
      </c>
      <c r="H6" s="318"/>
    </row>
    <row r="7" spans="1:8" ht="14.5" x14ac:dyDescent="0.35">
      <c r="A7" s="320">
        <v>2</v>
      </c>
      <c r="B7" s="322">
        <v>30.2</v>
      </c>
      <c r="C7" s="322">
        <v>78.3</v>
      </c>
      <c r="D7" s="322">
        <v>80.8</v>
      </c>
      <c r="E7" s="322">
        <v>27.7</v>
      </c>
      <c r="F7" s="322">
        <v>73.8</v>
      </c>
      <c r="G7" s="322">
        <v>91.4</v>
      </c>
      <c r="H7" s="318"/>
    </row>
    <row r="8" spans="1:8" ht="14.5" x14ac:dyDescent="0.35">
      <c r="A8" s="320">
        <v>3</v>
      </c>
      <c r="B8" s="322">
        <v>40.5</v>
      </c>
      <c r="C8" s="322">
        <v>45</v>
      </c>
      <c r="D8" s="322">
        <v>93.3</v>
      </c>
      <c r="E8" s="322">
        <v>53.6</v>
      </c>
      <c r="F8" s="322">
        <v>88.8</v>
      </c>
      <c r="G8" s="322">
        <v>104.6</v>
      </c>
      <c r="H8" s="318"/>
    </row>
    <row r="9" spans="1:8" ht="14.5" x14ac:dyDescent="0.35">
      <c r="A9" s="320">
        <v>4</v>
      </c>
      <c r="B9" s="322">
        <v>31.7</v>
      </c>
      <c r="C9" s="322">
        <v>57.2</v>
      </c>
      <c r="D9" s="322">
        <v>83.1</v>
      </c>
      <c r="E9" s="322">
        <v>27.9</v>
      </c>
      <c r="F9" s="322">
        <v>79</v>
      </c>
      <c r="G9" s="322">
        <v>107.5</v>
      </c>
      <c r="H9" s="318"/>
    </row>
    <row r="10" spans="1:8" ht="14.5" x14ac:dyDescent="0.35">
      <c r="A10" s="320">
        <v>5</v>
      </c>
      <c r="B10" s="322">
        <v>37.1</v>
      </c>
      <c r="C10" s="322">
        <v>65.900000000000006</v>
      </c>
      <c r="D10" s="322">
        <v>85</v>
      </c>
      <c r="E10" s="322"/>
      <c r="F10" s="322">
        <v>79.5</v>
      </c>
      <c r="G10" s="322">
        <v>119.7</v>
      </c>
      <c r="H10" s="318"/>
    </row>
    <row r="11" spans="1:8" ht="14.5" x14ac:dyDescent="0.35">
      <c r="A11" s="320">
        <v>6</v>
      </c>
      <c r="B11" s="322">
        <v>27.1</v>
      </c>
      <c r="C11" s="322">
        <v>52.8</v>
      </c>
      <c r="D11" s="322">
        <v>80.099999999999994</v>
      </c>
      <c r="E11" s="322"/>
      <c r="F11" s="322">
        <v>69.8</v>
      </c>
      <c r="G11" s="322">
        <v>93.9</v>
      </c>
      <c r="H11" s="318"/>
    </row>
    <row r="12" spans="1:8" ht="14.5" x14ac:dyDescent="0.35">
      <c r="A12" s="320">
        <v>7</v>
      </c>
      <c r="B12" s="322">
        <v>29.1</v>
      </c>
      <c r="C12" s="322">
        <v>47.9</v>
      </c>
      <c r="D12" s="322">
        <v>80.5</v>
      </c>
      <c r="E12" s="322"/>
      <c r="F12" s="322"/>
      <c r="G12" s="322">
        <v>120</v>
      </c>
      <c r="H12" s="318"/>
    </row>
    <row r="13" spans="1:8" ht="14.5" x14ac:dyDescent="0.35">
      <c r="A13" s="320">
        <v>8</v>
      </c>
      <c r="B13" s="322">
        <v>43.3</v>
      </c>
      <c r="C13" s="322">
        <v>49.4</v>
      </c>
      <c r="D13" s="322">
        <v>96.5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40</v>
      </c>
      <c r="C14" s="322">
        <v>51.2</v>
      </c>
      <c r="D14" s="322">
        <v>96.2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22.7</v>
      </c>
      <c r="C15" s="322">
        <v>62.5</v>
      </c>
      <c r="D15" s="322">
        <v>81.900000000000006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22.9</v>
      </c>
      <c r="C16" s="322">
        <v>61.2</v>
      </c>
      <c r="D16" s="322">
        <v>85.9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25.1</v>
      </c>
      <c r="C17" s="322">
        <v>61.5</v>
      </c>
      <c r="D17" s="322">
        <v>92.3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27.3</v>
      </c>
      <c r="C18" s="322">
        <v>69.5</v>
      </c>
      <c r="D18" s="322">
        <v>94.2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29.2</v>
      </c>
      <c r="C19" s="322">
        <v>56.1</v>
      </c>
      <c r="D19" s="322">
        <v>92.8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33</v>
      </c>
      <c r="C20" s="322">
        <v>69.7</v>
      </c>
      <c r="D20" s="322">
        <v>93.7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31</v>
      </c>
      <c r="C21" s="322">
        <v>74.7</v>
      </c>
      <c r="D21" s="322">
        <v>85.1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22.9</v>
      </c>
      <c r="C22" s="322">
        <v>53.4</v>
      </c>
      <c r="D22" s="322">
        <v>87.4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35.799999999999997</v>
      </c>
      <c r="C23" s="322">
        <v>71.900000000000006</v>
      </c>
      <c r="D23" s="322">
        <v>86.7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37.799999999999997</v>
      </c>
      <c r="C24" s="322">
        <v>68.400000000000006</v>
      </c>
      <c r="D24" s="322">
        <v>93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23</v>
      </c>
      <c r="C25" s="322">
        <v>72.2</v>
      </c>
      <c r="D25" s="322">
        <v>80.599999999999994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26.8</v>
      </c>
      <c r="C26" s="322">
        <v>46.7</v>
      </c>
      <c r="D26" s="322">
        <v>90.5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22.8</v>
      </c>
      <c r="C27" s="322">
        <v>57.3</v>
      </c>
      <c r="D27" s="322">
        <v>80.400000000000006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35.299999999999997</v>
      </c>
      <c r="C28" s="322">
        <v>69.8</v>
      </c>
      <c r="D28" s="322">
        <v>89.6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32.200000000000003</v>
      </c>
      <c r="C29" s="322">
        <v>71.7</v>
      </c>
      <c r="D29" s="322">
        <v>90.7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23.3</v>
      </c>
      <c r="C30" s="322">
        <v>73</v>
      </c>
      <c r="D30" s="322">
        <v>85.3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38.9</v>
      </c>
      <c r="C31" s="322">
        <v>68.7</v>
      </c>
      <c r="D31" s="322">
        <v>92.6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36.200000000000003</v>
      </c>
      <c r="C32" s="322">
        <v>48.5</v>
      </c>
      <c r="D32" s="322">
        <v>92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37.6</v>
      </c>
      <c r="C33" s="322">
        <v>64.7</v>
      </c>
      <c r="D33" s="322">
        <v>85.7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21.9</v>
      </c>
      <c r="C34" s="322">
        <v>56.1</v>
      </c>
      <c r="D34" s="322">
        <v>93.4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44.3</v>
      </c>
      <c r="C35" s="322">
        <v>75</v>
      </c>
      <c r="D35" s="322">
        <v>81.2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44.2</v>
      </c>
      <c r="C36" s="322">
        <v>51.5</v>
      </c>
      <c r="D36" s="322">
        <v>82.1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20.100000000000001</v>
      </c>
      <c r="C37" s="322">
        <v>64.599999999999994</v>
      </c>
      <c r="D37" s="322">
        <v>80.7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23.4</v>
      </c>
      <c r="C38" s="322">
        <v>51.7</v>
      </c>
      <c r="D38" s="322">
        <v>92.7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34.700000000000003</v>
      </c>
      <c r="C39" s="322">
        <v>71.3</v>
      </c>
      <c r="D39" s="322">
        <v>85.8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33.5</v>
      </c>
      <c r="C40" s="322">
        <v>64.400000000000006</v>
      </c>
      <c r="D40" s="322">
        <v>82.8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35.1</v>
      </c>
      <c r="C41" s="322">
        <v>45.6</v>
      </c>
      <c r="D41" s="322">
        <v>93.6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44.5</v>
      </c>
      <c r="C42" s="322">
        <v>57.6</v>
      </c>
      <c r="D42" s="322">
        <v>90.4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23.8</v>
      </c>
      <c r="C43" s="322">
        <v>72.2</v>
      </c>
      <c r="D43" s="322">
        <v>82.5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62.4</v>
      </c>
      <c r="D44" s="322">
        <v>93.7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81.2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44.8</v>
      </c>
      <c r="C49" s="322">
        <v>72</v>
      </c>
      <c r="D49" s="322">
        <v>95.8</v>
      </c>
      <c r="E49" s="322">
        <v>41.2</v>
      </c>
      <c r="F49" s="322">
        <v>70.7</v>
      </c>
      <c r="G49" s="322">
        <v>92.9</v>
      </c>
      <c r="H49" s="318"/>
    </row>
    <row r="50" spans="1:8" ht="14.5" x14ac:dyDescent="0.35">
      <c r="A50" s="320">
        <v>2</v>
      </c>
      <c r="B50" s="322">
        <v>20.8</v>
      </c>
      <c r="C50" s="322">
        <v>59.6</v>
      </c>
      <c r="D50" s="322">
        <v>84.1</v>
      </c>
      <c r="E50" s="322">
        <v>52.7</v>
      </c>
      <c r="F50" s="322">
        <v>68.400000000000006</v>
      </c>
      <c r="G50" s="322">
        <v>108.2</v>
      </c>
      <c r="H50" s="318"/>
    </row>
    <row r="51" spans="1:8" ht="14.5" x14ac:dyDescent="0.35">
      <c r="A51" s="320">
        <v>3</v>
      </c>
      <c r="B51" s="322">
        <v>33.299999999999997</v>
      </c>
      <c r="C51" s="322">
        <v>48.3</v>
      </c>
      <c r="D51" s="322">
        <v>82.5</v>
      </c>
      <c r="E51" s="322"/>
      <c r="F51" s="322">
        <v>68</v>
      </c>
      <c r="G51" s="322">
        <v>91.6</v>
      </c>
      <c r="H51" s="318"/>
    </row>
    <row r="52" spans="1:8" ht="14.5" x14ac:dyDescent="0.35">
      <c r="A52" s="320">
        <v>4</v>
      </c>
      <c r="B52" s="322">
        <v>27.3</v>
      </c>
      <c r="C52" s="322">
        <v>76.900000000000006</v>
      </c>
      <c r="D52" s="322">
        <v>94.3</v>
      </c>
      <c r="E52" s="322"/>
      <c r="F52" s="322">
        <v>78.900000000000006</v>
      </c>
      <c r="G52" s="322">
        <v>115.6</v>
      </c>
      <c r="H52" s="318"/>
    </row>
    <row r="53" spans="1:8" ht="14.5" x14ac:dyDescent="0.35">
      <c r="A53" s="320">
        <v>5</v>
      </c>
      <c r="B53" s="322">
        <v>20.8</v>
      </c>
      <c r="C53" s="322">
        <v>46.8</v>
      </c>
      <c r="D53" s="322">
        <v>90.9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21.5</v>
      </c>
      <c r="C54" s="322">
        <v>65.900000000000006</v>
      </c>
      <c r="D54" s="322">
        <v>94.4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20.9</v>
      </c>
      <c r="C55" s="322">
        <v>79.400000000000006</v>
      </c>
      <c r="D55" s="322">
        <v>94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29.4</v>
      </c>
      <c r="C56" s="322">
        <v>66.3</v>
      </c>
      <c r="D56" s="322">
        <v>90.9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38.4</v>
      </c>
      <c r="C57" s="322">
        <v>48.2</v>
      </c>
      <c r="D57" s="322">
        <v>92.5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25.5</v>
      </c>
      <c r="C58" s="322">
        <v>65.2</v>
      </c>
      <c r="D58" s="322">
        <v>88.9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26.9</v>
      </c>
      <c r="C59" s="322">
        <v>45.9</v>
      </c>
      <c r="D59" s="322">
        <v>87.7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37</v>
      </c>
      <c r="C60" s="322">
        <v>61.6</v>
      </c>
      <c r="D60" s="322">
        <v>81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33.299999999999997</v>
      </c>
      <c r="C61" s="322">
        <v>58.2</v>
      </c>
      <c r="D61" s="322">
        <v>92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44.9</v>
      </c>
      <c r="C62" s="322">
        <v>77.400000000000006</v>
      </c>
      <c r="D62" s="322">
        <v>91.7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33.5</v>
      </c>
      <c r="C63" s="322">
        <v>69.2</v>
      </c>
      <c r="D63" s="322">
        <v>93.9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43.1</v>
      </c>
      <c r="C64" s="322">
        <v>50.3</v>
      </c>
      <c r="D64" s="322">
        <v>92.7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21.1</v>
      </c>
      <c r="C65" s="322">
        <v>51.2</v>
      </c>
      <c r="D65" s="322">
        <v>80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27</v>
      </c>
      <c r="C66" s="322">
        <v>71.099999999999994</v>
      </c>
      <c r="D66" s="322">
        <v>84.6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56.8</v>
      </c>
      <c r="D67" s="322">
        <v>91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76.5</v>
      </c>
      <c r="D68" s="322">
        <v>96.7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67.5</v>
      </c>
      <c r="D69" s="322">
        <v>81.8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73</v>
      </c>
      <c r="D70" s="322">
        <v>92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54.9</v>
      </c>
      <c r="D71" s="322">
        <v>90.8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87.1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85.7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26.2</v>
      </c>
      <c r="C77" s="322">
        <v>75.900000000000006</v>
      </c>
      <c r="D77" s="322">
        <v>87.4</v>
      </c>
      <c r="E77" s="322">
        <v>55.6</v>
      </c>
      <c r="F77" s="322">
        <v>64.599999999999994</v>
      </c>
      <c r="G77" s="322">
        <v>112.6</v>
      </c>
      <c r="H77" s="318"/>
    </row>
    <row r="78" spans="1:8" ht="14.5" x14ac:dyDescent="0.35">
      <c r="A78" s="320">
        <v>2</v>
      </c>
      <c r="B78" s="322">
        <v>43.9</v>
      </c>
      <c r="C78" s="322">
        <v>55</v>
      </c>
      <c r="D78" s="322">
        <v>89.3</v>
      </c>
      <c r="E78" s="322">
        <v>47.1</v>
      </c>
      <c r="F78" s="322">
        <v>86.5</v>
      </c>
      <c r="G78" s="322">
        <v>119.2</v>
      </c>
      <c r="H78" s="318"/>
    </row>
    <row r="79" spans="1:8" ht="14.5" x14ac:dyDescent="0.35">
      <c r="A79" s="320">
        <v>3</v>
      </c>
      <c r="B79" s="322">
        <v>35.6</v>
      </c>
      <c r="C79" s="322">
        <v>71.7</v>
      </c>
      <c r="D79" s="322">
        <v>82.2</v>
      </c>
      <c r="E79" s="322">
        <v>38</v>
      </c>
      <c r="F79" s="322">
        <v>71.599999999999994</v>
      </c>
      <c r="G79" s="322">
        <v>95.2</v>
      </c>
      <c r="H79" s="318"/>
    </row>
    <row r="80" spans="1:8" ht="14.5" x14ac:dyDescent="0.35">
      <c r="A80" s="320">
        <v>4</v>
      </c>
      <c r="B80" s="322">
        <v>37</v>
      </c>
      <c r="C80" s="322">
        <v>71.900000000000006</v>
      </c>
      <c r="D80" s="322">
        <v>94.7</v>
      </c>
      <c r="E80" s="322"/>
      <c r="F80" s="322">
        <v>72.400000000000006</v>
      </c>
      <c r="G80" s="322">
        <v>109.5</v>
      </c>
      <c r="H80" s="318"/>
    </row>
    <row r="81" spans="1:8" ht="14.5" x14ac:dyDescent="0.35">
      <c r="A81" s="320">
        <v>5</v>
      </c>
      <c r="B81" s="322">
        <v>42.3</v>
      </c>
      <c r="C81" s="322">
        <v>46</v>
      </c>
      <c r="D81" s="322">
        <v>86.7</v>
      </c>
      <c r="E81" s="322"/>
      <c r="F81" s="322">
        <v>63.8</v>
      </c>
      <c r="G81" s="322">
        <v>98.6</v>
      </c>
      <c r="H81" s="318"/>
    </row>
    <row r="82" spans="1:8" ht="14.5" x14ac:dyDescent="0.35">
      <c r="A82" s="320">
        <v>6</v>
      </c>
      <c r="B82" s="322">
        <v>44.1</v>
      </c>
      <c r="C82" s="322">
        <v>52.5</v>
      </c>
      <c r="D82" s="322">
        <v>89.3</v>
      </c>
      <c r="E82" s="322"/>
      <c r="F82" s="322"/>
      <c r="G82" s="322">
        <v>115.6</v>
      </c>
      <c r="H82" s="318"/>
    </row>
    <row r="83" spans="1:8" ht="14.5" x14ac:dyDescent="0.35">
      <c r="A83" s="320">
        <v>7</v>
      </c>
      <c r="B83" s="322">
        <v>35.700000000000003</v>
      </c>
      <c r="C83" s="322">
        <v>72.400000000000006</v>
      </c>
      <c r="D83" s="322">
        <v>92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44.6</v>
      </c>
      <c r="C84" s="322">
        <v>45.6</v>
      </c>
      <c r="D84" s="322">
        <v>81.599999999999994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28.7</v>
      </c>
      <c r="C85" s="322">
        <v>65.400000000000006</v>
      </c>
      <c r="D85" s="322">
        <v>97.3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27</v>
      </c>
      <c r="C86" s="322">
        <v>72.099999999999994</v>
      </c>
      <c r="D86" s="322">
        <v>89.5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35.9</v>
      </c>
      <c r="C87" s="322">
        <v>74</v>
      </c>
      <c r="D87" s="322">
        <v>83.3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27.7</v>
      </c>
      <c r="C88" s="322">
        <v>66.7</v>
      </c>
      <c r="D88" s="322">
        <v>82.9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42.5</v>
      </c>
      <c r="C89" s="322">
        <v>71</v>
      </c>
      <c r="D89" s="322">
        <v>81.7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21.4</v>
      </c>
      <c r="C90" s="322">
        <v>51.8</v>
      </c>
      <c r="D90" s="322">
        <v>82.3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42.6</v>
      </c>
      <c r="C91" s="322">
        <v>72.5</v>
      </c>
      <c r="D91" s="322">
        <v>93.4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23.7</v>
      </c>
      <c r="C92" s="322">
        <v>53</v>
      </c>
      <c r="D92" s="322">
        <v>94.9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32.799999999999997</v>
      </c>
      <c r="C93" s="322">
        <v>66.3</v>
      </c>
      <c r="D93" s="322">
        <v>94.4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21.3</v>
      </c>
      <c r="C94" s="322">
        <v>69.2</v>
      </c>
      <c r="D94" s="322">
        <v>81.099999999999994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41.7</v>
      </c>
      <c r="C95" s="322">
        <v>65.7</v>
      </c>
      <c r="D95" s="322">
        <v>89.3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27.4</v>
      </c>
      <c r="C96" s="322">
        <v>62.8</v>
      </c>
      <c r="D96" s="322">
        <v>80.7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20.100000000000001</v>
      </c>
      <c r="C97" s="322">
        <v>72.900000000000006</v>
      </c>
      <c r="D97" s="322">
        <v>95.7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20.100000000000001</v>
      </c>
      <c r="C98" s="322">
        <v>61.5</v>
      </c>
      <c r="D98" s="322">
        <v>82.2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39.1</v>
      </c>
      <c r="C99" s="322">
        <v>67.8</v>
      </c>
      <c r="D99" s="322">
        <v>96.9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75.7</v>
      </c>
      <c r="D100" s="322">
        <v>96.7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52</v>
      </c>
      <c r="D101" s="322">
        <v>93.7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60.4</v>
      </c>
      <c r="D102" s="322">
        <v>96.8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30.7</v>
      </c>
      <c r="C106" s="322">
        <v>78</v>
      </c>
      <c r="D106" s="322">
        <v>87.7</v>
      </c>
      <c r="E106" s="322">
        <v>26.2</v>
      </c>
      <c r="F106" s="322">
        <v>72.099999999999994</v>
      </c>
      <c r="G106" s="322">
        <v>113.7</v>
      </c>
      <c r="H106" s="318"/>
    </row>
    <row r="107" spans="1:8" ht="14.5" x14ac:dyDescent="0.35">
      <c r="A107" s="320">
        <v>2</v>
      </c>
      <c r="B107" s="322">
        <v>32.1</v>
      </c>
      <c r="C107" s="322">
        <v>63.7</v>
      </c>
      <c r="D107" s="322">
        <v>93.7</v>
      </c>
      <c r="E107" s="322">
        <v>37.299999999999997</v>
      </c>
      <c r="F107" s="322">
        <v>61.2</v>
      </c>
      <c r="G107" s="322">
        <v>115.5</v>
      </c>
      <c r="H107" s="318"/>
    </row>
    <row r="108" spans="1:8" ht="14.5" x14ac:dyDescent="0.35">
      <c r="A108" s="320">
        <v>3</v>
      </c>
      <c r="B108" s="322">
        <v>40.799999999999997</v>
      </c>
      <c r="C108" s="322">
        <v>48.8</v>
      </c>
      <c r="D108" s="322">
        <v>91.4</v>
      </c>
      <c r="E108" s="322"/>
      <c r="F108" s="322">
        <v>79.7</v>
      </c>
      <c r="G108" s="322">
        <v>104</v>
      </c>
      <c r="H108" s="318"/>
    </row>
    <row r="109" spans="1:8" ht="14.5" x14ac:dyDescent="0.35">
      <c r="A109" s="320">
        <v>4</v>
      </c>
      <c r="B109" s="322">
        <v>36.5</v>
      </c>
      <c r="C109" s="322">
        <v>61.6</v>
      </c>
      <c r="D109" s="322">
        <v>90.4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30</v>
      </c>
      <c r="C110" s="322">
        <v>54.1</v>
      </c>
      <c r="D110" s="322">
        <v>87.8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39.700000000000003</v>
      </c>
      <c r="C111" s="322">
        <v>47</v>
      </c>
      <c r="D111" s="322">
        <v>82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32.700000000000003</v>
      </c>
      <c r="C112" s="322">
        <v>52.6</v>
      </c>
      <c r="D112" s="322">
        <v>88.2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40</v>
      </c>
      <c r="C113" s="322">
        <v>70.8</v>
      </c>
      <c r="D113" s="322">
        <v>97.2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26.9</v>
      </c>
      <c r="C114" s="322">
        <v>57.7</v>
      </c>
      <c r="D114" s="322">
        <v>82.1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33.200000000000003</v>
      </c>
      <c r="C115" s="322">
        <v>63.3</v>
      </c>
      <c r="D115" s="322">
        <v>90.4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23.2</v>
      </c>
      <c r="C116" s="322">
        <v>62.8</v>
      </c>
      <c r="D116" s="322">
        <v>81.2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40.1</v>
      </c>
      <c r="C117" s="322">
        <v>66.5</v>
      </c>
      <c r="D117" s="322">
        <v>84.1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38.700000000000003</v>
      </c>
      <c r="C118" s="322">
        <v>71</v>
      </c>
      <c r="D118" s="322">
        <v>80.3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20</v>
      </c>
      <c r="C119" s="322">
        <v>48.4</v>
      </c>
      <c r="D119" s="322">
        <v>90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44.7</v>
      </c>
      <c r="C120" s="322">
        <v>46.9</v>
      </c>
      <c r="D120" s="322">
        <v>90.3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30.4</v>
      </c>
      <c r="C121" s="322">
        <v>67.900000000000006</v>
      </c>
      <c r="D121" s="322">
        <v>86.1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49.2</v>
      </c>
      <c r="D122" s="322">
        <v>95.7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85.7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25.6</v>
      </c>
      <c r="C127" s="322">
        <v>54.5</v>
      </c>
      <c r="D127" s="322">
        <v>81.3</v>
      </c>
      <c r="E127" s="322">
        <v>58.5</v>
      </c>
      <c r="F127" s="322">
        <v>65</v>
      </c>
      <c r="G127" s="322">
        <v>115.9</v>
      </c>
      <c r="H127" s="318"/>
    </row>
    <row r="128" spans="1:8" ht="14.5" x14ac:dyDescent="0.35">
      <c r="A128" s="320">
        <v>2</v>
      </c>
      <c r="B128" s="322">
        <v>42.5</v>
      </c>
      <c r="C128" s="322">
        <v>58.6</v>
      </c>
      <c r="D128" s="322">
        <v>97.5</v>
      </c>
      <c r="E128" s="322">
        <v>36.700000000000003</v>
      </c>
      <c r="F128" s="322">
        <v>67</v>
      </c>
      <c r="G128" s="322">
        <v>96.6</v>
      </c>
      <c r="H128" s="318"/>
    </row>
    <row r="129" spans="1:8" ht="14.5" x14ac:dyDescent="0.35">
      <c r="A129" s="320">
        <v>3</v>
      </c>
      <c r="B129" s="322">
        <v>42.1</v>
      </c>
      <c r="C129" s="322">
        <v>60.4</v>
      </c>
      <c r="D129" s="322">
        <v>86.7</v>
      </c>
      <c r="E129" s="322">
        <v>35.5</v>
      </c>
      <c r="F129" s="322">
        <v>84.9</v>
      </c>
      <c r="G129" s="322">
        <v>108.2</v>
      </c>
      <c r="H129" s="318"/>
    </row>
    <row r="130" spans="1:8" ht="14.5" x14ac:dyDescent="0.35">
      <c r="A130" s="320">
        <v>4</v>
      </c>
      <c r="B130" s="322">
        <v>31.3</v>
      </c>
      <c r="C130" s="322">
        <v>61.9</v>
      </c>
      <c r="D130" s="322">
        <v>91.7</v>
      </c>
      <c r="E130" s="322">
        <v>55.2</v>
      </c>
      <c r="F130" s="322">
        <v>75.900000000000006</v>
      </c>
      <c r="G130" s="322">
        <v>107.4</v>
      </c>
      <c r="H130" s="318"/>
    </row>
    <row r="131" spans="1:8" ht="14.5" x14ac:dyDescent="0.35">
      <c r="A131" s="320">
        <v>5</v>
      </c>
      <c r="B131" s="322">
        <v>27.9</v>
      </c>
      <c r="C131" s="322">
        <v>57.8</v>
      </c>
      <c r="D131" s="322">
        <v>82.6</v>
      </c>
      <c r="E131" s="322"/>
      <c r="F131" s="322">
        <v>88.7</v>
      </c>
      <c r="G131" s="322">
        <v>99.3</v>
      </c>
      <c r="H131" s="318"/>
    </row>
    <row r="132" spans="1:8" ht="14.5" x14ac:dyDescent="0.35">
      <c r="A132" s="320">
        <v>6</v>
      </c>
      <c r="B132" s="322">
        <v>30.6</v>
      </c>
      <c r="C132" s="322">
        <v>74.900000000000006</v>
      </c>
      <c r="D132" s="322">
        <v>97.2</v>
      </c>
      <c r="E132" s="322"/>
      <c r="F132" s="322"/>
      <c r="G132" s="322">
        <v>106.2</v>
      </c>
      <c r="H132" s="318"/>
    </row>
    <row r="133" spans="1:8" ht="14.5" x14ac:dyDescent="0.35">
      <c r="A133" s="320">
        <v>7</v>
      </c>
      <c r="B133" s="322">
        <v>40.200000000000003</v>
      </c>
      <c r="C133" s="322">
        <v>74.099999999999994</v>
      </c>
      <c r="D133" s="322">
        <v>82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21.8</v>
      </c>
      <c r="C134" s="322">
        <v>54.3</v>
      </c>
      <c r="D134" s="322">
        <v>96.5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23</v>
      </c>
      <c r="C135" s="322">
        <v>64.3</v>
      </c>
      <c r="D135" s="322">
        <v>88.2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41</v>
      </c>
      <c r="C136" s="322">
        <v>45.1</v>
      </c>
      <c r="D136" s="322">
        <v>84.8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38.6</v>
      </c>
      <c r="C137" s="322">
        <v>52</v>
      </c>
      <c r="D137" s="322">
        <v>86.8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41.5</v>
      </c>
      <c r="C138" s="322">
        <v>80</v>
      </c>
      <c r="D138" s="322">
        <v>92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21.9</v>
      </c>
      <c r="C139" s="322">
        <v>67.900000000000006</v>
      </c>
      <c r="D139" s="322">
        <v>91.2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44.9</v>
      </c>
      <c r="C140" s="322">
        <v>53.6</v>
      </c>
      <c r="D140" s="322">
        <v>85.1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30.6</v>
      </c>
      <c r="C141" s="322">
        <v>60.9</v>
      </c>
      <c r="D141" s="322">
        <v>96.3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28.2</v>
      </c>
      <c r="C142" s="322">
        <v>49.7</v>
      </c>
      <c r="D142" s="322">
        <v>95.7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34.700000000000003</v>
      </c>
      <c r="C143" s="322">
        <v>75.5</v>
      </c>
      <c r="D143" s="322">
        <v>92.3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39.1</v>
      </c>
      <c r="C144" s="322">
        <v>45.1</v>
      </c>
      <c r="D144" s="322">
        <v>82.6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24.9</v>
      </c>
      <c r="C145" s="322">
        <v>54.4</v>
      </c>
      <c r="D145" s="322">
        <v>83.9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37.700000000000003</v>
      </c>
      <c r="C146" s="322">
        <v>75.8</v>
      </c>
      <c r="D146" s="322">
        <v>94.8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21.5</v>
      </c>
      <c r="C147" s="322">
        <v>58.4</v>
      </c>
      <c r="D147" s="322">
        <v>91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22.4</v>
      </c>
      <c r="C148" s="322">
        <v>47.2</v>
      </c>
      <c r="D148" s="322">
        <v>95.8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95.5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98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60.9</v>
      </c>
      <c r="C155" s="325">
        <f>ROUNDDOWN(AVERAGE(E6:G45),1)</f>
        <v>80.8</v>
      </c>
      <c r="D155" s="320">
        <v>94502</v>
      </c>
      <c r="E155" s="320">
        <v>12762</v>
      </c>
      <c r="F155" s="325">
        <f>B155*D155</f>
        <v>5755171.7999999998</v>
      </c>
      <c r="G155" s="325">
        <f>C155*E155</f>
        <v>1031169.6</v>
      </c>
    </row>
    <row r="156" spans="1:8" ht="13" x14ac:dyDescent="0.25">
      <c r="A156" s="321" t="s">
        <v>356</v>
      </c>
      <c r="B156" s="325">
        <f>ROUNDDOWN(AVERAGE(B49:D73),1)</f>
        <v>64</v>
      </c>
      <c r="C156" s="325">
        <f>ROUNDDOWN(AVERAGE(E49:G73),1)</f>
        <v>78.8</v>
      </c>
      <c r="D156" s="320">
        <v>52390</v>
      </c>
      <c r="E156" s="320">
        <v>6895</v>
      </c>
      <c r="F156" s="325">
        <f t="shared" ref="F156:G159" si="0">B156*D156</f>
        <v>3352960</v>
      </c>
      <c r="G156" s="325">
        <f t="shared" si="0"/>
        <v>543326</v>
      </c>
    </row>
    <row r="157" spans="1:8" ht="13" x14ac:dyDescent="0.25">
      <c r="A157" s="321" t="s">
        <v>358</v>
      </c>
      <c r="B157" s="325">
        <f>ROUNDDOWN(AVERAGE(B77:D102),1)</f>
        <v>63.3</v>
      </c>
      <c r="C157" s="325">
        <f>ROUNDDOWN(AVERAGE(E77:G102),1)</f>
        <v>82.1</v>
      </c>
      <c r="D157" s="320">
        <v>60472</v>
      </c>
      <c r="E157" s="320">
        <v>10208</v>
      </c>
      <c r="F157" s="325">
        <f t="shared" si="0"/>
        <v>3827877.5999999996</v>
      </c>
      <c r="G157" s="325">
        <f t="shared" si="0"/>
        <v>838076.79999999993</v>
      </c>
    </row>
    <row r="158" spans="1:8" ht="13" x14ac:dyDescent="0.25">
      <c r="A158" s="321" t="s">
        <v>360</v>
      </c>
      <c r="B158" s="325">
        <f>ROUNDDOWN(AVERAGE(B106:D123),1)</f>
        <v>61.4</v>
      </c>
      <c r="C158" s="325">
        <f>ROUNDDOWN(AVERAGE(E106:G123),1)</f>
        <v>76.2</v>
      </c>
      <c r="D158" s="320">
        <v>40323</v>
      </c>
      <c r="E158" s="320">
        <v>5110</v>
      </c>
      <c r="F158" s="325">
        <f t="shared" si="0"/>
        <v>2475832.1999999997</v>
      </c>
      <c r="G158" s="325">
        <f t="shared" si="0"/>
        <v>389382</v>
      </c>
    </row>
    <row r="159" spans="1:8" ht="13" x14ac:dyDescent="0.25">
      <c r="A159" s="321" t="s">
        <v>362</v>
      </c>
      <c r="B159" s="325">
        <f>ROUNDDOWN(AVERAGE(B127:D150),1)</f>
        <v>61.8</v>
      </c>
      <c r="C159" s="325">
        <f>ROUNDDOWN(AVERAGE(E127:G150),1)</f>
        <v>80</v>
      </c>
      <c r="D159" s="320">
        <v>54596</v>
      </c>
      <c r="E159" s="320">
        <v>11056</v>
      </c>
      <c r="F159" s="325">
        <f t="shared" si="0"/>
        <v>3374032.8</v>
      </c>
      <c r="G159" s="325">
        <f t="shared" si="0"/>
        <v>884480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46031</v>
      </c>
      <c r="F160" s="325">
        <f>SUM(F155:F159)</f>
        <v>18785874.399999999</v>
      </c>
      <c r="G160" s="325">
        <f>SUM(G155:G159)</f>
        <v>3686434.4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62.1</v>
      </c>
      <c r="D165" s="327">
        <f>ROUNDDOWN(G160/E160,1)</f>
        <v>80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92584-1738-44C7-B082-1DE2B94C7DB2}">
  <dimension ref="A1:H165"/>
  <sheetViews>
    <sheetView topLeftCell="A106" zoomScale="60" zoomScaleNormal="60" workbookViewId="0">
      <selection activeCell="B127" sqref="B127:G150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2022.11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38.4</v>
      </c>
      <c r="C6" s="322">
        <v>78.400000000000006</v>
      </c>
      <c r="D6" s="322">
        <v>92.5</v>
      </c>
      <c r="E6" s="322">
        <v>43.3</v>
      </c>
      <c r="F6" s="322">
        <v>68.8</v>
      </c>
      <c r="G6" s="322">
        <v>111.4</v>
      </c>
      <c r="H6" s="318"/>
    </row>
    <row r="7" spans="1:8" ht="14.5" x14ac:dyDescent="0.35">
      <c r="A7" s="320">
        <v>2</v>
      </c>
      <c r="B7" s="322">
        <v>26.8</v>
      </c>
      <c r="C7" s="322">
        <v>50.7</v>
      </c>
      <c r="D7" s="322">
        <v>87.3</v>
      </c>
      <c r="E7" s="322">
        <v>31.1</v>
      </c>
      <c r="F7" s="322">
        <v>80.2</v>
      </c>
      <c r="G7" s="322">
        <v>112.7</v>
      </c>
      <c r="H7" s="318"/>
    </row>
    <row r="8" spans="1:8" ht="14.5" x14ac:dyDescent="0.35">
      <c r="A8" s="320">
        <v>3</v>
      </c>
      <c r="B8" s="322">
        <v>31.4</v>
      </c>
      <c r="C8" s="322">
        <v>57.1</v>
      </c>
      <c r="D8" s="322">
        <v>97.6</v>
      </c>
      <c r="E8" s="322">
        <v>60</v>
      </c>
      <c r="F8" s="322">
        <v>75.7</v>
      </c>
      <c r="G8" s="322">
        <v>92</v>
      </c>
      <c r="H8" s="318"/>
    </row>
    <row r="9" spans="1:8" ht="14.5" x14ac:dyDescent="0.35">
      <c r="A9" s="320">
        <v>4</v>
      </c>
      <c r="B9" s="322">
        <v>20.9</v>
      </c>
      <c r="C9" s="322">
        <v>73.3</v>
      </c>
      <c r="D9" s="322">
        <v>91.3</v>
      </c>
      <c r="E9" s="322">
        <v>51.3</v>
      </c>
      <c r="F9" s="322">
        <v>60.9</v>
      </c>
      <c r="G9" s="322">
        <v>103</v>
      </c>
      <c r="H9" s="318"/>
    </row>
    <row r="10" spans="1:8" ht="14.5" x14ac:dyDescent="0.35">
      <c r="A10" s="320">
        <v>5</v>
      </c>
      <c r="B10" s="322">
        <v>25.1</v>
      </c>
      <c r="C10" s="322">
        <v>51</v>
      </c>
      <c r="D10" s="322">
        <v>89.5</v>
      </c>
      <c r="E10" s="322"/>
      <c r="F10" s="322">
        <v>82.3</v>
      </c>
      <c r="G10" s="322">
        <v>95.8</v>
      </c>
      <c r="H10" s="318"/>
    </row>
    <row r="11" spans="1:8" ht="14.5" x14ac:dyDescent="0.35">
      <c r="A11" s="320">
        <v>6</v>
      </c>
      <c r="B11" s="322">
        <v>27.1</v>
      </c>
      <c r="C11" s="322">
        <v>72.8</v>
      </c>
      <c r="D11" s="322">
        <v>82.2</v>
      </c>
      <c r="E11" s="322"/>
      <c r="F11" s="322">
        <v>69.099999999999994</v>
      </c>
      <c r="G11" s="322">
        <v>111.6</v>
      </c>
      <c r="H11" s="318"/>
    </row>
    <row r="12" spans="1:8" ht="14.5" x14ac:dyDescent="0.35">
      <c r="A12" s="320">
        <v>7</v>
      </c>
      <c r="B12" s="322">
        <v>29.9</v>
      </c>
      <c r="C12" s="322">
        <v>62.8</v>
      </c>
      <c r="D12" s="322">
        <v>80.7</v>
      </c>
      <c r="E12" s="322"/>
      <c r="F12" s="322"/>
      <c r="G12" s="322">
        <v>111.9</v>
      </c>
      <c r="H12" s="318"/>
    </row>
    <row r="13" spans="1:8" ht="14.5" x14ac:dyDescent="0.35">
      <c r="A13" s="320">
        <v>8</v>
      </c>
      <c r="B13" s="322">
        <v>32.9</v>
      </c>
      <c r="C13" s="322">
        <v>66.400000000000006</v>
      </c>
      <c r="D13" s="322">
        <v>80.2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35.4</v>
      </c>
      <c r="C14" s="322">
        <v>67.7</v>
      </c>
      <c r="D14" s="322">
        <v>85.9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24.4</v>
      </c>
      <c r="C15" s="322">
        <v>48.1</v>
      </c>
      <c r="D15" s="322">
        <v>87.4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31.2</v>
      </c>
      <c r="C16" s="322">
        <v>58.4</v>
      </c>
      <c r="D16" s="322">
        <v>92.8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41.4</v>
      </c>
      <c r="C17" s="322">
        <v>78.2</v>
      </c>
      <c r="D17" s="322">
        <v>92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39.799999999999997</v>
      </c>
      <c r="C18" s="322">
        <v>53.6</v>
      </c>
      <c r="D18" s="322">
        <v>86.2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28.9</v>
      </c>
      <c r="C19" s="322">
        <v>56.5</v>
      </c>
      <c r="D19" s="322">
        <v>80.3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37</v>
      </c>
      <c r="C20" s="322">
        <v>57.5</v>
      </c>
      <c r="D20" s="322">
        <v>91.6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29.7</v>
      </c>
      <c r="C21" s="322">
        <v>50.3</v>
      </c>
      <c r="D21" s="322">
        <v>98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32</v>
      </c>
      <c r="C22" s="322">
        <v>79.900000000000006</v>
      </c>
      <c r="D22" s="322">
        <v>82.9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28.8</v>
      </c>
      <c r="C23" s="322">
        <v>61.2</v>
      </c>
      <c r="D23" s="322">
        <v>96.2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26.1</v>
      </c>
      <c r="C24" s="322">
        <v>65.2</v>
      </c>
      <c r="D24" s="322">
        <v>92.4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35.799999999999997</v>
      </c>
      <c r="C25" s="322">
        <v>57.7</v>
      </c>
      <c r="D25" s="322">
        <v>84.4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34</v>
      </c>
      <c r="C26" s="322">
        <v>59.1</v>
      </c>
      <c r="D26" s="322">
        <v>86.4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35.6</v>
      </c>
      <c r="C27" s="322">
        <v>69.900000000000006</v>
      </c>
      <c r="D27" s="322">
        <v>87.2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31.2</v>
      </c>
      <c r="C28" s="322">
        <v>48</v>
      </c>
      <c r="D28" s="322">
        <v>81.599999999999994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27.3</v>
      </c>
      <c r="C29" s="322">
        <v>56.3</v>
      </c>
      <c r="D29" s="322">
        <v>92.7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37.799999999999997</v>
      </c>
      <c r="C30" s="322">
        <v>76.7</v>
      </c>
      <c r="D30" s="322">
        <v>86.4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25.2</v>
      </c>
      <c r="C31" s="322">
        <v>68</v>
      </c>
      <c r="D31" s="322">
        <v>93.1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44.3</v>
      </c>
      <c r="C32" s="322">
        <v>73.3</v>
      </c>
      <c r="D32" s="322">
        <v>93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40.6</v>
      </c>
      <c r="C33" s="322">
        <v>77.3</v>
      </c>
      <c r="D33" s="322">
        <v>80.099999999999994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40.5</v>
      </c>
      <c r="C34" s="322">
        <v>74.900000000000006</v>
      </c>
      <c r="D34" s="322">
        <v>84.6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44.7</v>
      </c>
      <c r="C35" s="322">
        <v>74.599999999999994</v>
      </c>
      <c r="D35" s="322">
        <v>85.6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41.9</v>
      </c>
      <c r="C36" s="322">
        <v>49.8</v>
      </c>
      <c r="D36" s="322">
        <v>89.6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28.4</v>
      </c>
      <c r="C37" s="322">
        <v>72.599999999999994</v>
      </c>
      <c r="D37" s="322">
        <v>84.3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40.200000000000003</v>
      </c>
      <c r="C38" s="322">
        <v>74.2</v>
      </c>
      <c r="D38" s="322">
        <v>88.8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26</v>
      </c>
      <c r="C39" s="322">
        <v>50.5</v>
      </c>
      <c r="D39" s="322">
        <v>94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21.1</v>
      </c>
      <c r="C40" s="322">
        <v>48.2</v>
      </c>
      <c r="D40" s="322">
        <v>87.5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38.799999999999997</v>
      </c>
      <c r="C41" s="322">
        <v>52.6</v>
      </c>
      <c r="D41" s="322">
        <v>90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35.799999999999997</v>
      </c>
      <c r="C42" s="322">
        <v>64</v>
      </c>
      <c r="D42" s="322">
        <v>95.5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29.5</v>
      </c>
      <c r="C43" s="322">
        <v>55.8</v>
      </c>
      <c r="D43" s="322">
        <v>82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79.2</v>
      </c>
      <c r="D44" s="322">
        <v>89.4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91.8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20</v>
      </c>
      <c r="C49" s="322">
        <v>74.7</v>
      </c>
      <c r="D49" s="322">
        <v>90.4</v>
      </c>
      <c r="E49" s="322">
        <v>47</v>
      </c>
      <c r="F49" s="322">
        <v>61.1</v>
      </c>
      <c r="G49" s="322">
        <v>91.5</v>
      </c>
      <c r="H49" s="318"/>
    </row>
    <row r="50" spans="1:8" ht="14.5" x14ac:dyDescent="0.35">
      <c r="A50" s="320">
        <v>2</v>
      </c>
      <c r="B50" s="322">
        <v>32.9</v>
      </c>
      <c r="C50" s="322">
        <v>55</v>
      </c>
      <c r="D50" s="322">
        <v>81.8</v>
      </c>
      <c r="E50" s="322">
        <v>43.3</v>
      </c>
      <c r="F50" s="322">
        <v>75.400000000000006</v>
      </c>
      <c r="G50" s="322">
        <v>109.3</v>
      </c>
      <c r="H50" s="318"/>
    </row>
    <row r="51" spans="1:8" ht="14.5" x14ac:dyDescent="0.35">
      <c r="A51" s="320">
        <v>3</v>
      </c>
      <c r="B51" s="322">
        <v>39.200000000000003</v>
      </c>
      <c r="C51" s="322">
        <v>47.8</v>
      </c>
      <c r="D51" s="322">
        <v>98</v>
      </c>
      <c r="E51" s="322"/>
      <c r="F51" s="322">
        <v>86.1</v>
      </c>
      <c r="G51" s="322">
        <v>113.9</v>
      </c>
      <c r="H51" s="318"/>
    </row>
    <row r="52" spans="1:8" ht="14.5" x14ac:dyDescent="0.35">
      <c r="A52" s="320">
        <v>4</v>
      </c>
      <c r="B52" s="322">
        <v>42.5</v>
      </c>
      <c r="C52" s="322">
        <v>49.2</v>
      </c>
      <c r="D52" s="322">
        <v>84.4</v>
      </c>
      <c r="E52" s="322"/>
      <c r="F52" s="322">
        <v>70.900000000000006</v>
      </c>
      <c r="G52" s="322">
        <v>109.8</v>
      </c>
      <c r="H52" s="318"/>
    </row>
    <row r="53" spans="1:8" ht="14.5" x14ac:dyDescent="0.35">
      <c r="A53" s="320">
        <v>5</v>
      </c>
      <c r="B53" s="322">
        <v>42.1</v>
      </c>
      <c r="C53" s="322">
        <v>57.6</v>
      </c>
      <c r="D53" s="322">
        <v>80.8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32.700000000000003</v>
      </c>
      <c r="C54" s="322">
        <v>46.8</v>
      </c>
      <c r="D54" s="322">
        <v>96.7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38.4</v>
      </c>
      <c r="C55" s="322">
        <v>74.3</v>
      </c>
      <c r="D55" s="322">
        <v>97.1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22.2</v>
      </c>
      <c r="C56" s="322">
        <v>71.2</v>
      </c>
      <c r="D56" s="322">
        <v>93.9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32.799999999999997</v>
      </c>
      <c r="C57" s="322">
        <v>55.1</v>
      </c>
      <c r="D57" s="322">
        <v>85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33.299999999999997</v>
      </c>
      <c r="C58" s="322">
        <v>70.400000000000006</v>
      </c>
      <c r="D58" s="322">
        <v>81.099999999999994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29.5</v>
      </c>
      <c r="C59" s="322">
        <v>73.3</v>
      </c>
      <c r="D59" s="322">
        <v>83.8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36.5</v>
      </c>
      <c r="C60" s="322">
        <v>78.2</v>
      </c>
      <c r="D60" s="322">
        <v>87.5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38.799999999999997</v>
      </c>
      <c r="C61" s="322">
        <v>58.9</v>
      </c>
      <c r="D61" s="322">
        <v>81.900000000000006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38.5</v>
      </c>
      <c r="C62" s="322">
        <v>45.9</v>
      </c>
      <c r="D62" s="322">
        <v>80.900000000000006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25.1</v>
      </c>
      <c r="C63" s="322">
        <v>50.3</v>
      </c>
      <c r="D63" s="322">
        <v>95.7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38.700000000000003</v>
      </c>
      <c r="C64" s="322">
        <v>53.1</v>
      </c>
      <c r="D64" s="322">
        <v>96.4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34.299999999999997</v>
      </c>
      <c r="C65" s="322">
        <v>68.900000000000006</v>
      </c>
      <c r="D65" s="322">
        <v>86.1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38.299999999999997</v>
      </c>
      <c r="C66" s="322">
        <v>45.2</v>
      </c>
      <c r="D66" s="322">
        <v>90.5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56.6</v>
      </c>
      <c r="D67" s="322">
        <v>80.8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48.4</v>
      </c>
      <c r="D68" s="322">
        <v>93.5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71.900000000000006</v>
      </c>
      <c r="D69" s="322">
        <v>88.8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45.5</v>
      </c>
      <c r="D70" s="322">
        <v>93.7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54.6</v>
      </c>
      <c r="D71" s="322">
        <v>82.3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80.3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91.9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32.4</v>
      </c>
      <c r="C77" s="322">
        <v>62.9</v>
      </c>
      <c r="D77" s="322">
        <v>80.599999999999994</v>
      </c>
      <c r="E77" s="322">
        <v>33.700000000000003</v>
      </c>
      <c r="F77" s="322">
        <v>86.5</v>
      </c>
      <c r="G77" s="322">
        <v>106.4</v>
      </c>
      <c r="H77" s="318"/>
    </row>
    <row r="78" spans="1:8" ht="14.5" x14ac:dyDescent="0.35">
      <c r="A78" s="320">
        <v>2</v>
      </c>
      <c r="B78" s="322">
        <v>21.3</v>
      </c>
      <c r="C78" s="322">
        <v>54.5</v>
      </c>
      <c r="D78" s="322">
        <v>93.1</v>
      </c>
      <c r="E78" s="322">
        <v>31.2</v>
      </c>
      <c r="F78" s="322">
        <v>87.7</v>
      </c>
      <c r="G78" s="322">
        <v>101.4</v>
      </c>
      <c r="H78" s="318"/>
    </row>
    <row r="79" spans="1:8" ht="14.5" x14ac:dyDescent="0.35">
      <c r="A79" s="320">
        <v>3</v>
      </c>
      <c r="B79" s="322">
        <v>25.3</v>
      </c>
      <c r="C79" s="322">
        <v>46.6</v>
      </c>
      <c r="D79" s="322">
        <v>84</v>
      </c>
      <c r="E79" s="322">
        <v>57</v>
      </c>
      <c r="F79" s="322">
        <v>89.3</v>
      </c>
      <c r="G79" s="322">
        <v>105.2</v>
      </c>
      <c r="H79" s="318"/>
    </row>
    <row r="80" spans="1:8" ht="14.5" x14ac:dyDescent="0.35">
      <c r="A80" s="320">
        <v>4</v>
      </c>
      <c r="B80" s="322">
        <v>28.7</v>
      </c>
      <c r="C80" s="322">
        <v>55.2</v>
      </c>
      <c r="D80" s="322">
        <v>85.6</v>
      </c>
      <c r="E80" s="322"/>
      <c r="F80" s="322">
        <v>75.3</v>
      </c>
      <c r="G80" s="322">
        <v>94.8</v>
      </c>
      <c r="H80" s="318"/>
    </row>
    <row r="81" spans="1:8" ht="14.5" x14ac:dyDescent="0.35">
      <c r="A81" s="320">
        <v>5</v>
      </c>
      <c r="B81" s="322">
        <v>38</v>
      </c>
      <c r="C81" s="322">
        <v>58.6</v>
      </c>
      <c r="D81" s="322">
        <v>85.8</v>
      </c>
      <c r="E81" s="322"/>
      <c r="F81" s="322">
        <v>78.7</v>
      </c>
      <c r="G81" s="322">
        <v>101.9</v>
      </c>
      <c r="H81" s="318"/>
    </row>
    <row r="82" spans="1:8" ht="14.5" x14ac:dyDescent="0.35">
      <c r="A82" s="320">
        <v>6</v>
      </c>
      <c r="B82" s="322">
        <v>30.5</v>
      </c>
      <c r="C82" s="322">
        <v>59.6</v>
      </c>
      <c r="D82" s="322">
        <v>87.8</v>
      </c>
      <c r="E82" s="322"/>
      <c r="F82" s="322"/>
      <c r="G82" s="322">
        <v>100.5</v>
      </c>
      <c r="H82" s="318"/>
    </row>
    <row r="83" spans="1:8" ht="14.5" x14ac:dyDescent="0.35">
      <c r="A83" s="320">
        <v>7</v>
      </c>
      <c r="B83" s="322">
        <v>31</v>
      </c>
      <c r="C83" s="322">
        <v>48.4</v>
      </c>
      <c r="D83" s="322">
        <v>93.9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40.1</v>
      </c>
      <c r="C84" s="322">
        <v>72.8</v>
      </c>
      <c r="D84" s="322">
        <v>94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35.4</v>
      </c>
      <c r="C85" s="322">
        <v>69.3</v>
      </c>
      <c r="D85" s="322">
        <v>80.099999999999994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33.799999999999997</v>
      </c>
      <c r="C86" s="322">
        <v>58.9</v>
      </c>
      <c r="D86" s="322">
        <v>82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37.299999999999997</v>
      </c>
      <c r="C87" s="322">
        <v>51.2</v>
      </c>
      <c r="D87" s="322">
        <v>87.1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33.5</v>
      </c>
      <c r="C88" s="322">
        <v>47.3</v>
      </c>
      <c r="D88" s="322">
        <v>89.2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37.4</v>
      </c>
      <c r="C89" s="322">
        <v>66.599999999999994</v>
      </c>
      <c r="D89" s="322">
        <v>81.3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36.1</v>
      </c>
      <c r="C90" s="322">
        <v>48</v>
      </c>
      <c r="D90" s="322">
        <v>80.599999999999994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41.6</v>
      </c>
      <c r="C91" s="322">
        <v>60.5</v>
      </c>
      <c r="D91" s="322">
        <v>86.7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20.8</v>
      </c>
      <c r="C92" s="322">
        <v>54.4</v>
      </c>
      <c r="D92" s="322">
        <v>86.5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35</v>
      </c>
      <c r="C93" s="322">
        <v>71.5</v>
      </c>
      <c r="D93" s="322">
        <v>87.3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31.9</v>
      </c>
      <c r="C94" s="322">
        <v>62.8</v>
      </c>
      <c r="D94" s="322">
        <v>93.5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21.7</v>
      </c>
      <c r="C95" s="322">
        <v>49.1</v>
      </c>
      <c r="D95" s="322">
        <v>91.1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41.1</v>
      </c>
      <c r="C96" s="322">
        <v>75.7</v>
      </c>
      <c r="D96" s="322">
        <v>82.5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22.5</v>
      </c>
      <c r="C97" s="322">
        <v>46.6</v>
      </c>
      <c r="D97" s="322">
        <v>88.4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36.5</v>
      </c>
      <c r="C98" s="322">
        <v>77.400000000000006</v>
      </c>
      <c r="D98" s="322">
        <v>91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37.9</v>
      </c>
      <c r="C99" s="322">
        <v>60.8</v>
      </c>
      <c r="D99" s="322">
        <v>94.5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71.5</v>
      </c>
      <c r="D100" s="322">
        <v>88.9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52.6</v>
      </c>
      <c r="D101" s="322">
        <v>93.6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61.1</v>
      </c>
      <c r="D102" s="322">
        <v>83.8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20.7</v>
      </c>
      <c r="C106" s="322">
        <v>71.099999999999994</v>
      </c>
      <c r="D106" s="322">
        <v>89.1</v>
      </c>
      <c r="E106" s="322">
        <v>34.799999999999997</v>
      </c>
      <c r="F106" s="322">
        <v>68.8</v>
      </c>
      <c r="G106" s="322">
        <v>108.5</v>
      </c>
      <c r="H106" s="318"/>
    </row>
    <row r="107" spans="1:8" ht="14.5" x14ac:dyDescent="0.35">
      <c r="A107" s="320">
        <v>2</v>
      </c>
      <c r="B107" s="322">
        <v>42</v>
      </c>
      <c r="C107" s="322">
        <v>64.7</v>
      </c>
      <c r="D107" s="322">
        <v>93.8</v>
      </c>
      <c r="E107" s="322">
        <v>40.9</v>
      </c>
      <c r="F107" s="322">
        <v>69.099999999999994</v>
      </c>
      <c r="G107" s="322">
        <v>97.7</v>
      </c>
      <c r="H107" s="318"/>
    </row>
    <row r="108" spans="1:8" ht="14.5" x14ac:dyDescent="0.35">
      <c r="A108" s="320">
        <v>3</v>
      </c>
      <c r="B108" s="322">
        <v>22.2</v>
      </c>
      <c r="C108" s="322">
        <v>50.5</v>
      </c>
      <c r="D108" s="322">
        <v>85.2</v>
      </c>
      <c r="E108" s="322"/>
      <c r="F108" s="322">
        <v>76.900000000000006</v>
      </c>
      <c r="G108" s="322">
        <v>101</v>
      </c>
      <c r="H108" s="318"/>
    </row>
    <row r="109" spans="1:8" ht="14.5" x14ac:dyDescent="0.35">
      <c r="A109" s="320">
        <v>4</v>
      </c>
      <c r="B109" s="322">
        <v>20.5</v>
      </c>
      <c r="C109" s="322">
        <v>46.2</v>
      </c>
      <c r="D109" s="322">
        <v>90.1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36.1</v>
      </c>
      <c r="C110" s="322">
        <v>71.599999999999994</v>
      </c>
      <c r="D110" s="322">
        <v>91.8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43.6</v>
      </c>
      <c r="C111" s="322">
        <v>76.3</v>
      </c>
      <c r="D111" s="322">
        <v>94.4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37.799999999999997</v>
      </c>
      <c r="C112" s="322">
        <v>71.400000000000006</v>
      </c>
      <c r="D112" s="322">
        <v>97.2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20.2</v>
      </c>
      <c r="C113" s="322">
        <v>77.400000000000006</v>
      </c>
      <c r="D113" s="322">
        <v>83.3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35.6</v>
      </c>
      <c r="C114" s="322">
        <v>70</v>
      </c>
      <c r="D114" s="322">
        <v>87.9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37.700000000000003</v>
      </c>
      <c r="C115" s="322">
        <v>59.6</v>
      </c>
      <c r="D115" s="322">
        <v>92.5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21.5</v>
      </c>
      <c r="C116" s="322">
        <v>67.2</v>
      </c>
      <c r="D116" s="322">
        <v>83.6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39</v>
      </c>
      <c r="C117" s="322">
        <v>55.6</v>
      </c>
      <c r="D117" s="322">
        <v>80.599999999999994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34.299999999999997</v>
      </c>
      <c r="C118" s="322">
        <v>60.4</v>
      </c>
      <c r="D118" s="322">
        <v>97.9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41.5</v>
      </c>
      <c r="C119" s="322">
        <v>54.6</v>
      </c>
      <c r="D119" s="322">
        <v>90.9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34</v>
      </c>
      <c r="C120" s="322">
        <v>65.099999999999994</v>
      </c>
      <c r="D120" s="322">
        <v>80.900000000000006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23.3</v>
      </c>
      <c r="C121" s="322">
        <v>51.1</v>
      </c>
      <c r="D121" s="322">
        <v>94.3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64.2</v>
      </c>
      <c r="D122" s="322">
        <v>93.2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83.1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31.2</v>
      </c>
      <c r="C127" s="322">
        <v>77.2</v>
      </c>
      <c r="D127" s="322">
        <v>95.3</v>
      </c>
      <c r="E127" s="322">
        <v>60</v>
      </c>
      <c r="F127" s="322">
        <v>86.5</v>
      </c>
      <c r="G127" s="322">
        <v>96</v>
      </c>
      <c r="H127" s="318"/>
    </row>
    <row r="128" spans="1:8" ht="14.5" x14ac:dyDescent="0.35">
      <c r="A128" s="320">
        <v>2</v>
      </c>
      <c r="B128" s="322">
        <v>22.3</v>
      </c>
      <c r="C128" s="322">
        <v>57.2</v>
      </c>
      <c r="D128" s="322">
        <v>92.6</v>
      </c>
      <c r="E128" s="322">
        <v>51.5</v>
      </c>
      <c r="F128" s="322">
        <v>65</v>
      </c>
      <c r="G128" s="322">
        <v>118.3</v>
      </c>
      <c r="H128" s="318"/>
    </row>
    <row r="129" spans="1:8" ht="14.5" x14ac:dyDescent="0.35">
      <c r="A129" s="320">
        <v>3</v>
      </c>
      <c r="B129" s="322">
        <v>37.4</v>
      </c>
      <c r="C129" s="322">
        <v>67.7</v>
      </c>
      <c r="D129" s="322">
        <v>87.1</v>
      </c>
      <c r="E129" s="322">
        <v>46.1</v>
      </c>
      <c r="F129" s="322">
        <v>82.7</v>
      </c>
      <c r="G129" s="322">
        <v>98.2</v>
      </c>
      <c r="H129" s="318"/>
    </row>
    <row r="130" spans="1:8" ht="14.5" x14ac:dyDescent="0.35">
      <c r="A130" s="320">
        <v>4</v>
      </c>
      <c r="B130" s="322">
        <v>35.200000000000003</v>
      </c>
      <c r="C130" s="322">
        <v>78.400000000000006</v>
      </c>
      <c r="D130" s="322">
        <v>88</v>
      </c>
      <c r="E130" s="322">
        <v>43.1</v>
      </c>
      <c r="F130" s="322">
        <v>79</v>
      </c>
      <c r="G130" s="322">
        <v>93.3</v>
      </c>
      <c r="H130" s="318"/>
    </row>
    <row r="131" spans="1:8" ht="14.5" x14ac:dyDescent="0.35">
      <c r="A131" s="320">
        <v>5</v>
      </c>
      <c r="B131" s="322">
        <v>42.7</v>
      </c>
      <c r="C131" s="322">
        <v>77.099999999999994</v>
      </c>
      <c r="D131" s="322">
        <v>81.400000000000006</v>
      </c>
      <c r="E131" s="322"/>
      <c r="F131" s="322">
        <v>81.400000000000006</v>
      </c>
      <c r="G131" s="322">
        <v>117.5</v>
      </c>
      <c r="H131" s="318"/>
    </row>
    <row r="132" spans="1:8" ht="14.5" x14ac:dyDescent="0.35">
      <c r="A132" s="320">
        <v>6</v>
      </c>
      <c r="B132" s="322">
        <v>29.5</v>
      </c>
      <c r="C132" s="322">
        <v>70.900000000000006</v>
      </c>
      <c r="D132" s="322">
        <v>82.5</v>
      </c>
      <c r="E132" s="322"/>
      <c r="F132" s="322"/>
      <c r="G132" s="322">
        <v>114.1</v>
      </c>
      <c r="H132" s="318"/>
    </row>
    <row r="133" spans="1:8" ht="14.5" x14ac:dyDescent="0.35">
      <c r="A133" s="320">
        <v>7</v>
      </c>
      <c r="B133" s="322">
        <v>41.1</v>
      </c>
      <c r="C133" s="322">
        <v>66.400000000000006</v>
      </c>
      <c r="D133" s="322">
        <v>81.5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34.700000000000003</v>
      </c>
      <c r="C134" s="322">
        <v>68.400000000000006</v>
      </c>
      <c r="D134" s="322">
        <v>91.1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25.5</v>
      </c>
      <c r="C135" s="322">
        <v>63.5</v>
      </c>
      <c r="D135" s="322">
        <v>83.1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42.1</v>
      </c>
      <c r="C136" s="322">
        <v>53.2</v>
      </c>
      <c r="D136" s="322">
        <v>97.5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25.2</v>
      </c>
      <c r="C137" s="322">
        <v>68.2</v>
      </c>
      <c r="D137" s="322">
        <v>86.6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33.6</v>
      </c>
      <c r="C138" s="322">
        <v>46</v>
      </c>
      <c r="D138" s="322">
        <v>88.9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34.9</v>
      </c>
      <c r="C139" s="322">
        <v>64.2</v>
      </c>
      <c r="D139" s="322">
        <v>83.3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34.200000000000003</v>
      </c>
      <c r="C140" s="322">
        <v>73.7</v>
      </c>
      <c r="D140" s="322">
        <v>97.8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21.2</v>
      </c>
      <c r="C141" s="322">
        <v>77.599999999999994</v>
      </c>
      <c r="D141" s="322">
        <v>93.1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23.8</v>
      </c>
      <c r="C142" s="322">
        <v>64.2</v>
      </c>
      <c r="D142" s="322">
        <v>85.2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30.9</v>
      </c>
      <c r="C143" s="322">
        <v>65</v>
      </c>
      <c r="D143" s="322">
        <v>85.1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39.5</v>
      </c>
      <c r="C144" s="322">
        <v>73</v>
      </c>
      <c r="D144" s="322">
        <v>92.6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38</v>
      </c>
      <c r="C145" s="322">
        <v>60.2</v>
      </c>
      <c r="D145" s="322">
        <v>92.2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38</v>
      </c>
      <c r="C146" s="322">
        <v>51.9</v>
      </c>
      <c r="D146" s="322">
        <v>81.2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39</v>
      </c>
      <c r="C147" s="322">
        <v>75.8</v>
      </c>
      <c r="D147" s="322">
        <v>84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31.3</v>
      </c>
      <c r="C148" s="322">
        <v>56.3</v>
      </c>
      <c r="D148" s="322">
        <v>87.5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81.400000000000006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92.8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61.9</v>
      </c>
      <c r="C155" s="325">
        <f>ROUNDDOWN(AVERAGE(E6:G45),1)</f>
        <v>80</v>
      </c>
      <c r="D155" s="320">
        <v>94502</v>
      </c>
      <c r="E155" s="320">
        <v>12869</v>
      </c>
      <c r="F155" s="325">
        <f>B155*D155</f>
        <v>5849673.7999999998</v>
      </c>
      <c r="G155" s="325">
        <f>C155*E155</f>
        <v>1029520</v>
      </c>
    </row>
    <row r="156" spans="1:8" ht="13" x14ac:dyDescent="0.25">
      <c r="A156" s="321" t="s">
        <v>356</v>
      </c>
      <c r="B156" s="325">
        <f>ROUNDDOWN(AVERAGE(B49:D73),1)</f>
        <v>63.2</v>
      </c>
      <c r="C156" s="325">
        <f>ROUNDDOWN(AVERAGE(E49:G73),1)</f>
        <v>80.8</v>
      </c>
      <c r="D156" s="320">
        <v>52390</v>
      </c>
      <c r="E156" s="320">
        <v>6953</v>
      </c>
      <c r="F156" s="325">
        <f t="shared" ref="F156:G159" si="0">B156*D156</f>
        <v>3311048</v>
      </c>
      <c r="G156" s="325">
        <f t="shared" si="0"/>
        <v>561802.4</v>
      </c>
    </row>
    <row r="157" spans="1:8" ht="13" x14ac:dyDescent="0.25">
      <c r="A157" s="321" t="s">
        <v>358</v>
      </c>
      <c r="B157" s="325">
        <f>ROUNDDOWN(AVERAGE(B77:D102),1)</f>
        <v>60.8</v>
      </c>
      <c r="C157" s="325">
        <f>ROUNDDOWN(AVERAGE(E77:G102),1)</f>
        <v>82.1</v>
      </c>
      <c r="D157" s="320">
        <v>60472</v>
      </c>
      <c r="E157" s="320">
        <v>10293</v>
      </c>
      <c r="F157" s="325">
        <f t="shared" si="0"/>
        <v>3676697.5999999996</v>
      </c>
      <c r="G157" s="325">
        <f t="shared" si="0"/>
        <v>845055.29999999993</v>
      </c>
    </row>
    <row r="158" spans="1:8" ht="13" x14ac:dyDescent="0.25">
      <c r="A158" s="321" t="s">
        <v>360</v>
      </c>
      <c r="B158" s="325">
        <f>ROUNDDOWN(AVERAGE(B106:D123),1)</f>
        <v>62.6</v>
      </c>
      <c r="C158" s="325">
        <f>ROUNDDOWN(AVERAGE(E106:G123),1)</f>
        <v>74.7</v>
      </c>
      <c r="D158" s="320">
        <v>40323</v>
      </c>
      <c r="E158" s="320">
        <v>5152</v>
      </c>
      <c r="F158" s="325">
        <f t="shared" si="0"/>
        <v>2524219.8000000003</v>
      </c>
      <c r="G158" s="325">
        <f t="shared" si="0"/>
        <v>384854.4</v>
      </c>
    </row>
    <row r="159" spans="1:8" ht="13" x14ac:dyDescent="0.25">
      <c r="A159" s="321" t="s">
        <v>362</v>
      </c>
      <c r="B159" s="325">
        <f>ROUNDDOWN(AVERAGE(B127:D150),1)</f>
        <v>63.2</v>
      </c>
      <c r="C159" s="325">
        <f>ROUNDDOWN(AVERAGE(E127:G150),1)</f>
        <v>82.1</v>
      </c>
      <c r="D159" s="320">
        <v>54596</v>
      </c>
      <c r="E159" s="320">
        <v>11149</v>
      </c>
      <c r="F159" s="325">
        <f t="shared" si="0"/>
        <v>3450467.2</v>
      </c>
      <c r="G159" s="325">
        <f t="shared" si="0"/>
        <v>915332.89999999991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46416</v>
      </c>
      <c r="F160" s="325">
        <f>SUM(F155:F159)</f>
        <v>18812106.400000002</v>
      </c>
      <c r="G160" s="325">
        <f>SUM(G155:G159)</f>
        <v>3736564.9999999995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62.2</v>
      </c>
      <c r="D165" s="327">
        <f>ROUNDDOWN(G160/E160,1)</f>
        <v>80.5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D72D4-6BA2-40A1-9867-B494BF97F484}">
  <dimension ref="B3:I23"/>
  <sheetViews>
    <sheetView tabSelected="1" zoomScale="85" zoomScaleNormal="85" workbookViewId="0">
      <selection activeCell="E4" sqref="E4"/>
    </sheetView>
  </sheetViews>
  <sheetFormatPr defaultColWidth="8.81640625" defaultRowHeight="13.5" x14ac:dyDescent="0.25"/>
  <cols>
    <col min="1" max="2" width="8.81640625" style="340"/>
    <col min="3" max="3" width="28.36328125" style="340" customWidth="1"/>
    <col min="4" max="4" width="71.36328125" style="340" customWidth="1"/>
    <col min="5" max="5" width="23.90625" style="340" customWidth="1"/>
    <col min="6" max="6" width="18.81640625" style="340" customWidth="1"/>
    <col min="7" max="7" width="14.81640625" style="340" customWidth="1"/>
    <col min="8" max="8" width="8.81640625" style="340"/>
    <col min="9" max="9" width="10.6328125" style="340" bestFit="1" customWidth="1"/>
    <col min="10" max="16384" width="8.81640625" style="340"/>
  </cols>
  <sheetData>
    <row r="3" spans="2:9" x14ac:dyDescent="0.25">
      <c r="B3" s="399" t="s">
        <v>336</v>
      </c>
      <c r="C3" s="339" t="s">
        <v>203</v>
      </c>
      <c r="D3" s="339" t="s">
        <v>337</v>
      </c>
    </row>
    <row r="4" spans="2:9" x14ac:dyDescent="0.25">
      <c r="B4" s="400"/>
      <c r="C4" s="341" t="s">
        <v>350</v>
      </c>
      <c r="D4" s="346">
        <v>40200</v>
      </c>
      <c r="E4" s="342"/>
      <c r="F4" s="343"/>
    </row>
    <row r="7" spans="2:9" x14ac:dyDescent="0.25">
      <c r="B7" s="399" t="s">
        <v>204</v>
      </c>
      <c r="C7" s="339" t="s">
        <v>203</v>
      </c>
      <c r="D7" s="339" t="s">
        <v>321</v>
      </c>
    </row>
    <row r="8" spans="2:9" x14ac:dyDescent="0.25">
      <c r="B8" s="400"/>
      <c r="C8" s="341" t="str">
        <f>C4</f>
        <v>01/01/2022-31/12/2022</v>
      </c>
      <c r="D8" s="344" t="s">
        <v>351</v>
      </c>
    </row>
    <row r="12" spans="2:9" ht="38.5" customHeight="1" x14ac:dyDescent="0.25">
      <c r="B12" s="399" t="s">
        <v>205</v>
      </c>
      <c r="C12" s="339" t="s">
        <v>203</v>
      </c>
      <c r="D12" s="345" t="s">
        <v>338</v>
      </c>
    </row>
    <row r="13" spans="2:9" x14ac:dyDescent="0.25">
      <c r="B13" s="400"/>
      <c r="C13" s="341" t="str">
        <f>C8</f>
        <v>01/01/2022-31/12/2022</v>
      </c>
      <c r="D13" s="346">
        <f ca="1">'Emission Reduction'!H5</f>
        <v>290683</v>
      </c>
    </row>
    <row r="15" spans="2:9" x14ac:dyDescent="0.25">
      <c r="I15" s="347"/>
    </row>
    <row r="18" spans="6:9" x14ac:dyDescent="0.25">
      <c r="I18" s="348"/>
    </row>
    <row r="19" spans="6:9" x14ac:dyDescent="0.25">
      <c r="I19" s="349"/>
    </row>
    <row r="22" spans="6:9" x14ac:dyDescent="0.25">
      <c r="F22" s="348"/>
    </row>
    <row r="23" spans="6:9" x14ac:dyDescent="0.25">
      <c r="G23" s="350"/>
    </row>
  </sheetData>
  <mergeCells count="3">
    <mergeCell ref="B3:B4"/>
    <mergeCell ref="B7:B8"/>
    <mergeCell ref="B12:B13"/>
  </mergeCells>
  <phoneticPr fontId="36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DE0B4-AFF9-4953-B4BD-D3AF95F74553}">
  <dimension ref="A1:H165"/>
  <sheetViews>
    <sheetView topLeftCell="A92" zoomScale="60" zoomScaleNormal="60" workbookViewId="0">
      <selection activeCell="B127" sqref="B127:G150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73">
        <v>2022.12</v>
      </c>
      <c r="C2" s="337"/>
      <c r="D2" s="337"/>
      <c r="E2" s="337"/>
      <c r="F2" s="337"/>
      <c r="G2" s="338"/>
      <c r="H2" s="318"/>
    </row>
    <row r="3" spans="1:8" ht="14.5" x14ac:dyDescent="0.35">
      <c r="A3" s="568" t="s">
        <v>354</v>
      </c>
      <c r="B3" s="568"/>
      <c r="C3" s="568"/>
      <c r="D3" s="568"/>
      <c r="E3" s="568"/>
      <c r="F3" s="568"/>
      <c r="G3" s="568"/>
      <c r="H3" s="318"/>
    </row>
    <row r="4" spans="1:8" ht="14.5" x14ac:dyDescent="0.35">
      <c r="A4" s="319"/>
      <c r="B4" s="569" t="s">
        <v>327</v>
      </c>
      <c r="C4" s="569"/>
      <c r="D4" s="569"/>
      <c r="E4" s="569" t="s">
        <v>328</v>
      </c>
      <c r="F4" s="569"/>
      <c r="G4" s="569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20.6</v>
      </c>
      <c r="C6" s="322">
        <v>73.400000000000006</v>
      </c>
      <c r="D6" s="322">
        <v>80.400000000000006</v>
      </c>
      <c r="E6" s="322">
        <v>50.5</v>
      </c>
      <c r="F6" s="322">
        <v>67.2</v>
      </c>
      <c r="G6" s="322">
        <v>108.2</v>
      </c>
      <c r="H6" s="318"/>
    </row>
    <row r="7" spans="1:8" ht="14.5" x14ac:dyDescent="0.35">
      <c r="A7" s="320">
        <v>2</v>
      </c>
      <c r="B7" s="322">
        <v>37.200000000000003</v>
      </c>
      <c r="C7" s="322">
        <v>52.8</v>
      </c>
      <c r="D7" s="322">
        <v>82.6</v>
      </c>
      <c r="E7" s="322">
        <v>48.5</v>
      </c>
      <c r="F7" s="322">
        <v>63.6</v>
      </c>
      <c r="G7" s="322">
        <v>105.2</v>
      </c>
      <c r="H7" s="318"/>
    </row>
    <row r="8" spans="1:8" ht="14.5" x14ac:dyDescent="0.35">
      <c r="A8" s="320">
        <v>3</v>
      </c>
      <c r="B8" s="322">
        <v>34</v>
      </c>
      <c r="C8" s="322">
        <v>67.3</v>
      </c>
      <c r="D8" s="322">
        <v>83.4</v>
      </c>
      <c r="E8" s="322">
        <v>37.6</v>
      </c>
      <c r="F8" s="322">
        <v>61</v>
      </c>
      <c r="G8" s="322">
        <v>109</v>
      </c>
      <c r="H8" s="318"/>
    </row>
    <row r="9" spans="1:8" ht="14.5" x14ac:dyDescent="0.35">
      <c r="A9" s="320">
        <v>4</v>
      </c>
      <c r="B9" s="322">
        <v>30.5</v>
      </c>
      <c r="C9" s="322">
        <v>52.5</v>
      </c>
      <c r="D9" s="322">
        <v>82.7</v>
      </c>
      <c r="E9" s="322">
        <v>48.3</v>
      </c>
      <c r="F9" s="322">
        <v>87.1</v>
      </c>
      <c r="G9" s="322">
        <v>94.1</v>
      </c>
      <c r="H9" s="318"/>
    </row>
    <row r="10" spans="1:8" ht="14.5" x14ac:dyDescent="0.35">
      <c r="A10" s="320">
        <v>5</v>
      </c>
      <c r="B10" s="322">
        <v>37.799999999999997</v>
      </c>
      <c r="C10" s="322">
        <v>48.4</v>
      </c>
      <c r="D10" s="322">
        <v>84.6</v>
      </c>
      <c r="E10" s="322"/>
      <c r="F10" s="322">
        <v>61</v>
      </c>
      <c r="G10" s="322">
        <v>108.1</v>
      </c>
      <c r="H10" s="318"/>
    </row>
    <row r="11" spans="1:8" ht="14.5" x14ac:dyDescent="0.35">
      <c r="A11" s="320">
        <v>6</v>
      </c>
      <c r="B11" s="322">
        <v>36.700000000000003</v>
      </c>
      <c r="C11" s="322">
        <v>68.7</v>
      </c>
      <c r="D11" s="322">
        <v>87.8</v>
      </c>
      <c r="E11" s="322"/>
      <c r="F11" s="322">
        <v>65.8</v>
      </c>
      <c r="G11" s="322">
        <v>96.2</v>
      </c>
      <c r="H11" s="318"/>
    </row>
    <row r="12" spans="1:8" ht="14.5" x14ac:dyDescent="0.35">
      <c r="A12" s="320">
        <v>7</v>
      </c>
      <c r="B12" s="322">
        <v>34.9</v>
      </c>
      <c r="C12" s="322">
        <v>65.3</v>
      </c>
      <c r="D12" s="322">
        <v>92.8</v>
      </c>
      <c r="E12" s="322"/>
      <c r="F12" s="322"/>
      <c r="G12" s="322">
        <v>103.3</v>
      </c>
      <c r="H12" s="318"/>
    </row>
    <row r="13" spans="1:8" ht="14.5" x14ac:dyDescent="0.35">
      <c r="A13" s="320">
        <v>8</v>
      </c>
      <c r="B13" s="322">
        <v>41.4</v>
      </c>
      <c r="C13" s="322">
        <v>48.7</v>
      </c>
      <c r="D13" s="322">
        <v>90.7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24.2</v>
      </c>
      <c r="C14" s="322">
        <v>54.4</v>
      </c>
      <c r="D14" s="322">
        <v>94.8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42.4</v>
      </c>
      <c r="C15" s="322">
        <v>69.400000000000006</v>
      </c>
      <c r="D15" s="322">
        <v>97.7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29.8</v>
      </c>
      <c r="C16" s="322">
        <v>48.9</v>
      </c>
      <c r="D16" s="322">
        <v>90.1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39.200000000000003</v>
      </c>
      <c r="C17" s="322">
        <v>67.900000000000006</v>
      </c>
      <c r="D17" s="322">
        <v>87.3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27.2</v>
      </c>
      <c r="C18" s="322">
        <v>57.7</v>
      </c>
      <c r="D18" s="322">
        <v>87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43.1</v>
      </c>
      <c r="C19" s="322">
        <v>68.400000000000006</v>
      </c>
      <c r="D19" s="322">
        <v>83.6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25.2</v>
      </c>
      <c r="C20" s="322">
        <v>64.599999999999994</v>
      </c>
      <c r="D20" s="322">
        <v>89.8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24.6</v>
      </c>
      <c r="C21" s="322">
        <v>49</v>
      </c>
      <c r="D21" s="322">
        <v>85.1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22.9</v>
      </c>
      <c r="C22" s="322">
        <v>47</v>
      </c>
      <c r="D22" s="322">
        <v>88.5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39.799999999999997</v>
      </c>
      <c r="C23" s="322">
        <v>46.1</v>
      </c>
      <c r="D23" s="322">
        <v>94.3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33</v>
      </c>
      <c r="C24" s="322">
        <v>51.5</v>
      </c>
      <c r="D24" s="322">
        <v>89.4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30.2</v>
      </c>
      <c r="C25" s="322">
        <v>73.2</v>
      </c>
      <c r="D25" s="322">
        <v>93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23</v>
      </c>
      <c r="C26" s="322">
        <v>66.099999999999994</v>
      </c>
      <c r="D26" s="322">
        <v>85.2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27.4</v>
      </c>
      <c r="C27" s="322">
        <v>65.5</v>
      </c>
      <c r="D27" s="322">
        <v>84.6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21.5</v>
      </c>
      <c r="C28" s="322">
        <v>67.5</v>
      </c>
      <c r="D28" s="322">
        <v>96.1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43.8</v>
      </c>
      <c r="C29" s="322">
        <v>74.400000000000006</v>
      </c>
      <c r="D29" s="322">
        <v>84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33.299999999999997</v>
      </c>
      <c r="C30" s="322">
        <v>49.1</v>
      </c>
      <c r="D30" s="322">
        <v>90.6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39.9</v>
      </c>
      <c r="C31" s="322">
        <v>47.7</v>
      </c>
      <c r="D31" s="322">
        <v>96.4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35.299999999999997</v>
      </c>
      <c r="C32" s="322">
        <v>60.5</v>
      </c>
      <c r="D32" s="322">
        <v>84.6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34.6</v>
      </c>
      <c r="C33" s="322">
        <v>63.9</v>
      </c>
      <c r="D33" s="322">
        <v>81.2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26.3</v>
      </c>
      <c r="C34" s="322">
        <v>61.7</v>
      </c>
      <c r="D34" s="322">
        <v>95.4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32.6</v>
      </c>
      <c r="C35" s="322">
        <v>59.8</v>
      </c>
      <c r="D35" s="322">
        <v>93.9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21.5</v>
      </c>
      <c r="C36" s="322">
        <v>62.6</v>
      </c>
      <c r="D36" s="322">
        <v>84.3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43.9</v>
      </c>
      <c r="C37" s="322">
        <v>58.4</v>
      </c>
      <c r="D37" s="322">
        <v>92.5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32.5</v>
      </c>
      <c r="C38" s="322">
        <v>54.4</v>
      </c>
      <c r="D38" s="322">
        <v>97.1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28.4</v>
      </c>
      <c r="C39" s="322">
        <v>77.400000000000006</v>
      </c>
      <c r="D39" s="322">
        <v>89.8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38.4</v>
      </c>
      <c r="C40" s="322">
        <v>74.8</v>
      </c>
      <c r="D40" s="322">
        <v>85.3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25.3</v>
      </c>
      <c r="C41" s="322">
        <v>55.8</v>
      </c>
      <c r="D41" s="322">
        <v>93.8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25.7</v>
      </c>
      <c r="C42" s="322">
        <v>63.6</v>
      </c>
      <c r="D42" s="322">
        <v>84.2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42.6</v>
      </c>
      <c r="C43" s="322">
        <v>66.400000000000006</v>
      </c>
      <c r="D43" s="322">
        <v>86.5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59.1</v>
      </c>
      <c r="D44" s="322">
        <v>92.2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91.7</v>
      </c>
      <c r="E45" s="322"/>
      <c r="F45" s="322"/>
      <c r="G45" s="322"/>
      <c r="H45" s="318"/>
    </row>
    <row r="46" spans="1:8" ht="14.5" x14ac:dyDescent="0.35">
      <c r="A46" s="567" t="s">
        <v>356</v>
      </c>
      <c r="B46" s="567"/>
      <c r="C46" s="567"/>
      <c r="D46" s="567"/>
      <c r="E46" s="567"/>
      <c r="F46" s="567"/>
      <c r="G46" s="567"/>
      <c r="H46" s="318"/>
    </row>
    <row r="47" spans="1:8" ht="14.5" x14ac:dyDescent="0.35">
      <c r="A47" s="319"/>
      <c r="B47" s="569" t="s">
        <v>327</v>
      </c>
      <c r="C47" s="569"/>
      <c r="D47" s="569"/>
      <c r="E47" s="569" t="s">
        <v>328</v>
      </c>
      <c r="F47" s="569"/>
      <c r="G47" s="569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21.7</v>
      </c>
      <c r="C49" s="322">
        <v>68.7</v>
      </c>
      <c r="D49" s="322">
        <v>90.1</v>
      </c>
      <c r="E49" s="322">
        <v>25.9</v>
      </c>
      <c r="F49" s="322">
        <v>88.5</v>
      </c>
      <c r="G49" s="322">
        <v>112.8</v>
      </c>
      <c r="H49" s="318"/>
    </row>
    <row r="50" spans="1:8" ht="14.5" x14ac:dyDescent="0.35">
      <c r="A50" s="320">
        <v>2</v>
      </c>
      <c r="B50" s="322">
        <v>24.1</v>
      </c>
      <c r="C50" s="322">
        <v>65.099999999999994</v>
      </c>
      <c r="D50" s="322">
        <v>97.7</v>
      </c>
      <c r="E50" s="322">
        <v>52</v>
      </c>
      <c r="F50" s="322">
        <v>75.599999999999994</v>
      </c>
      <c r="G50" s="322">
        <v>118.2</v>
      </c>
      <c r="H50" s="318"/>
    </row>
    <row r="51" spans="1:8" ht="14.5" x14ac:dyDescent="0.35">
      <c r="A51" s="320">
        <v>3</v>
      </c>
      <c r="B51" s="322">
        <v>24.8</v>
      </c>
      <c r="C51" s="322">
        <v>68.900000000000006</v>
      </c>
      <c r="D51" s="322">
        <v>87.3</v>
      </c>
      <c r="E51" s="322"/>
      <c r="F51" s="322">
        <v>78.3</v>
      </c>
      <c r="G51" s="322">
        <v>93.5</v>
      </c>
      <c r="H51" s="318"/>
    </row>
    <row r="52" spans="1:8" ht="14.5" x14ac:dyDescent="0.35">
      <c r="A52" s="320">
        <v>4</v>
      </c>
      <c r="B52" s="322">
        <v>42.2</v>
      </c>
      <c r="C52" s="322">
        <v>49.1</v>
      </c>
      <c r="D52" s="322">
        <v>83.8</v>
      </c>
      <c r="E52" s="322"/>
      <c r="F52" s="322">
        <v>68.400000000000006</v>
      </c>
      <c r="G52" s="322">
        <v>96.8</v>
      </c>
      <c r="H52" s="318"/>
    </row>
    <row r="53" spans="1:8" ht="14.5" x14ac:dyDescent="0.35">
      <c r="A53" s="320">
        <v>5</v>
      </c>
      <c r="B53" s="322">
        <v>20.7</v>
      </c>
      <c r="C53" s="322">
        <v>68.400000000000006</v>
      </c>
      <c r="D53" s="322">
        <v>86.2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20.8</v>
      </c>
      <c r="C54" s="322">
        <v>55.7</v>
      </c>
      <c r="D54" s="322">
        <v>97.6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35.200000000000003</v>
      </c>
      <c r="C55" s="322">
        <v>47.2</v>
      </c>
      <c r="D55" s="322">
        <v>94.2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20.5</v>
      </c>
      <c r="C56" s="322">
        <v>51.9</v>
      </c>
      <c r="D56" s="322">
        <v>86.8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34.299999999999997</v>
      </c>
      <c r="C57" s="322">
        <v>70.400000000000006</v>
      </c>
      <c r="D57" s="322">
        <v>91.8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35.6</v>
      </c>
      <c r="C58" s="322">
        <v>52</v>
      </c>
      <c r="D58" s="322">
        <v>80.599999999999994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40.6</v>
      </c>
      <c r="C59" s="322">
        <v>59.7</v>
      </c>
      <c r="D59" s="322">
        <v>89.1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39.299999999999997</v>
      </c>
      <c r="C60" s="322">
        <v>73.3</v>
      </c>
      <c r="D60" s="322">
        <v>95.1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42.2</v>
      </c>
      <c r="C61" s="322">
        <v>64</v>
      </c>
      <c r="D61" s="322">
        <v>82.4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43</v>
      </c>
      <c r="C62" s="322">
        <v>72.400000000000006</v>
      </c>
      <c r="D62" s="322">
        <v>95.5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27.3</v>
      </c>
      <c r="C63" s="322">
        <v>62.9</v>
      </c>
      <c r="D63" s="322">
        <v>96.3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23.2</v>
      </c>
      <c r="C64" s="322">
        <v>72.400000000000006</v>
      </c>
      <c r="D64" s="322">
        <v>92.6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35.4</v>
      </c>
      <c r="C65" s="322">
        <v>73</v>
      </c>
      <c r="D65" s="322">
        <v>87.9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21.3</v>
      </c>
      <c r="C66" s="322">
        <v>74.099999999999994</v>
      </c>
      <c r="D66" s="322">
        <v>93.6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63.2</v>
      </c>
      <c r="D67" s="322">
        <v>81.8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67.7</v>
      </c>
      <c r="D68" s="322">
        <v>82.1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64.5</v>
      </c>
      <c r="D69" s="322">
        <v>92.2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72.5</v>
      </c>
      <c r="D70" s="322">
        <v>88.4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63</v>
      </c>
      <c r="D71" s="322">
        <v>92.1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83.3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80.3</v>
      </c>
      <c r="E73" s="322"/>
      <c r="F73" s="322"/>
      <c r="G73" s="322"/>
      <c r="H73" s="318"/>
    </row>
    <row r="74" spans="1:8" ht="14.5" x14ac:dyDescent="0.35">
      <c r="A74" s="568" t="s">
        <v>358</v>
      </c>
      <c r="B74" s="568"/>
      <c r="C74" s="568"/>
      <c r="D74" s="568"/>
      <c r="E74" s="568"/>
      <c r="F74" s="568"/>
      <c r="G74" s="568"/>
      <c r="H74" s="318"/>
    </row>
    <row r="75" spans="1:8" ht="14.5" x14ac:dyDescent="0.35">
      <c r="A75" s="319"/>
      <c r="B75" s="569" t="s">
        <v>327</v>
      </c>
      <c r="C75" s="569"/>
      <c r="D75" s="569"/>
      <c r="E75" s="569" t="s">
        <v>328</v>
      </c>
      <c r="F75" s="569"/>
      <c r="G75" s="569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20</v>
      </c>
      <c r="C77" s="322">
        <v>51.4</v>
      </c>
      <c r="D77" s="322">
        <v>95.4</v>
      </c>
      <c r="E77" s="322">
        <v>38.9</v>
      </c>
      <c r="F77" s="322">
        <v>60.5</v>
      </c>
      <c r="G77" s="322">
        <v>98.4</v>
      </c>
      <c r="H77" s="318"/>
    </row>
    <row r="78" spans="1:8" ht="14.5" x14ac:dyDescent="0.35">
      <c r="A78" s="320">
        <v>2</v>
      </c>
      <c r="B78" s="322">
        <v>40.9</v>
      </c>
      <c r="C78" s="322">
        <v>52.5</v>
      </c>
      <c r="D78" s="322">
        <v>88.3</v>
      </c>
      <c r="E78" s="322">
        <v>30</v>
      </c>
      <c r="F78" s="322">
        <v>73.900000000000006</v>
      </c>
      <c r="G78" s="322">
        <v>107.6</v>
      </c>
      <c r="H78" s="318"/>
    </row>
    <row r="79" spans="1:8" ht="14.5" x14ac:dyDescent="0.35">
      <c r="A79" s="320">
        <v>3</v>
      </c>
      <c r="B79" s="322">
        <v>24</v>
      </c>
      <c r="C79" s="322">
        <v>56.3</v>
      </c>
      <c r="D79" s="322">
        <v>91</v>
      </c>
      <c r="E79" s="322">
        <v>25.7</v>
      </c>
      <c r="F79" s="322">
        <v>79.2</v>
      </c>
      <c r="G79" s="322">
        <v>109.4</v>
      </c>
      <c r="H79" s="318"/>
    </row>
    <row r="80" spans="1:8" ht="14.5" x14ac:dyDescent="0.35">
      <c r="A80" s="320">
        <v>4</v>
      </c>
      <c r="B80" s="322">
        <v>23.2</v>
      </c>
      <c r="C80" s="322">
        <v>62.9</v>
      </c>
      <c r="D80" s="322">
        <v>88.5</v>
      </c>
      <c r="E80" s="322"/>
      <c r="F80" s="322">
        <v>84.9</v>
      </c>
      <c r="G80" s="322">
        <v>103.6</v>
      </c>
      <c r="H80" s="318"/>
    </row>
    <row r="81" spans="1:8" ht="14.5" x14ac:dyDescent="0.35">
      <c r="A81" s="320">
        <v>5</v>
      </c>
      <c r="B81" s="322">
        <v>23.3</v>
      </c>
      <c r="C81" s="322">
        <v>52.1</v>
      </c>
      <c r="D81" s="322">
        <v>88</v>
      </c>
      <c r="E81" s="322"/>
      <c r="F81" s="322">
        <v>60.3</v>
      </c>
      <c r="G81" s="322">
        <v>110.8</v>
      </c>
      <c r="H81" s="318"/>
    </row>
    <row r="82" spans="1:8" ht="14.5" x14ac:dyDescent="0.35">
      <c r="A82" s="320">
        <v>6</v>
      </c>
      <c r="B82" s="322">
        <v>41.5</v>
      </c>
      <c r="C82" s="322">
        <v>45.1</v>
      </c>
      <c r="D82" s="322">
        <v>90.4</v>
      </c>
      <c r="E82" s="322"/>
      <c r="F82" s="322"/>
      <c r="G82" s="322">
        <v>102.8</v>
      </c>
      <c r="H82" s="318"/>
    </row>
    <row r="83" spans="1:8" ht="14.5" x14ac:dyDescent="0.35">
      <c r="A83" s="320">
        <v>7</v>
      </c>
      <c r="B83" s="322">
        <v>33.299999999999997</v>
      </c>
      <c r="C83" s="322">
        <v>45</v>
      </c>
      <c r="D83" s="322">
        <v>85.8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29.7</v>
      </c>
      <c r="C84" s="322">
        <v>54.2</v>
      </c>
      <c r="D84" s="322">
        <v>81.599999999999994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23.6</v>
      </c>
      <c r="C85" s="322">
        <v>67.599999999999994</v>
      </c>
      <c r="D85" s="322">
        <v>97.3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28.7</v>
      </c>
      <c r="C86" s="322">
        <v>58.8</v>
      </c>
      <c r="D86" s="322">
        <v>82.3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35.5</v>
      </c>
      <c r="C87" s="322">
        <v>73.599999999999994</v>
      </c>
      <c r="D87" s="322">
        <v>89.3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37.200000000000003</v>
      </c>
      <c r="C88" s="322">
        <v>47.9</v>
      </c>
      <c r="D88" s="322">
        <v>84.7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37</v>
      </c>
      <c r="C89" s="322">
        <v>45.4</v>
      </c>
      <c r="D89" s="322">
        <v>82.8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25.6</v>
      </c>
      <c r="C90" s="322">
        <v>66</v>
      </c>
      <c r="D90" s="322">
        <v>91.9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30.8</v>
      </c>
      <c r="C91" s="322">
        <v>73.099999999999994</v>
      </c>
      <c r="D91" s="322">
        <v>88.7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32.799999999999997</v>
      </c>
      <c r="C92" s="322">
        <v>71.8</v>
      </c>
      <c r="D92" s="322">
        <v>90.6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39.700000000000003</v>
      </c>
      <c r="C93" s="322">
        <v>52</v>
      </c>
      <c r="D93" s="322">
        <v>96.2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41.1</v>
      </c>
      <c r="C94" s="322">
        <v>77.5</v>
      </c>
      <c r="D94" s="322">
        <v>95.8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29.1</v>
      </c>
      <c r="C95" s="322">
        <v>55.8</v>
      </c>
      <c r="D95" s="322">
        <v>93.8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41</v>
      </c>
      <c r="C96" s="322">
        <v>62.7</v>
      </c>
      <c r="D96" s="322">
        <v>92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34.200000000000003</v>
      </c>
      <c r="C97" s="322">
        <v>58.2</v>
      </c>
      <c r="D97" s="322">
        <v>93.4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40</v>
      </c>
      <c r="C98" s="322">
        <v>70.599999999999994</v>
      </c>
      <c r="D98" s="322">
        <v>92.2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35.4</v>
      </c>
      <c r="C99" s="322">
        <v>71</v>
      </c>
      <c r="D99" s="322">
        <v>92.8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68.7</v>
      </c>
      <c r="D100" s="322">
        <v>92.8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71.3</v>
      </c>
      <c r="D101" s="322">
        <v>93.5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50</v>
      </c>
      <c r="D102" s="322">
        <v>97</v>
      </c>
      <c r="E102" s="322"/>
      <c r="F102" s="322"/>
      <c r="G102" s="322"/>
      <c r="H102" s="318"/>
    </row>
    <row r="103" spans="1:8" ht="14.5" x14ac:dyDescent="0.35">
      <c r="A103" s="567" t="s">
        <v>360</v>
      </c>
      <c r="B103" s="567"/>
      <c r="C103" s="567"/>
      <c r="D103" s="568"/>
      <c r="E103" s="567"/>
      <c r="F103" s="567"/>
      <c r="G103" s="567"/>
      <c r="H103" s="318"/>
    </row>
    <row r="104" spans="1:8" ht="14.5" x14ac:dyDescent="0.35">
      <c r="A104" s="319"/>
      <c r="B104" s="569" t="s">
        <v>327</v>
      </c>
      <c r="C104" s="569"/>
      <c r="D104" s="569"/>
      <c r="E104" s="569" t="s">
        <v>328</v>
      </c>
      <c r="F104" s="569"/>
      <c r="G104" s="569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27.6</v>
      </c>
      <c r="C106" s="322">
        <v>74.8</v>
      </c>
      <c r="D106" s="322">
        <v>83.3</v>
      </c>
      <c r="E106" s="322">
        <v>55.9</v>
      </c>
      <c r="F106" s="322">
        <v>81.3</v>
      </c>
      <c r="G106" s="322">
        <v>105.3</v>
      </c>
      <c r="H106" s="318"/>
    </row>
    <row r="107" spans="1:8" ht="14.5" x14ac:dyDescent="0.35">
      <c r="A107" s="320">
        <v>2</v>
      </c>
      <c r="B107" s="322">
        <v>41.4</v>
      </c>
      <c r="C107" s="322">
        <v>67.7</v>
      </c>
      <c r="D107" s="322">
        <v>89.3</v>
      </c>
      <c r="E107" s="322">
        <v>38.200000000000003</v>
      </c>
      <c r="F107" s="322">
        <v>64.099999999999994</v>
      </c>
      <c r="G107" s="322">
        <v>97.8</v>
      </c>
      <c r="H107" s="318"/>
    </row>
    <row r="108" spans="1:8" ht="14.5" x14ac:dyDescent="0.35">
      <c r="A108" s="320">
        <v>3</v>
      </c>
      <c r="B108" s="322">
        <v>33.200000000000003</v>
      </c>
      <c r="C108" s="322">
        <v>79.8</v>
      </c>
      <c r="D108" s="322">
        <v>89.4</v>
      </c>
      <c r="E108" s="322"/>
      <c r="F108" s="322">
        <v>63.6</v>
      </c>
      <c r="G108" s="322">
        <v>117.6</v>
      </c>
      <c r="H108" s="318"/>
    </row>
    <row r="109" spans="1:8" ht="14.5" x14ac:dyDescent="0.35">
      <c r="A109" s="320">
        <v>4</v>
      </c>
      <c r="B109" s="322">
        <v>30.1</v>
      </c>
      <c r="C109" s="322">
        <v>56.8</v>
      </c>
      <c r="D109" s="322">
        <v>85.1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42.3</v>
      </c>
      <c r="C110" s="322">
        <v>68.8</v>
      </c>
      <c r="D110" s="322">
        <v>80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41.8</v>
      </c>
      <c r="C111" s="322">
        <v>57.4</v>
      </c>
      <c r="D111" s="322">
        <v>90.7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21.8</v>
      </c>
      <c r="C112" s="322">
        <v>46.6</v>
      </c>
      <c r="D112" s="322">
        <v>89.7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42.3</v>
      </c>
      <c r="C113" s="322">
        <v>61</v>
      </c>
      <c r="D113" s="322">
        <v>92.7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24</v>
      </c>
      <c r="C114" s="322">
        <v>63.4</v>
      </c>
      <c r="D114" s="322">
        <v>88.8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39.9</v>
      </c>
      <c r="C115" s="322">
        <v>51.4</v>
      </c>
      <c r="D115" s="322">
        <v>84.6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38.299999999999997</v>
      </c>
      <c r="C116" s="322">
        <v>59</v>
      </c>
      <c r="D116" s="322">
        <v>94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33.200000000000003</v>
      </c>
      <c r="C117" s="322">
        <v>46.7</v>
      </c>
      <c r="D117" s="322">
        <v>95.3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20.2</v>
      </c>
      <c r="C118" s="322">
        <v>71.900000000000006</v>
      </c>
      <c r="D118" s="322">
        <v>83.7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33</v>
      </c>
      <c r="C119" s="322">
        <v>69.8</v>
      </c>
      <c r="D119" s="322">
        <v>80.900000000000006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41.1</v>
      </c>
      <c r="C120" s="322">
        <v>45.4</v>
      </c>
      <c r="D120" s="322">
        <v>90.6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24.6</v>
      </c>
      <c r="C121" s="322">
        <v>63.8</v>
      </c>
      <c r="D121" s="322">
        <v>82.9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72.5</v>
      </c>
      <c r="D122" s="322">
        <v>96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88.8</v>
      </c>
      <c r="E123" s="322"/>
      <c r="F123" s="322"/>
      <c r="G123" s="322"/>
      <c r="H123" s="318"/>
    </row>
    <row r="124" spans="1:8" ht="14.5" x14ac:dyDescent="0.35">
      <c r="A124" s="567" t="s">
        <v>362</v>
      </c>
      <c r="B124" s="567"/>
      <c r="C124" s="567"/>
      <c r="D124" s="568"/>
      <c r="E124" s="567"/>
      <c r="F124" s="567"/>
      <c r="G124" s="567"/>
      <c r="H124" s="318"/>
    </row>
    <row r="125" spans="1:8" ht="14.5" x14ac:dyDescent="0.35">
      <c r="A125" s="319"/>
      <c r="B125" s="569" t="s">
        <v>327</v>
      </c>
      <c r="C125" s="569"/>
      <c r="D125" s="569"/>
      <c r="E125" s="569" t="s">
        <v>328</v>
      </c>
      <c r="F125" s="569"/>
      <c r="G125" s="569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33.299999999999997</v>
      </c>
      <c r="C127" s="322">
        <v>53.7</v>
      </c>
      <c r="D127" s="322">
        <v>94.6</v>
      </c>
      <c r="E127" s="322">
        <v>47.4</v>
      </c>
      <c r="F127" s="322">
        <v>80.5</v>
      </c>
      <c r="G127" s="322">
        <v>116.6</v>
      </c>
      <c r="H127" s="318"/>
    </row>
    <row r="128" spans="1:8" ht="14.5" x14ac:dyDescent="0.35">
      <c r="A128" s="320">
        <v>2</v>
      </c>
      <c r="B128" s="322">
        <v>20.399999999999999</v>
      </c>
      <c r="C128" s="322">
        <v>66.900000000000006</v>
      </c>
      <c r="D128" s="322">
        <v>98</v>
      </c>
      <c r="E128" s="322">
        <v>46.3</v>
      </c>
      <c r="F128" s="322">
        <v>68</v>
      </c>
      <c r="G128" s="322">
        <v>91</v>
      </c>
      <c r="H128" s="318"/>
    </row>
    <row r="129" spans="1:8" ht="14.5" x14ac:dyDescent="0.35">
      <c r="A129" s="320">
        <v>3</v>
      </c>
      <c r="B129" s="322">
        <v>26.5</v>
      </c>
      <c r="C129" s="322">
        <v>55.6</v>
      </c>
      <c r="D129" s="322">
        <v>90.9</v>
      </c>
      <c r="E129" s="322">
        <v>33.1</v>
      </c>
      <c r="F129" s="322">
        <v>89</v>
      </c>
      <c r="G129" s="322">
        <v>92.7</v>
      </c>
      <c r="H129" s="318"/>
    </row>
    <row r="130" spans="1:8" ht="14.5" x14ac:dyDescent="0.35">
      <c r="A130" s="320">
        <v>4</v>
      </c>
      <c r="B130" s="322">
        <v>29.6</v>
      </c>
      <c r="C130" s="322">
        <v>64.099999999999994</v>
      </c>
      <c r="D130" s="322">
        <v>82.7</v>
      </c>
      <c r="E130" s="322">
        <v>35.4</v>
      </c>
      <c r="F130" s="322">
        <v>85.4</v>
      </c>
      <c r="G130" s="322">
        <v>108.5</v>
      </c>
      <c r="H130" s="318"/>
    </row>
    <row r="131" spans="1:8" ht="14.5" x14ac:dyDescent="0.35">
      <c r="A131" s="320">
        <v>5</v>
      </c>
      <c r="B131" s="322">
        <v>32.200000000000003</v>
      </c>
      <c r="C131" s="322">
        <v>46.3</v>
      </c>
      <c r="D131" s="322">
        <v>84.8</v>
      </c>
      <c r="E131" s="322"/>
      <c r="F131" s="322">
        <v>89.4</v>
      </c>
      <c r="G131" s="322">
        <v>109.6</v>
      </c>
      <c r="H131" s="318"/>
    </row>
    <row r="132" spans="1:8" ht="14.5" x14ac:dyDescent="0.35">
      <c r="A132" s="320">
        <v>6</v>
      </c>
      <c r="B132" s="322">
        <v>31.2</v>
      </c>
      <c r="C132" s="322">
        <v>79</v>
      </c>
      <c r="D132" s="322">
        <v>82.6</v>
      </c>
      <c r="E132" s="322"/>
      <c r="F132" s="322"/>
      <c r="G132" s="322">
        <v>103.2</v>
      </c>
      <c r="H132" s="318"/>
    </row>
    <row r="133" spans="1:8" ht="14.5" x14ac:dyDescent="0.35">
      <c r="A133" s="320">
        <v>7</v>
      </c>
      <c r="B133" s="322">
        <v>44.4</v>
      </c>
      <c r="C133" s="322">
        <v>46.2</v>
      </c>
      <c r="D133" s="322">
        <v>95.4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37.700000000000003</v>
      </c>
      <c r="C134" s="322">
        <v>54.7</v>
      </c>
      <c r="D134" s="322">
        <v>81.3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23.1</v>
      </c>
      <c r="C135" s="322">
        <v>76.7</v>
      </c>
      <c r="D135" s="322">
        <v>92.2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27.4</v>
      </c>
      <c r="C136" s="322">
        <v>50.2</v>
      </c>
      <c r="D136" s="322">
        <v>95.5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33.9</v>
      </c>
      <c r="C137" s="322">
        <v>58.1</v>
      </c>
      <c r="D137" s="322">
        <v>93.8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20.9</v>
      </c>
      <c r="C138" s="322">
        <v>54.4</v>
      </c>
      <c r="D138" s="322">
        <v>87.5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27.8</v>
      </c>
      <c r="C139" s="322">
        <v>58</v>
      </c>
      <c r="D139" s="322">
        <v>80.099999999999994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20.7</v>
      </c>
      <c r="C140" s="322">
        <v>48</v>
      </c>
      <c r="D140" s="322">
        <v>85.4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34.5</v>
      </c>
      <c r="C141" s="322">
        <v>52.7</v>
      </c>
      <c r="D141" s="322">
        <v>82.8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37</v>
      </c>
      <c r="C142" s="322">
        <v>76.599999999999994</v>
      </c>
      <c r="D142" s="322">
        <v>86.2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34.5</v>
      </c>
      <c r="C143" s="322">
        <v>47</v>
      </c>
      <c r="D143" s="322">
        <v>83.3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30.4</v>
      </c>
      <c r="C144" s="322">
        <v>56.7</v>
      </c>
      <c r="D144" s="322">
        <v>92.1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40.1</v>
      </c>
      <c r="C145" s="322">
        <v>56.6</v>
      </c>
      <c r="D145" s="322">
        <v>90.5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39.4</v>
      </c>
      <c r="C146" s="322">
        <v>65.2</v>
      </c>
      <c r="D146" s="322">
        <v>84.2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44.7</v>
      </c>
      <c r="C147" s="322">
        <v>77.2</v>
      </c>
      <c r="D147" s="322">
        <v>98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37.200000000000003</v>
      </c>
      <c r="C148" s="322">
        <v>63.8</v>
      </c>
      <c r="D148" s="322">
        <v>88.6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83.9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94.9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61.1</v>
      </c>
      <c r="C155" s="325">
        <f>ROUNDDOWN(AVERAGE(E6:G45),1)</f>
        <v>77.3</v>
      </c>
      <c r="D155" s="320">
        <v>94502</v>
      </c>
      <c r="E155" s="320">
        <v>12618</v>
      </c>
      <c r="F155" s="325">
        <f>B155*D155</f>
        <v>5774072.2000000002</v>
      </c>
      <c r="G155" s="325">
        <f>C155*E155</f>
        <v>975371.39999999991</v>
      </c>
    </row>
    <row r="156" spans="1:8" ht="13" x14ac:dyDescent="0.25">
      <c r="A156" s="321" t="s">
        <v>356</v>
      </c>
      <c r="B156" s="325">
        <f>ROUNDDOWN(AVERAGE(B49:D73),1)</f>
        <v>64.5</v>
      </c>
      <c r="C156" s="325">
        <f>ROUNDDOWN(AVERAGE(E49:G73),1)</f>
        <v>81</v>
      </c>
      <c r="D156" s="320">
        <v>52390</v>
      </c>
      <c r="E156" s="320">
        <v>6818</v>
      </c>
      <c r="F156" s="325">
        <f t="shared" ref="F156:G159" si="0">B156*D156</f>
        <v>3379155</v>
      </c>
      <c r="G156" s="325">
        <f t="shared" si="0"/>
        <v>552258</v>
      </c>
    </row>
    <row r="157" spans="1:8" ht="13" x14ac:dyDescent="0.25">
      <c r="A157" s="321" t="s">
        <v>358</v>
      </c>
      <c r="B157" s="325">
        <f>ROUNDDOWN(AVERAGE(B77:D102),1)</f>
        <v>62.2</v>
      </c>
      <c r="C157" s="325">
        <f>ROUNDDOWN(AVERAGE(E77:G102),1)</f>
        <v>77.5</v>
      </c>
      <c r="D157" s="320">
        <v>60472</v>
      </c>
      <c r="E157" s="320">
        <v>10094</v>
      </c>
      <c r="F157" s="325">
        <f t="shared" si="0"/>
        <v>3761358.4000000004</v>
      </c>
      <c r="G157" s="325">
        <f t="shared" si="0"/>
        <v>782285</v>
      </c>
    </row>
    <row r="158" spans="1:8" ht="13" x14ac:dyDescent="0.25">
      <c r="A158" s="321" t="s">
        <v>360</v>
      </c>
      <c r="B158" s="325">
        <f>ROUNDDOWN(AVERAGE(B106:D123),1)</f>
        <v>62.3</v>
      </c>
      <c r="C158" s="325">
        <f>ROUNDDOWN(AVERAGE(E106:G123),1)</f>
        <v>77.900000000000006</v>
      </c>
      <c r="D158" s="320">
        <v>40323</v>
      </c>
      <c r="E158" s="320">
        <v>5052</v>
      </c>
      <c r="F158" s="325">
        <f t="shared" si="0"/>
        <v>2512122.9</v>
      </c>
      <c r="G158" s="325">
        <f t="shared" si="0"/>
        <v>393550.80000000005</v>
      </c>
    </row>
    <row r="159" spans="1:8" ht="13" x14ac:dyDescent="0.25">
      <c r="A159" s="321" t="s">
        <v>362</v>
      </c>
      <c r="B159" s="325">
        <f>ROUNDDOWN(AVERAGE(B127:D150),1)</f>
        <v>60.9</v>
      </c>
      <c r="C159" s="325">
        <f>ROUNDDOWN(AVERAGE(E127:G150),1)</f>
        <v>79.7</v>
      </c>
      <c r="D159" s="320">
        <v>54596</v>
      </c>
      <c r="E159" s="320">
        <v>10932</v>
      </c>
      <c r="F159" s="325">
        <f t="shared" si="0"/>
        <v>3324896.4</v>
      </c>
      <c r="G159" s="325">
        <f t="shared" si="0"/>
        <v>871280.4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45514</v>
      </c>
      <c r="F160" s="325">
        <f>SUM(F155:F159)</f>
        <v>18751604.899999999</v>
      </c>
      <c r="G160" s="325">
        <f>SUM(G155:G159)</f>
        <v>3574745.6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</v>
      </c>
      <c r="D165" s="327">
        <f>ROUNDDOWN(G160/E160,1)</f>
        <v>78.5</v>
      </c>
    </row>
  </sheetData>
  <mergeCells count="21">
    <mergeCell ref="B47:D47"/>
    <mergeCell ref="E47:G47"/>
    <mergeCell ref="A1:G1"/>
    <mergeCell ref="A3:G3"/>
    <mergeCell ref="B4:D4"/>
    <mergeCell ref="E4:G4"/>
    <mergeCell ref="A46:G46"/>
    <mergeCell ref="A74:G74"/>
    <mergeCell ref="B75:D75"/>
    <mergeCell ref="E75:G75"/>
    <mergeCell ref="A103:G103"/>
    <mergeCell ref="B104:D104"/>
    <mergeCell ref="E104:G104"/>
    <mergeCell ref="C163:D163"/>
    <mergeCell ref="A124:G124"/>
    <mergeCell ref="B125:D125"/>
    <mergeCell ref="E125:G125"/>
    <mergeCell ref="A153:A154"/>
    <mergeCell ref="B153:C153"/>
    <mergeCell ref="D153:E153"/>
    <mergeCell ref="F153:G153"/>
  </mergeCells>
  <phoneticPr fontId="3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40"/>
  <sheetViews>
    <sheetView topLeftCell="A217" zoomScale="70" zoomScaleNormal="70" workbookViewId="0">
      <selection activeCell="G18" sqref="G18"/>
    </sheetView>
  </sheetViews>
  <sheetFormatPr defaultRowHeight="12.5" x14ac:dyDescent="0.25"/>
  <cols>
    <col min="1" max="1" width="26.1796875" customWidth="1"/>
    <col min="2" max="3" width="15.1796875" customWidth="1"/>
    <col min="4" max="4" width="31.453125" customWidth="1"/>
    <col min="5" max="5" width="61.1796875" customWidth="1"/>
    <col min="7" max="7" width="13.81640625" bestFit="1" customWidth="1"/>
  </cols>
  <sheetData>
    <row r="1" spans="1:6" ht="15.5" x14ac:dyDescent="0.35">
      <c r="A1" s="10" t="s">
        <v>35</v>
      </c>
      <c r="B1" s="10"/>
      <c r="C1" s="1"/>
    </row>
    <row r="2" spans="1:6" ht="15.5" x14ac:dyDescent="0.35">
      <c r="A2" s="10"/>
      <c r="B2" s="10"/>
      <c r="C2" s="1"/>
      <c r="D2" s="20"/>
    </row>
    <row r="3" spans="1:6" ht="15.5" x14ac:dyDescent="0.35">
      <c r="A3" s="10"/>
      <c r="B3" s="10"/>
      <c r="C3" s="1"/>
    </row>
    <row r="4" spans="1:6" ht="13" x14ac:dyDescent="0.3">
      <c r="A4" s="11" t="s">
        <v>36</v>
      </c>
      <c r="B4" s="1"/>
      <c r="C4" s="1"/>
    </row>
    <row r="5" spans="1:6" ht="13" x14ac:dyDescent="0.3">
      <c r="A5" s="1"/>
      <c r="B5" s="1"/>
      <c r="E5" s="23"/>
    </row>
    <row r="6" spans="1:6" ht="13" x14ac:dyDescent="0.3">
      <c r="A6" s="1"/>
      <c r="B6" s="1"/>
      <c r="E6" s="23"/>
    </row>
    <row r="7" spans="1:6" ht="13" x14ac:dyDescent="0.3">
      <c r="A7" s="1"/>
      <c r="B7" s="1"/>
      <c r="E7" s="23"/>
    </row>
    <row r="8" spans="1:6" ht="13" thickBot="1" x14ac:dyDescent="0.3"/>
    <row r="9" spans="1:6" ht="13" x14ac:dyDescent="0.3">
      <c r="A9" s="94" t="s">
        <v>3</v>
      </c>
      <c r="B9" s="95" t="s">
        <v>10</v>
      </c>
      <c r="C9" s="95"/>
      <c r="D9" s="95" t="s">
        <v>2</v>
      </c>
      <c r="E9" s="95" t="s">
        <v>4</v>
      </c>
      <c r="F9" s="8"/>
    </row>
    <row r="10" spans="1:6" ht="13" x14ac:dyDescent="0.3">
      <c r="A10" s="96"/>
      <c r="B10" s="89" t="s">
        <v>110</v>
      </c>
      <c r="C10" s="89" t="s">
        <v>111</v>
      </c>
      <c r="D10" s="89"/>
      <c r="E10" s="90"/>
      <c r="F10" s="8"/>
    </row>
    <row r="11" spans="1:6" x14ac:dyDescent="0.25">
      <c r="A11" s="29"/>
      <c r="B11" s="27"/>
      <c r="C11" s="27"/>
      <c r="D11" s="27"/>
      <c r="E11" s="104"/>
      <c r="F11" s="8"/>
    </row>
    <row r="12" spans="1:6" ht="15.5" x14ac:dyDescent="0.4">
      <c r="A12" s="29" t="s">
        <v>37</v>
      </c>
      <c r="B12" s="153">
        <v>28</v>
      </c>
      <c r="C12" s="153">
        <v>28</v>
      </c>
      <c r="D12" s="91" t="s">
        <v>272</v>
      </c>
      <c r="E12" s="104" t="s">
        <v>206</v>
      </c>
      <c r="F12" s="8"/>
    </row>
    <row r="13" spans="1:6" ht="15" x14ac:dyDescent="0.4">
      <c r="A13" s="29" t="s">
        <v>38</v>
      </c>
      <c r="B13" s="153">
        <v>6.7000000000000002E-4</v>
      </c>
      <c r="C13" s="153">
        <v>6.7000000000000002E-4</v>
      </c>
      <c r="D13" s="91" t="s">
        <v>207</v>
      </c>
      <c r="E13" s="104" t="s">
        <v>208</v>
      </c>
      <c r="F13" s="8"/>
    </row>
    <row r="14" spans="1:6" ht="15.5" x14ac:dyDescent="0.4">
      <c r="A14" s="29" t="s">
        <v>209</v>
      </c>
      <c r="B14" s="154">
        <v>0.75</v>
      </c>
      <c r="C14" s="154">
        <f>B14</f>
        <v>0.75</v>
      </c>
      <c r="D14" s="91" t="s">
        <v>1</v>
      </c>
      <c r="E14" s="104" t="s">
        <v>282</v>
      </c>
      <c r="F14" s="9"/>
    </row>
    <row r="15" spans="1:6" x14ac:dyDescent="0.25">
      <c r="A15" s="29" t="s">
        <v>43</v>
      </c>
      <c r="B15" s="153">
        <v>0.94</v>
      </c>
      <c r="C15" s="153">
        <v>0.94</v>
      </c>
      <c r="D15" s="91" t="s">
        <v>0</v>
      </c>
      <c r="E15" s="104" t="s">
        <v>77</v>
      </c>
      <c r="F15" s="9"/>
    </row>
    <row r="16" spans="1:6" x14ac:dyDescent="0.25">
      <c r="A16" s="29" t="s">
        <v>74</v>
      </c>
      <c r="B16" s="382">
        <f>B14*B15</f>
        <v>0.70499999999999996</v>
      </c>
      <c r="C16" s="382">
        <f>C14*C15</f>
        <v>0.70499999999999996</v>
      </c>
      <c r="D16" s="91" t="s">
        <v>0</v>
      </c>
      <c r="E16" s="104" t="s">
        <v>75</v>
      </c>
      <c r="F16" s="9"/>
    </row>
    <row r="17" spans="1:7" ht="16" x14ac:dyDescent="0.4">
      <c r="A17" s="29" t="s">
        <v>163</v>
      </c>
      <c r="B17" s="153">
        <v>0.28999999999999998</v>
      </c>
      <c r="C17" s="153">
        <v>0.28999999999999998</v>
      </c>
      <c r="D17" s="91" t="s">
        <v>273</v>
      </c>
      <c r="E17" s="104" t="s">
        <v>70</v>
      </c>
      <c r="F17" s="8"/>
    </row>
    <row r="18" spans="1:7" ht="15" customHeight="1" x14ac:dyDescent="0.35">
      <c r="A18" s="29" t="s">
        <v>188</v>
      </c>
      <c r="B18" s="125"/>
      <c r="C18" s="125"/>
      <c r="D18" s="409" t="s">
        <v>103</v>
      </c>
      <c r="E18" s="406" t="s">
        <v>283</v>
      </c>
      <c r="F18" s="8"/>
    </row>
    <row r="19" spans="1:7" ht="15" customHeight="1" x14ac:dyDescent="0.25">
      <c r="A19" s="334" t="s">
        <v>312</v>
      </c>
      <c r="B19" s="125">
        <f>'monitoring results'!F4</f>
        <v>302283</v>
      </c>
      <c r="C19" s="125">
        <f>'monitoring results'!G4</f>
        <v>45922</v>
      </c>
      <c r="D19" s="410"/>
      <c r="E19" s="407"/>
      <c r="F19" s="8"/>
    </row>
    <row r="20" spans="1:7" ht="15" customHeight="1" x14ac:dyDescent="0.25">
      <c r="A20" s="334" t="s">
        <v>313</v>
      </c>
      <c r="B20" s="125">
        <f>'monitoring results'!F5</f>
        <v>302283</v>
      </c>
      <c r="C20" s="125">
        <f>'monitoring results'!G5</f>
        <v>45986</v>
      </c>
      <c r="D20" s="410"/>
      <c r="E20" s="407"/>
      <c r="F20" s="8"/>
    </row>
    <row r="21" spans="1:7" ht="15" customHeight="1" x14ac:dyDescent="0.25">
      <c r="A21" s="334" t="s">
        <v>314</v>
      </c>
      <c r="B21" s="125">
        <f>'monitoring results'!F6</f>
        <v>302283</v>
      </c>
      <c r="C21" s="125">
        <f>'monitoring results'!G6</f>
        <v>45782</v>
      </c>
      <c r="D21" s="410"/>
      <c r="E21" s="407"/>
      <c r="F21" s="8"/>
    </row>
    <row r="22" spans="1:7" ht="15" customHeight="1" x14ac:dyDescent="0.25">
      <c r="A22" s="334" t="s">
        <v>315</v>
      </c>
      <c r="B22" s="125">
        <f>'monitoring results'!F7</f>
        <v>302283</v>
      </c>
      <c r="C22" s="125">
        <f>'monitoring results'!G7</f>
        <v>45704</v>
      </c>
      <c r="D22" s="410"/>
      <c r="E22" s="407"/>
      <c r="F22" s="8"/>
    </row>
    <row r="23" spans="1:7" ht="15" customHeight="1" x14ac:dyDescent="0.25">
      <c r="A23" s="334" t="s">
        <v>316</v>
      </c>
      <c r="B23" s="125">
        <f>'monitoring results'!F8</f>
        <v>302283</v>
      </c>
      <c r="C23" s="125">
        <f>'monitoring results'!G8</f>
        <v>45917</v>
      </c>
      <c r="D23" s="410"/>
      <c r="E23" s="407"/>
      <c r="F23" s="8"/>
    </row>
    <row r="24" spans="1:7" ht="15" customHeight="1" x14ac:dyDescent="0.25">
      <c r="A24" s="334" t="s">
        <v>317</v>
      </c>
      <c r="B24" s="125">
        <f>'monitoring results'!F9</f>
        <v>302283</v>
      </c>
      <c r="C24" s="125">
        <f>'monitoring results'!G9</f>
        <v>46162</v>
      </c>
      <c r="D24" s="410"/>
      <c r="E24" s="407"/>
      <c r="F24" s="8"/>
    </row>
    <row r="25" spans="1:7" ht="15" customHeight="1" x14ac:dyDescent="0.25">
      <c r="A25" s="334" t="s">
        <v>318</v>
      </c>
      <c r="B25" s="125">
        <f>'monitoring results'!F10</f>
        <v>302283</v>
      </c>
      <c r="C25" s="125">
        <f>'monitoring results'!G10</f>
        <v>46217</v>
      </c>
      <c r="D25" s="410"/>
      <c r="E25" s="407"/>
      <c r="F25" s="8"/>
    </row>
    <row r="26" spans="1:7" ht="15" customHeight="1" x14ac:dyDescent="0.25">
      <c r="A26" s="334" t="s">
        <v>319</v>
      </c>
      <c r="B26" s="125">
        <f>'monitoring results'!F11</f>
        <v>302283</v>
      </c>
      <c r="C26" s="125">
        <f>'monitoring results'!G11</f>
        <v>45617</v>
      </c>
      <c r="D26" s="410"/>
      <c r="E26" s="407"/>
      <c r="F26" s="8"/>
      <c r="G26" s="127"/>
    </row>
    <row r="27" spans="1:7" ht="15" customHeight="1" x14ac:dyDescent="0.25">
      <c r="A27" s="334" t="s">
        <v>323</v>
      </c>
      <c r="B27" s="125">
        <f>'monitoring results'!F12</f>
        <v>302283</v>
      </c>
      <c r="C27" s="125">
        <f>'monitoring results'!G12</f>
        <v>46288</v>
      </c>
      <c r="D27" s="410"/>
      <c r="E27" s="407"/>
      <c r="F27" s="8"/>
    </row>
    <row r="28" spans="1:7" ht="15" customHeight="1" x14ac:dyDescent="0.25">
      <c r="A28" s="334" t="s">
        <v>324</v>
      </c>
      <c r="B28" s="125">
        <f>'monitoring results'!F13</f>
        <v>302283</v>
      </c>
      <c r="C28" s="125">
        <f>'monitoring results'!G13</f>
        <v>46031</v>
      </c>
      <c r="D28" s="410"/>
      <c r="E28" s="407"/>
      <c r="F28" s="8"/>
      <c r="G28" s="127"/>
    </row>
    <row r="29" spans="1:7" ht="15" customHeight="1" x14ac:dyDescent="0.25">
      <c r="A29" s="334" t="s">
        <v>352</v>
      </c>
      <c r="B29" s="125">
        <f>'monitoring results'!F14</f>
        <v>302283</v>
      </c>
      <c r="C29" s="125">
        <f>'monitoring results'!G14</f>
        <v>46416</v>
      </c>
      <c r="D29" s="410"/>
      <c r="E29" s="407"/>
      <c r="F29" s="8"/>
      <c r="G29" s="127"/>
    </row>
    <row r="30" spans="1:7" ht="15" customHeight="1" x14ac:dyDescent="0.25">
      <c r="A30" s="334" t="s">
        <v>353</v>
      </c>
      <c r="B30" s="125">
        <f>'monitoring results'!F15</f>
        <v>302283</v>
      </c>
      <c r="C30" s="125">
        <f>'monitoring results'!G15</f>
        <v>45514</v>
      </c>
      <c r="D30" s="411"/>
      <c r="E30" s="408"/>
      <c r="F30" s="8"/>
      <c r="G30" s="127"/>
    </row>
    <row r="31" spans="1:7" ht="15" customHeight="1" x14ac:dyDescent="0.35">
      <c r="A31" s="97" t="s">
        <v>164</v>
      </c>
      <c r="B31" s="92"/>
      <c r="C31" s="92"/>
      <c r="D31" s="409" t="s">
        <v>190</v>
      </c>
      <c r="E31" s="434" t="s">
        <v>189</v>
      </c>
      <c r="F31" s="8"/>
    </row>
    <row r="32" spans="1:7" ht="15" customHeight="1" x14ac:dyDescent="0.25">
      <c r="A32" s="334" t="str">
        <f>A19</f>
        <v>2022/01/01-2022/01/31</v>
      </c>
      <c r="B32" s="92">
        <f ca="1">'monitoring results'!H4</f>
        <v>62.8</v>
      </c>
      <c r="C32" s="92">
        <f ca="1">'monitoring results'!I4</f>
        <v>80.2</v>
      </c>
      <c r="D32" s="410"/>
      <c r="E32" s="435"/>
      <c r="F32" s="8"/>
    </row>
    <row r="33" spans="1:6" ht="15" customHeight="1" x14ac:dyDescent="0.25">
      <c r="A33" s="334" t="str">
        <f t="shared" ref="A33:A43" si="0">A20</f>
        <v>2022/02/01-2022/02/28</v>
      </c>
      <c r="B33" s="92">
        <f ca="1">'monitoring results'!H5</f>
        <v>62.1</v>
      </c>
      <c r="C33" s="92">
        <f ca="1">'monitoring results'!I5</f>
        <v>79.5</v>
      </c>
      <c r="D33" s="410"/>
      <c r="E33" s="435"/>
      <c r="F33" s="8"/>
    </row>
    <row r="34" spans="1:6" ht="15" customHeight="1" x14ac:dyDescent="0.25">
      <c r="A34" s="334" t="str">
        <f t="shared" si="0"/>
        <v>2022/03/01-2022/03/31</v>
      </c>
      <c r="B34" s="92">
        <f ca="1">'monitoring results'!H6</f>
        <v>62.7</v>
      </c>
      <c r="C34" s="92">
        <f ca="1">'monitoring results'!I6</f>
        <v>80</v>
      </c>
      <c r="D34" s="410"/>
      <c r="E34" s="435"/>
      <c r="F34" s="8"/>
    </row>
    <row r="35" spans="1:6" ht="15" customHeight="1" x14ac:dyDescent="0.25">
      <c r="A35" s="334" t="str">
        <f t="shared" si="0"/>
        <v>2022/04/01-2022/04/30</v>
      </c>
      <c r="B35" s="92">
        <f ca="1">'monitoring results'!H7</f>
        <v>62.1</v>
      </c>
      <c r="C35" s="92">
        <f ca="1">'monitoring results'!I7</f>
        <v>78.900000000000006</v>
      </c>
      <c r="D35" s="410"/>
      <c r="E35" s="435"/>
      <c r="F35" s="8"/>
    </row>
    <row r="36" spans="1:6" ht="15" customHeight="1" x14ac:dyDescent="0.25">
      <c r="A36" s="334" t="str">
        <f t="shared" si="0"/>
        <v>2022/05/01-2022/05/31</v>
      </c>
      <c r="B36" s="92">
        <f ca="1">'monitoring results'!H8</f>
        <v>61.9</v>
      </c>
      <c r="C36" s="92">
        <f ca="1">'monitoring results'!I8</f>
        <v>80</v>
      </c>
      <c r="D36" s="410"/>
      <c r="E36" s="435"/>
      <c r="F36" s="8"/>
    </row>
    <row r="37" spans="1:6" ht="15" customHeight="1" x14ac:dyDescent="0.25">
      <c r="A37" s="334" t="str">
        <f t="shared" si="0"/>
        <v>2022/06/01-2022/06/30</v>
      </c>
      <c r="B37" s="92">
        <f ca="1">'monitoring results'!H9</f>
        <v>62.6</v>
      </c>
      <c r="C37" s="92">
        <f ca="1">'monitoring results'!I9</f>
        <v>80.400000000000006</v>
      </c>
      <c r="D37" s="410"/>
      <c r="E37" s="435"/>
      <c r="F37" s="8"/>
    </row>
    <row r="38" spans="1:6" ht="15" customHeight="1" x14ac:dyDescent="0.25">
      <c r="A38" s="334" t="str">
        <f t="shared" si="0"/>
        <v>2022/07/01-2022/07/31</v>
      </c>
      <c r="B38" s="92">
        <f ca="1">'monitoring results'!H10</f>
        <v>62.5</v>
      </c>
      <c r="C38" s="92">
        <f ca="1">'monitoring results'!I10</f>
        <v>79.8</v>
      </c>
      <c r="D38" s="410"/>
      <c r="E38" s="435"/>
      <c r="F38" s="8"/>
    </row>
    <row r="39" spans="1:6" ht="15" customHeight="1" x14ac:dyDescent="0.25">
      <c r="A39" s="334" t="str">
        <f t="shared" si="0"/>
        <v>2022/08/01-2022/08/31</v>
      </c>
      <c r="B39" s="92">
        <f ca="1">'monitoring results'!H11</f>
        <v>62.7</v>
      </c>
      <c r="C39" s="92">
        <f ca="1">'monitoring results'!I11</f>
        <v>80.5</v>
      </c>
      <c r="D39" s="410"/>
      <c r="E39" s="435"/>
      <c r="F39" s="8"/>
    </row>
    <row r="40" spans="1:6" ht="15" customHeight="1" x14ac:dyDescent="0.25">
      <c r="A40" s="334" t="str">
        <f t="shared" si="0"/>
        <v>2022/09/01-2022/09/30</v>
      </c>
      <c r="B40" s="92">
        <f ca="1">'monitoring results'!H12</f>
        <v>62.3</v>
      </c>
      <c r="C40" s="92">
        <f ca="1">'monitoring results'!I12</f>
        <v>79.3</v>
      </c>
      <c r="D40" s="410"/>
      <c r="E40" s="435"/>
      <c r="F40" s="8"/>
    </row>
    <row r="41" spans="1:6" ht="15" customHeight="1" x14ac:dyDescent="0.25">
      <c r="A41" s="334" t="str">
        <f t="shared" si="0"/>
        <v>2022/10/01-2022/10/31</v>
      </c>
      <c r="B41" s="92">
        <f ca="1">'monitoring results'!H13</f>
        <v>62.1</v>
      </c>
      <c r="C41" s="92">
        <f ca="1">'monitoring results'!I13</f>
        <v>80</v>
      </c>
      <c r="D41" s="410"/>
      <c r="E41" s="435"/>
      <c r="F41" s="8"/>
    </row>
    <row r="42" spans="1:6" ht="15" customHeight="1" x14ac:dyDescent="0.25">
      <c r="A42" s="334" t="str">
        <f t="shared" si="0"/>
        <v>2022/11/01-2022/11/30</v>
      </c>
      <c r="B42" s="92">
        <f ca="1">'monitoring results'!H14</f>
        <v>62.2</v>
      </c>
      <c r="C42" s="92">
        <f ca="1">'monitoring results'!I14</f>
        <v>80.5</v>
      </c>
      <c r="D42" s="410"/>
      <c r="E42" s="435"/>
      <c r="F42" s="8"/>
    </row>
    <row r="43" spans="1:6" ht="15" customHeight="1" x14ac:dyDescent="0.25">
      <c r="A43" s="334" t="str">
        <f t="shared" si="0"/>
        <v>2022/12/01-2022/12/31</v>
      </c>
      <c r="B43" s="92">
        <f ca="1">'monitoring results'!H15</f>
        <v>62</v>
      </c>
      <c r="C43" s="92">
        <f ca="1">'monitoring results'!I15</f>
        <v>78.5</v>
      </c>
      <c r="D43" s="411"/>
      <c r="E43" s="436"/>
      <c r="F43" s="8"/>
    </row>
    <row r="44" spans="1:6" ht="15" customHeight="1" x14ac:dyDescent="0.4">
      <c r="A44" s="29" t="s">
        <v>210</v>
      </c>
      <c r="B44" s="93">
        <f>B131</f>
        <v>28</v>
      </c>
      <c r="C44" s="93">
        <f>C131</f>
        <v>28</v>
      </c>
      <c r="D44" s="91" t="s">
        <v>190</v>
      </c>
      <c r="E44" s="104" t="s">
        <v>70</v>
      </c>
      <c r="F44" s="8"/>
    </row>
    <row r="45" spans="1:6" x14ac:dyDescent="0.25">
      <c r="A45" s="98" t="s">
        <v>66</v>
      </c>
      <c r="B45" s="153">
        <v>0.3</v>
      </c>
      <c r="C45" s="153">
        <v>0.3</v>
      </c>
      <c r="D45" s="91" t="s">
        <v>6</v>
      </c>
      <c r="E45" s="104" t="str">
        <f>E17</f>
        <v>2006 IPCC guideline, volume 4, chapter 10, tbl. 10A-7</v>
      </c>
      <c r="F45" s="8"/>
    </row>
    <row r="46" spans="1:6" ht="20.5" customHeight="1" x14ac:dyDescent="0.35">
      <c r="A46" s="98" t="s">
        <v>168</v>
      </c>
      <c r="B46" s="155"/>
      <c r="C46" s="155"/>
      <c r="D46" s="91"/>
      <c r="E46" s="406" t="s">
        <v>191</v>
      </c>
      <c r="F46" s="8"/>
    </row>
    <row r="47" spans="1:6" x14ac:dyDescent="0.25">
      <c r="A47" s="334" t="str">
        <f>A19</f>
        <v>2022/01/01-2022/01/31</v>
      </c>
      <c r="B47" s="155">
        <f ca="1">(B32/$B$44)*$B$45*B61</f>
        <v>20.858571428571427</v>
      </c>
      <c r="C47" s="155">
        <f ca="1">(C32/$C$44)*$C$45*C61</f>
        <v>26.637857142857143</v>
      </c>
      <c r="D47" s="409" t="s">
        <v>162</v>
      </c>
      <c r="E47" s="407"/>
      <c r="F47" s="8"/>
    </row>
    <row r="48" spans="1:6" x14ac:dyDescent="0.25">
      <c r="A48" s="334" t="str">
        <f t="shared" ref="A48:A58" si="1">A20</f>
        <v>2022/02/01-2022/02/28</v>
      </c>
      <c r="B48" s="155">
        <f t="shared" ref="B48:B58" ca="1" si="2">(B33/$B$44)*$B$45*B62</f>
        <v>18.63</v>
      </c>
      <c r="C48" s="155">
        <f t="shared" ref="C48:C58" ca="1" si="3">(C33/$C$44)*$C$45*C62</f>
        <v>23.849999999999998</v>
      </c>
      <c r="D48" s="410"/>
      <c r="E48" s="407"/>
      <c r="F48" s="8"/>
    </row>
    <row r="49" spans="1:7" x14ac:dyDescent="0.25">
      <c r="A49" s="334" t="str">
        <f t="shared" si="1"/>
        <v>2022/03/01-2022/03/31</v>
      </c>
      <c r="B49" s="155">
        <f t="shared" ca="1" si="2"/>
        <v>20.825357142857143</v>
      </c>
      <c r="C49" s="155">
        <f t="shared" ca="1" si="3"/>
        <v>26.571428571428569</v>
      </c>
      <c r="D49" s="410"/>
      <c r="E49" s="407"/>
      <c r="F49" s="8"/>
    </row>
    <row r="50" spans="1:7" x14ac:dyDescent="0.25">
      <c r="A50" s="334" t="str">
        <f t="shared" si="1"/>
        <v>2022/04/01-2022/04/30</v>
      </c>
      <c r="B50" s="155">
        <f t="shared" ca="1" si="2"/>
        <v>19.960714285714285</v>
      </c>
      <c r="C50" s="155">
        <f t="shared" ca="1" si="3"/>
        <v>25.360714285714288</v>
      </c>
      <c r="D50" s="410"/>
      <c r="E50" s="407"/>
      <c r="F50" s="8"/>
    </row>
    <row r="51" spans="1:7" x14ac:dyDescent="0.25">
      <c r="A51" s="334" t="str">
        <f t="shared" si="1"/>
        <v>2022/05/01-2022/05/31</v>
      </c>
      <c r="B51" s="155">
        <f t="shared" ca="1" si="2"/>
        <v>20.559642857142858</v>
      </c>
      <c r="C51" s="155">
        <f t="shared" ca="1" si="3"/>
        <v>26.571428571428569</v>
      </c>
      <c r="D51" s="410"/>
      <c r="E51" s="407"/>
      <c r="F51" s="8"/>
    </row>
    <row r="52" spans="1:7" x14ac:dyDescent="0.25">
      <c r="A52" s="334" t="str">
        <f t="shared" si="1"/>
        <v>2022/06/01-2022/06/30</v>
      </c>
      <c r="B52" s="155">
        <f t="shared" ca="1" si="2"/>
        <v>20.12142857142857</v>
      </c>
      <c r="C52" s="155">
        <f t="shared" ca="1" si="3"/>
        <v>25.842857142857142</v>
      </c>
      <c r="D52" s="410"/>
      <c r="E52" s="407"/>
      <c r="F52" s="8"/>
      <c r="G52" s="127"/>
    </row>
    <row r="53" spans="1:7" x14ac:dyDescent="0.25">
      <c r="A53" s="334" t="str">
        <f t="shared" si="1"/>
        <v>2022/07/01-2022/07/31</v>
      </c>
      <c r="B53" s="155">
        <f t="shared" ca="1" si="2"/>
        <v>20.758928571428569</v>
      </c>
      <c r="C53" s="155">
        <f t="shared" ca="1" si="3"/>
        <v>26.504999999999999</v>
      </c>
      <c r="D53" s="410"/>
      <c r="E53" s="407"/>
      <c r="F53" s="8"/>
      <c r="G53" s="127"/>
    </row>
    <row r="54" spans="1:7" x14ac:dyDescent="0.25">
      <c r="A54" s="334" t="str">
        <f t="shared" si="1"/>
        <v>2022/08/01-2022/08/31</v>
      </c>
      <c r="B54" s="155">
        <f t="shared" ca="1" si="2"/>
        <v>20.825357142857143</v>
      </c>
      <c r="C54" s="155">
        <f t="shared" ca="1" si="3"/>
        <v>26.737499999999997</v>
      </c>
      <c r="D54" s="410"/>
      <c r="E54" s="407"/>
      <c r="F54" s="8"/>
    </row>
    <row r="55" spans="1:7" x14ac:dyDescent="0.25">
      <c r="A55" s="334" t="str">
        <f t="shared" si="1"/>
        <v>2022/09/01-2022/09/30</v>
      </c>
      <c r="B55" s="155">
        <f t="shared" ca="1" si="2"/>
        <v>20.024999999999999</v>
      </c>
      <c r="C55" s="155">
        <f t="shared" ca="1" si="3"/>
        <v>25.48928571428571</v>
      </c>
      <c r="D55" s="410"/>
      <c r="E55" s="407"/>
      <c r="F55" s="8"/>
    </row>
    <row r="56" spans="1:7" x14ac:dyDescent="0.25">
      <c r="A56" s="334" t="str">
        <f t="shared" si="1"/>
        <v>2022/10/01-2022/10/31</v>
      </c>
      <c r="B56" s="155">
        <f t="shared" ca="1" si="2"/>
        <v>20.626071428571429</v>
      </c>
      <c r="C56" s="155">
        <f t="shared" ca="1" si="3"/>
        <v>26.571428571428569</v>
      </c>
      <c r="D56" s="410"/>
      <c r="E56" s="407"/>
      <c r="F56" s="8"/>
    </row>
    <row r="57" spans="1:7" x14ac:dyDescent="0.25">
      <c r="A57" s="334" t="str">
        <f t="shared" si="1"/>
        <v>2022/11/01-2022/11/30</v>
      </c>
      <c r="B57" s="155">
        <f t="shared" ca="1" si="2"/>
        <v>19.992857142857144</v>
      </c>
      <c r="C57" s="155">
        <f t="shared" ca="1" si="3"/>
        <v>25.874999999999996</v>
      </c>
      <c r="D57" s="410"/>
      <c r="E57" s="407"/>
      <c r="F57" s="8"/>
    </row>
    <row r="58" spans="1:7" x14ac:dyDescent="0.25">
      <c r="A58" s="334" t="str">
        <f t="shared" si="1"/>
        <v>2022/12/01-2022/12/31</v>
      </c>
      <c r="B58" s="155">
        <f t="shared" ca="1" si="2"/>
        <v>20.592857142857142</v>
      </c>
      <c r="C58" s="155">
        <f t="shared" ca="1" si="3"/>
        <v>26.073214285714283</v>
      </c>
      <c r="D58" s="411"/>
      <c r="E58" s="408"/>
      <c r="F58" s="8"/>
    </row>
    <row r="59" spans="1:7" ht="13.5" x14ac:dyDescent="0.35">
      <c r="A59" s="29" t="s">
        <v>167</v>
      </c>
      <c r="B59" s="154">
        <v>1</v>
      </c>
      <c r="C59" s="154">
        <v>1</v>
      </c>
      <c r="D59" s="91" t="s">
        <v>1</v>
      </c>
      <c r="E59" s="104" t="s">
        <v>192</v>
      </c>
      <c r="F59" s="8"/>
    </row>
    <row r="60" spans="1:7" ht="15.5" x14ac:dyDescent="0.4">
      <c r="A60" s="29" t="s">
        <v>284</v>
      </c>
      <c r="B60" s="153"/>
      <c r="C60" s="153"/>
      <c r="D60" s="409" t="s">
        <v>73</v>
      </c>
      <c r="E60" s="406" t="s">
        <v>257</v>
      </c>
      <c r="F60" s="8"/>
    </row>
    <row r="61" spans="1:7" x14ac:dyDescent="0.25">
      <c r="A61" s="334" t="str">
        <f>A19</f>
        <v>2022/01/01-2022/01/31</v>
      </c>
      <c r="B61" s="153" t="str">
        <f>REPLACE(A61,1,19,"")</f>
        <v>31</v>
      </c>
      <c r="C61" s="153" t="str">
        <f>B61</f>
        <v>31</v>
      </c>
      <c r="D61" s="410"/>
      <c r="E61" s="407"/>
      <c r="F61" s="8"/>
    </row>
    <row r="62" spans="1:7" x14ac:dyDescent="0.25">
      <c r="A62" s="334" t="str">
        <f t="shared" ref="A62:A72" si="4">A20</f>
        <v>2022/02/01-2022/02/28</v>
      </c>
      <c r="B62" s="153" t="str">
        <f t="shared" ref="B62:B72" si="5">REPLACE(A62,1,19,"")</f>
        <v>28</v>
      </c>
      <c r="C62" s="153" t="str">
        <f>B62</f>
        <v>28</v>
      </c>
      <c r="D62" s="410"/>
      <c r="E62" s="407"/>
      <c r="F62" s="8"/>
    </row>
    <row r="63" spans="1:7" x14ac:dyDescent="0.25">
      <c r="A63" s="334" t="str">
        <f t="shared" si="4"/>
        <v>2022/03/01-2022/03/31</v>
      </c>
      <c r="B63" s="153" t="str">
        <f t="shared" si="5"/>
        <v>31</v>
      </c>
      <c r="C63" s="153" t="str">
        <f t="shared" ref="C63:C72" si="6">B63</f>
        <v>31</v>
      </c>
      <c r="D63" s="410"/>
      <c r="E63" s="407"/>
      <c r="F63" s="8"/>
    </row>
    <row r="64" spans="1:7" x14ac:dyDescent="0.25">
      <c r="A64" s="334" t="str">
        <f t="shared" si="4"/>
        <v>2022/04/01-2022/04/30</v>
      </c>
      <c r="B64" s="153" t="str">
        <f t="shared" si="5"/>
        <v>30</v>
      </c>
      <c r="C64" s="153" t="str">
        <f t="shared" si="6"/>
        <v>30</v>
      </c>
      <c r="D64" s="410"/>
      <c r="E64" s="407"/>
      <c r="F64" s="8"/>
    </row>
    <row r="65" spans="1:6" x14ac:dyDescent="0.25">
      <c r="A65" s="334" t="str">
        <f t="shared" si="4"/>
        <v>2022/05/01-2022/05/31</v>
      </c>
      <c r="B65" s="153" t="str">
        <f t="shared" si="5"/>
        <v>31</v>
      </c>
      <c r="C65" s="153" t="str">
        <f t="shared" si="6"/>
        <v>31</v>
      </c>
      <c r="D65" s="410"/>
      <c r="E65" s="407"/>
      <c r="F65" s="8"/>
    </row>
    <row r="66" spans="1:6" x14ac:dyDescent="0.25">
      <c r="A66" s="334" t="str">
        <f t="shared" si="4"/>
        <v>2022/06/01-2022/06/30</v>
      </c>
      <c r="B66" s="153" t="str">
        <f t="shared" si="5"/>
        <v>30</v>
      </c>
      <c r="C66" s="153" t="str">
        <f t="shared" si="6"/>
        <v>30</v>
      </c>
      <c r="D66" s="410"/>
      <c r="E66" s="407"/>
      <c r="F66" s="8"/>
    </row>
    <row r="67" spans="1:6" x14ac:dyDescent="0.25">
      <c r="A67" s="334" t="str">
        <f t="shared" si="4"/>
        <v>2022/07/01-2022/07/31</v>
      </c>
      <c r="B67" s="153" t="str">
        <f t="shared" si="5"/>
        <v>31</v>
      </c>
      <c r="C67" s="153" t="str">
        <f t="shared" si="6"/>
        <v>31</v>
      </c>
      <c r="D67" s="410"/>
      <c r="E67" s="407"/>
      <c r="F67" s="8"/>
    </row>
    <row r="68" spans="1:6" x14ac:dyDescent="0.25">
      <c r="A68" s="334" t="str">
        <f t="shared" si="4"/>
        <v>2022/08/01-2022/08/31</v>
      </c>
      <c r="B68" s="153" t="str">
        <f t="shared" si="5"/>
        <v>31</v>
      </c>
      <c r="C68" s="153" t="str">
        <f t="shared" si="6"/>
        <v>31</v>
      </c>
      <c r="D68" s="410"/>
      <c r="E68" s="407"/>
      <c r="F68" s="8"/>
    </row>
    <row r="69" spans="1:6" x14ac:dyDescent="0.25">
      <c r="A69" s="334" t="str">
        <f t="shared" si="4"/>
        <v>2022/09/01-2022/09/30</v>
      </c>
      <c r="B69" s="153" t="str">
        <f t="shared" si="5"/>
        <v>30</v>
      </c>
      <c r="C69" s="153" t="str">
        <f t="shared" si="6"/>
        <v>30</v>
      </c>
      <c r="D69" s="410"/>
      <c r="E69" s="407"/>
      <c r="F69" s="8"/>
    </row>
    <row r="70" spans="1:6" x14ac:dyDescent="0.25">
      <c r="A70" s="334" t="str">
        <f t="shared" si="4"/>
        <v>2022/10/01-2022/10/31</v>
      </c>
      <c r="B70" s="153" t="str">
        <f t="shared" si="5"/>
        <v>31</v>
      </c>
      <c r="C70" s="153" t="str">
        <f t="shared" si="6"/>
        <v>31</v>
      </c>
      <c r="D70" s="410"/>
      <c r="E70" s="407"/>
      <c r="F70" s="8"/>
    </row>
    <row r="71" spans="1:6" x14ac:dyDescent="0.25">
      <c r="A71" s="334" t="str">
        <f t="shared" si="4"/>
        <v>2022/11/01-2022/11/30</v>
      </c>
      <c r="B71" s="153" t="str">
        <f t="shared" si="5"/>
        <v>30</v>
      </c>
      <c r="C71" s="153" t="str">
        <f t="shared" si="6"/>
        <v>30</v>
      </c>
      <c r="D71" s="410"/>
      <c r="E71" s="407"/>
      <c r="F71" s="8"/>
    </row>
    <row r="72" spans="1:6" x14ac:dyDescent="0.25">
      <c r="A72" s="334" t="str">
        <f t="shared" si="4"/>
        <v>2022/12/01-2022/12/31</v>
      </c>
      <c r="B72" s="153" t="str">
        <f t="shared" si="5"/>
        <v>31</v>
      </c>
      <c r="C72" s="153" t="str">
        <f t="shared" si="6"/>
        <v>31</v>
      </c>
      <c r="D72" s="411"/>
      <c r="E72" s="408"/>
      <c r="F72" s="8"/>
    </row>
    <row r="73" spans="1:6" x14ac:dyDescent="0.25">
      <c r="A73" s="126"/>
      <c r="B73" s="153"/>
      <c r="C73" s="153"/>
      <c r="D73" s="91"/>
      <c r="E73" s="104"/>
      <c r="F73" s="8"/>
    </row>
    <row r="74" spans="1:6" ht="15.5" x14ac:dyDescent="0.4">
      <c r="A74" s="334" t="str">
        <f>A19</f>
        <v>2022/01/01-2022/01/31</v>
      </c>
      <c r="B74" s="156">
        <f ca="1">$B$12*$B$13*$B$16*$B$17*B19*B47*$B$59</f>
        <v>24183.448685618572</v>
      </c>
      <c r="C74" s="156">
        <f ca="1">$C$12*$C$13*$C$16*$C$17*C19*C47*$C$59</f>
        <v>4691.8058094559792</v>
      </c>
      <c r="D74" s="91" t="s">
        <v>211</v>
      </c>
      <c r="E74" s="406" t="s">
        <v>194</v>
      </c>
      <c r="F74" s="8"/>
    </row>
    <row r="75" spans="1:6" ht="15.5" x14ac:dyDescent="0.4">
      <c r="A75" s="334" t="str">
        <f t="shared" ref="A75:A85" si="7">A20</f>
        <v>2022/02/01-2022/02/28</v>
      </c>
      <c r="B75" s="156">
        <f ca="1">$B$12*$B$13*$B$16*$B$17*B20*B48*$B$59</f>
        <v>21599.640730713774</v>
      </c>
      <c r="C75" s="156">
        <f t="shared" ref="C75:C85" ca="1" si="8">$C$12*$C$13*$C$16*$C$17*C20*C48*$C$59</f>
        <v>4206.6266347601986</v>
      </c>
      <c r="D75" s="91" t="s">
        <v>211</v>
      </c>
      <c r="E75" s="407"/>
      <c r="F75" s="8"/>
    </row>
    <row r="76" spans="1:6" ht="15.5" x14ac:dyDescent="0.4">
      <c r="A76" s="334" t="str">
        <f t="shared" si="7"/>
        <v>2022/03/01-2022/03/31</v>
      </c>
      <c r="B76" s="156">
        <f t="shared" ref="B76:B85" ca="1" si="9">$B$12*$B$13*$B$16*$B$17*B21*B49*$B$59</f>
        <v>24144.94000936759</v>
      </c>
      <c r="C76" s="156">
        <f t="shared" ca="1" si="8"/>
        <v>4665.8375525519987</v>
      </c>
      <c r="D76" s="91" t="s">
        <v>211</v>
      </c>
      <c r="E76" s="407"/>
      <c r="F76" s="8"/>
    </row>
    <row r="77" spans="1:6" ht="15.5" x14ac:dyDescent="0.4">
      <c r="A77" s="334" t="str">
        <f t="shared" si="7"/>
        <v>2022/04/01-2022/04/30</v>
      </c>
      <c r="B77" s="156">
        <f t="shared" ca="1" si="9"/>
        <v>23142.472211479046</v>
      </c>
      <c r="C77" s="156">
        <f t="shared" ca="1" si="8"/>
        <v>4445.6538182075992</v>
      </c>
      <c r="D77" s="91" t="s">
        <v>211</v>
      </c>
      <c r="E77" s="407"/>
      <c r="F77" s="8"/>
    </row>
    <row r="78" spans="1:6" ht="15.5" x14ac:dyDescent="0.4">
      <c r="A78" s="334" t="str">
        <f t="shared" si="7"/>
        <v>2022/05/01-2022/05/31</v>
      </c>
      <c r="B78" s="156">
        <f t="shared" ca="1" si="9"/>
        <v>23836.87059935971</v>
      </c>
      <c r="C78" s="156">
        <f t="shared" ca="1" si="8"/>
        <v>4679.5959744119991</v>
      </c>
      <c r="D78" s="91" t="s">
        <v>211</v>
      </c>
      <c r="E78" s="407"/>
      <c r="F78" s="8"/>
    </row>
    <row r="79" spans="1:6" ht="15.5" x14ac:dyDescent="0.4">
      <c r="A79" s="334" t="str">
        <f t="shared" si="7"/>
        <v>2022/06/01-2022/06/30</v>
      </c>
      <c r="B79" s="156">
        <f t="shared" ca="1" si="9"/>
        <v>23328.804515919292</v>
      </c>
      <c r="C79" s="156">
        <f t="shared" ca="1" si="8"/>
        <v>4575.5688261707983</v>
      </c>
      <c r="D79" s="91" t="s">
        <v>211</v>
      </c>
      <c r="E79" s="407"/>
      <c r="F79" s="8"/>
    </row>
    <row r="80" spans="1:6" ht="15.5" x14ac:dyDescent="0.4">
      <c r="A80" s="334" t="str">
        <f t="shared" si="7"/>
        <v>2022/07/01-2022/07/31</v>
      </c>
      <c r="B80" s="156">
        <f t="shared" ca="1" si="9"/>
        <v>24067.922656865616</v>
      </c>
      <c r="C80" s="156">
        <f t="shared" ca="1" si="8"/>
        <v>4698.3948195989688</v>
      </c>
      <c r="D80" s="91" t="s">
        <v>211</v>
      </c>
      <c r="E80" s="407"/>
      <c r="F80" s="8"/>
    </row>
    <row r="81" spans="1:6" ht="15.5" x14ac:dyDescent="0.4">
      <c r="A81" s="334" t="str">
        <f t="shared" si="7"/>
        <v>2022/08/01-2022/08/31</v>
      </c>
      <c r="B81" s="156">
        <f t="shared" ca="1" si="9"/>
        <v>24144.94000936759</v>
      </c>
      <c r="C81" s="156">
        <f t="shared" ca="1" si="8"/>
        <v>4678.0780892595731</v>
      </c>
      <c r="D81" s="91" t="s">
        <v>211</v>
      </c>
      <c r="E81" s="407"/>
      <c r="F81" s="8"/>
    </row>
    <row r="82" spans="1:6" ht="15.5" x14ac:dyDescent="0.4">
      <c r="A82" s="334" t="str">
        <f t="shared" si="7"/>
        <v>2022/09/01-2022/09/30</v>
      </c>
      <c r="B82" s="156">
        <f t="shared" ca="1" si="9"/>
        <v>23217.005133255145</v>
      </c>
      <c r="C82" s="156">
        <f t="shared" ca="1" si="8"/>
        <v>4525.2859859063983</v>
      </c>
      <c r="D82" s="91" t="s">
        <v>211</v>
      </c>
      <c r="E82" s="407"/>
      <c r="F82" s="8"/>
    </row>
    <row r="83" spans="1:6" ht="15.5" x14ac:dyDescent="0.4">
      <c r="A83" s="334" t="str">
        <f t="shared" si="7"/>
        <v>2022/10/01-2022/10/31</v>
      </c>
      <c r="B83" s="156">
        <f t="shared" ca="1" si="9"/>
        <v>23913.887951861681</v>
      </c>
      <c r="C83" s="156">
        <f t="shared" ca="1" si="8"/>
        <v>4691.2141973159987</v>
      </c>
      <c r="D83" s="91" t="s">
        <v>211</v>
      </c>
      <c r="E83" s="407"/>
      <c r="F83" s="8"/>
    </row>
    <row r="84" spans="1:6" ht="15.5" x14ac:dyDescent="0.4">
      <c r="A84" s="334" t="str">
        <f t="shared" si="7"/>
        <v>2022/11/01-2022/11/30</v>
      </c>
      <c r="B84" s="156">
        <f t="shared" ca="1" si="9"/>
        <v>23179.738672367097</v>
      </c>
      <c r="C84" s="156">
        <f t="shared" ca="1" si="8"/>
        <v>4606.4675787479982</v>
      </c>
      <c r="D84" s="91" t="s">
        <v>211</v>
      </c>
      <c r="E84" s="407"/>
      <c r="F84" s="8"/>
    </row>
    <row r="85" spans="1:6" ht="15.5" x14ac:dyDescent="0.4">
      <c r="A85" s="334" t="str">
        <f t="shared" si="7"/>
        <v>2022/12/01-2022/12/31</v>
      </c>
      <c r="B85" s="156">
        <f t="shared" ca="1" si="9"/>
        <v>23875.379275610692</v>
      </c>
      <c r="C85" s="156">
        <f t="shared" ca="1" si="8"/>
        <v>4551.5522022295481</v>
      </c>
      <c r="D85" s="91" t="s">
        <v>211</v>
      </c>
      <c r="E85" s="407"/>
      <c r="F85" s="8"/>
    </row>
    <row r="86" spans="1:6" ht="15.5" x14ac:dyDescent="0.4">
      <c r="A86" s="361" t="s">
        <v>350</v>
      </c>
      <c r="B86" s="416">
        <f ca="1">INT(SUM(B74:B85)+SUM(C74:C85))</f>
        <v>337651</v>
      </c>
      <c r="C86" s="416"/>
      <c r="D86" s="91" t="s">
        <v>211</v>
      </c>
      <c r="E86" s="407"/>
      <c r="F86" s="8"/>
    </row>
    <row r="87" spans="1:6" ht="16" thickBot="1" x14ac:dyDescent="0.45">
      <c r="A87" s="157" t="s">
        <v>255</v>
      </c>
      <c r="B87" s="158">
        <f ca="1">B86</f>
        <v>337651</v>
      </c>
      <c r="C87" s="158"/>
      <c r="D87" s="159" t="s">
        <v>256</v>
      </c>
      <c r="E87" s="415"/>
      <c r="F87" s="8"/>
    </row>
    <row r="88" spans="1:6" x14ac:dyDescent="0.25">
      <c r="D88" s="4"/>
    </row>
    <row r="89" spans="1:6" ht="13" x14ac:dyDescent="0.3">
      <c r="A89" s="11" t="s">
        <v>39</v>
      </c>
      <c r="B89" s="1"/>
    </row>
    <row r="90" spans="1:6" ht="13" x14ac:dyDescent="0.3">
      <c r="A90" s="401"/>
      <c r="B90" s="402"/>
      <c r="C90" s="402"/>
      <c r="D90" s="402"/>
      <c r="E90" s="21"/>
    </row>
    <row r="91" spans="1:6" ht="13" x14ac:dyDescent="0.3">
      <c r="A91" s="2"/>
      <c r="E91" s="21"/>
    </row>
    <row r="92" spans="1:6" ht="13" x14ac:dyDescent="0.3">
      <c r="A92" s="2"/>
    </row>
    <row r="93" spans="1:6" ht="13" x14ac:dyDescent="0.3">
      <c r="A93" s="1" t="s">
        <v>8</v>
      </c>
      <c r="B93" s="1"/>
    </row>
    <row r="94" spans="1:6" ht="12.75" customHeight="1" x14ac:dyDescent="0.3">
      <c r="A94" s="2"/>
      <c r="B94" s="25"/>
      <c r="C94" s="25"/>
      <c r="D94" s="25"/>
      <c r="E94" s="21"/>
    </row>
    <row r="95" spans="1:6" ht="12.75" customHeight="1" x14ac:dyDescent="0.3">
      <c r="A95" s="2"/>
      <c r="B95" s="25"/>
      <c r="C95" s="25"/>
      <c r="D95" s="25"/>
      <c r="E95" s="21"/>
    </row>
    <row r="96" spans="1:6" ht="12.75" customHeight="1" x14ac:dyDescent="0.3">
      <c r="A96" s="2"/>
      <c r="B96" s="25"/>
      <c r="C96" s="25"/>
      <c r="D96" s="25"/>
      <c r="E96" s="160"/>
    </row>
    <row r="97" spans="1:5" ht="12.75" customHeight="1" x14ac:dyDescent="0.3">
      <c r="A97" s="2"/>
      <c r="B97" s="25"/>
      <c r="C97" s="25"/>
      <c r="D97" s="25"/>
      <c r="E97" s="21"/>
    </row>
    <row r="98" spans="1:5" ht="12.75" customHeight="1" x14ac:dyDescent="0.3">
      <c r="A98" s="2"/>
      <c r="B98" s="25"/>
      <c r="C98" s="25"/>
      <c r="D98" s="25"/>
      <c r="E98" s="21"/>
    </row>
    <row r="99" spans="1:5" ht="13" thickBot="1" x14ac:dyDescent="0.3"/>
    <row r="100" spans="1:5" ht="13" x14ac:dyDescent="0.3">
      <c r="A100" s="30" t="s">
        <v>3</v>
      </c>
      <c r="B100" s="31" t="s">
        <v>9</v>
      </c>
      <c r="C100" s="31"/>
      <c r="D100" s="31" t="s">
        <v>2</v>
      </c>
      <c r="E100" s="31" t="s">
        <v>4</v>
      </c>
    </row>
    <row r="101" spans="1:5" ht="13" x14ac:dyDescent="0.3">
      <c r="A101" s="100"/>
      <c r="B101" s="26" t="str">
        <f>B10</f>
        <v>Market Swine</v>
      </c>
      <c r="C101" s="26" t="str">
        <f>C10</f>
        <v>Breeding Swine</v>
      </c>
      <c r="D101" s="26"/>
      <c r="E101" s="26"/>
    </row>
    <row r="102" spans="1:5" ht="15.5" x14ac:dyDescent="0.4">
      <c r="A102" s="97" t="s">
        <v>12</v>
      </c>
      <c r="B102" s="153">
        <v>0</v>
      </c>
      <c r="C102" s="161">
        <v>0</v>
      </c>
      <c r="D102" s="24" t="s">
        <v>212</v>
      </c>
      <c r="E102" s="106" t="s">
        <v>40</v>
      </c>
    </row>
    <row r="103" spans="1:5" ht="15" x14ac:dyDescent="0.4">
      <c r="A103" s="97" t="s">
        <v>213</v>
      </c>
      <c r="B103" s="162">
        <f>0.42</f>
        <v>0.42</v>
      </c>
      <c r="C103" s="163">
        <v>0.24</v>
      </c>
      <c r="D103" s="106" t="s">
        <v>68</v>
      </c>
      <c r="E103" s="24" t="s">
        <v>99</v>
      </c>
    </row>
    <row r="104" spans="1:5" ht="13.5" x14ac:dyDescent="0.35">
      <c r="A104" s="97" t="s">
        <v>169</v>
      </c>
      <c r="B104" s="155"/>
      <c r="C104" s="155"/>
      <c r="D104" s="403" t="s">
        <v>101</v>
      </c>
      <c r="E104" s="412" t="s">
        <v>65</v>
      </c>
    </row>
    <row r="105" spans="1:5" x14ac:dyDescent="0.25">
      <c r="A105" s="334" t="str">
        <f t="shared" ref="A105:A116" si="10">A74</f>
        <v>2022/01/01-2022/01/31</v>
      </c>
      <c r="B105" s="155">
        <f t="shared" ref="B105:B116" si="11">$B$103*$B$130/1000*B61</f>
        <v>0.36456</v>
      </c>
      <c r="C105" s="155">
        <f t="shared" ref="C105:C116" si="12">$C$103*$C$130/1000*C61</f>
        <v>0.20831999999999998</v>
      </c>
      <c r="D105" s="404"/>
      <c r="E105" s="413"/>
    </row>
    <row r="106" spans="1:5" x14ac:dyDescent="0.25">
      <c r="A106" s="334" t="str">
        <f t="shared" si="10"/>
        <v>2022/02/01-2022/02/28</v>
      </c>
      <c r="B106" s="155">
        <f t="shared" si="11"/>
        <v>0.32928000000000002</v>
      </c>
      <c r="C106" s="155">
        <f t="shared" si="12"/>
        <v>0.18815999999999999</v>
      </c>
      <c r="D106" s="404"/>
      <c r="E106" s="413"/>
    </row>
    <row r="107" spans="1:5" x14ac:dyDescent="0.25">
      <c r="A107" s="334" t="str">
        <f t="shared" si="10"/>
        <v>2022/03/01-2022/03/31</v>
      </c>
      <c r="B107" s="155">
        <f t="shared" si="11"/>
        <v>0.36456</v>
      </c>
      <c r="C107" s="155">
        <f t="shared" si="12"/>
        <v>0.20831999999999998</v>
      </c>
      <c r="D107" s="404"/>
      <c r="E107" s="413"/>
    </row>
    <row r="108" spans="1:5" x14ac:dyDescent="0.25">
      <c r="A108" s="334" t="str">
        <f t="shared" si="10"/>
        <v>2022/04/01-2022/04/30</v>
      </c>
      <c r="B108" s="155">
        <f t="shared" si="11"/>
        <v>0.3528</v>
      </c>
      <c r="C108" s="155">
        <f t="shared" si="12"/>
        <v>0.20159999999999997</v>
      </c>
      <c r="D108" s="404"/>
      <c r="E108" s="413"/>
    </row>
    <row r="109" spans="1:5" x14ac:dyDescent="0.25">
      <c r="A109" s="334" t="str">
        <f t="shared" si="10"/>
        <v>2022/05/01-2022/05/31</v>
      </c>
      <c r="B109" s="155">
        <f t="shared" si="11"/>
        <v>0.36456</v>
      </c>
      <c r="C109" s="155">
        <f t="shared" si="12"/>
        <v>0.20831999999999998</v>
      </c>
      <c r="D109" s="404"/>
      <c r="E109" s="413"/>
    </row>
    <row r="110" spans="1:5" x14ac:dyDescent="0.25">
      <c r="A110" s="334" t="str">
        <f t="shared" si="10"/>
        <v>2022/06/01-2022/06/30</v>
      </c>
      <c r="B110" s="155">
        <f t="shared" si="11"/>
        <v>0.3528</v>
      </c>
      <c r="C110" s="155">
        <f t="shared" si="12"/>
        <v>0.20159999999999997</v>
      </c>
      <c r="D110" s="404"/>
      <c r="E110" s="413"/>
    </row>
    <row r="111" spans="1:5" x14ac:dyDescent="0.25">
      <c r="A111" s="334" t="str">
        <f t="shared" si="10"/>
        <v>2022/07/01-2022/07/31</v>
      </c>
      <c r="B111" s="155">
        <f t="shared" si="11"/>
        <v>0.36456</v>
      </c>
      <c r="C111" s="155">
        <f t="shared" si="12"/>
        <v>0.20831999999999998</v>
      </c>
      <c r="D111" s="404"/>
      <c r="E111" s="413"/>
    </row>
    <row r="112" spans="1:5" x14ac:dyDescent="0.25">
      <c r="A112" s="334" t="str">
        <f t="shared" si="10"/>
        <v>2022/08/01-2022/08/31</v>
      </c>
      <c r="B112" s="155">
        <f t="shared" si="11"/>
        <v>0.36456</v>
      </c>
      <c r="C112" s="155">
        <f t="shared" si="12"/>
        <v>0.20831999999999998</v>
      </c>
      <c r="D112" s="404"/>
      <c r="E112" s="413"/>
    </row>
    <row r="113" spans="1:5" x14ac:dyDescent="0.25">
      <c r="A113" s="334" t="str">
        <f t="shared" si="10"/>
        <v>2022/09/01-2022/09/30</v>
      </c>
      <c r="B113" s="155">
        <f t="shared" si="11"/>
        <v>0.3528</v>
      </c>
      <c r="C113" s="155">
        <f t="shared" si="12"/>
        <v>0.20159999999999997</v>
      </c>
      <c r="D113" s="404"/>
      <c r="E113" s="413"/>
    </row>
    <row r="114" spans="1:5" x14ac:dyDescent="0.25">
      <c r="A114" s="334" t="str">
        <f t="shared" si="10"/>
        <v>2022/10/01-2022/10/31</v>
      </c>
      <c r="B114" s="155">
        <f t="shared" si="11"/>
        <v>0.36456</v>
      </c>
      <c r="C114" s="155">
        <f t="shared" si="12"/>
        <v>0.20831999999999998</v>
      </c>
      <c r="D114" s="404"/>
      <c r="E114" s="413"/>
    </row>
    <row r="115" spans="1:5" x14ac:dyDescent="0.25">
      <c r="A115" s="334" t="str">
        <f t="shared" si="10"/>
        <v>2022/11/01-2022/11/30</v>
      </c>
      <c r="B115" s="155">
        <f t="shared" si="11"/>
        <v>0.3528</v>
      </c>
      <c r="C115" s="155">
        <f t="shared" si="12"/>
        <v>0.20159999999999997</v>
      </c>
      <c r="D115" s="404"/>
      <c r="E115" s="413"/>
    </row>
    <row r="116" spans="1:5" x14ac:dyDescent="0.25">
      <c r="A116" s="334" t="str">
        <f t="shared" si="10"/>
        <v>2022/12/01-2022/12/31</v>
      </c>
      <c r="B116" s="155">
        <f t="shared" si="11"/>
        <v>0.36456</v>
      </c>
      <c r="C116" s="155">
        <f t="shared" si="12"/>
        <v>0.20831999999999998</v>
      </c>
      <c r="D116" s="405"/>
      <c r="E116" s="414"/>
    </row>
    <row r="117" spans="1:5" ht="13.5" x14ac:dyDescent="0.35">
      <c r="A117" s="97" t="s">
        <v>164</v>
      </c>
      <c r="B117" s="99"/>
      <c r="C117" s="99"/>
      <c r="D117" s="412" t="s">
        <v>5</v>
      </c>
      <c r="E117" s="403" t="str">
        <f>E31</f>
        <v>Weight record table</v>
      </c>
    </row>
    <row r="118" spans="1:5" x14ac:dyDescent="0.25">
      <c r="A118" s="334" t="str">
        <f>A105</f>
        <v>2022/01/01-2022/01/31</v>
      </c>
      <c r="B118" s="99">
        <f t="shared" ref="B118:C129" ca="1" si="13">B32</f>
        <v>62.8</v>
      </c>
      <c r="C118" s="99">
        <f t="shared" ca="1" si="13"/>
        <v>80.2</v>
      </c>
      <c r="D118" s="413"/>
      <c r="E118" s="404"/>
    </row>
    <row r="119" spans="1:5" x14ac:dyDescent="0.25">
      <c r="A119" s="334" t="str">
        <f t="shared" ref="A119:A129" si="14">A106</f>
        <v>2022/02/01-2022/02/28</v>
      </c>
      <c r="B119" s="99">
        <f t="shared" ca="1" si="13"/>
        <v>62.1</v>
      </c>
      <c r="C119" s="99">
        <f t="shared" ca="1" si="13"/>
        <v>79.5</v>
      </c>
      <c r="D119" s="413"/>
      <c r="E119" s="404"/>
    </row>
    <row r="120" spans="1:5" x14ac:dyDescent="0.25">
      <c r="A120" s="334" t="str">
        <f t="shared" si="14"/>
        <v>2022/03/01-2022/03/31</v>
      </c>
      <c r="B120" s="99">
        <f t="shared" ca="1" si="13"/>
        <v>62.7</v>
      </c>
      <c r="C120" s="99">
        <f t="shared" ca="1" si="13"/>
        <v>80</v>
      </c>
      <c r="D120" s="413"/>
      <c r="E120" s="404"/>
    </row>
    <row r="121" spans="1:5" x14ac:dyDescent="0.25">
      <c r="A121" s="334" t="str">
        <f t="shared" si="14"/>
        <v>2022/04/01-2022/04/30</v>
      </c>
      <c r="B121" s="99">
        <f t="shared" ca="1" si="13"/>
        <v>62.1</v>
      </c>
      <c r="C121" s="99">
        <f t="shared" ca="1" si="13"/>
        <v>78.900000000000006</v>
      </c>
      <c r="D121" s="413"/>
      <c r="E121" s="404"/>
    </row>
    <row r="122" spans="1:5" x14ac:dyDescent="0.25">
      <c r="A122" s="334" t="str">
        <f t="shared" si="14"/>
        <v>2022/05/01-2022/05/31</v>
      </c>
      <c r="B122" s="99">
        <f t="shared" ca="1" si="13"/>
        <v>61.9</v>
      </c>
      <c r="C122" s="99">
        <f t="shared" ca="1" si="13"/>
        <v>80</v>
      </c>
      <c r="D122" s="413"/>
      <c r="E122" s="404"/>
    </row>
    <row r="123" spans="1:5" x14ac:dyDescent="0.25">
      <c r="A123" s="334" t="str">
        <f t="shared" si="14"/>
        <v>2022/06/01-2022/06/30</v>
      </c>
      <c r="B123" s="99">
        <f t="shared" ca="1" si="13"/>
        <v>62.6</v>
      </c>
      <c r="C123" s="99">
        <f t="shared" ca="1" si="13"/>
        <v>80.400000000000006</v>
      </c>
      <c r="D123" s="413"/>
      <c r="E123" s="404"/>
    </row>
    <row r="124" spans="1:5" x14ac:dyDescent="0.25">
      <c r="A124" s="334" t="str">
        <f t="shared" si="14"/>
        <v>2022/07/01-2022/07/31</v>
      </c>
      <c r="B124" s="99">
        <f t="shared" ca="1" si="13"/>
        <v>62.5</v>
      </c>
      <c r="C124" s="99">
        <f t="shared" ca="1" si="13"/>
        <v>79.8</v>
      </c>
      <c r="D124" s="413"/>
      <c r="E124" s="404"/>
    </row>
    <row r="125" spans="1:5" x14ac:dyDescent="0.25">
      <c r="A125" s="334" t="str">
        <f t="shared" si="14"/>
        <v>2022/08/01-2022/08/31</v>
      </c>
      <c r="B125" s="99">
        <f t="shared" ca="1" si="13"/>
        <v>62.7</v>
      </c>
      <c r="C125" s="99">
        <f t="shared" ca="1" si="13"/>
        <v>80.5</v>
      </c>
      <c r="D125" s="413"/>
      <c r="E125" s="404"/>
    </row>
    <row r="126" spans="1:5" x14ac:dyDescent="0.25">
      <c r="A126" s="334" t="str">
        <f t="shared" si="14"/>
        <v>2022/09/01-2022/09/30</v>
      </c>
      <c r="B126" s="99">
        <f t="shared" ca="1" si="13"/>
        <v>62.3</v>
      </c>
      <c r="C126" s="99">
        <f t="shared" ca="1" si="13"/>
        <v>79.3</v>
      </c>
      <c r="D126" s="413"/>
      <c r="E126" s="404"/>
    </row>
    <row r="127" spans="1:5" x14ac:dyDescent="0.25">
      <c r="A127" s="334" t="str">
        <f t="shared" si="14"/>
        <v>2022/10/01-2022/10/31</v>
      </c>
      <c r="B127" s="99">
        <f t="shared" ca="1" si="13"/>
        <v>62.1</v>
      </c>
      <c r="C127" s="99">
        <f t="shared" ca="1" si="13"/>
        <v>80</v>
      </c>
      <c r="D127" s="413"/>
      <c r="E127" s="404"/>
    </row>
    <row r="128" spans="1:5" x14ac:dyDescent="0.25">
      <c r="A128" s="334" t="str">
        <f t="shared" si="14"/>
        <v>2022/11/01-2022/11/30</v>
      </c>
      <c r="B128" s="99">
        <f t="shared" ca="1" si="13"/>
        <v>62.2</v>
      </c>
      <c r="C128" s="99">
        <f t="shared" ca="1" si="13"/>
        <v>80.5</v>
      </c>
      <c r="D128" s="413"/>
      <c r="E128" s="404"/>
    </row>
    <row r="129" spans="1:5" x14ac:dyDescent="0.25">
      <c r="A129" s="334" t="str">
        <f t="shared" si="14"/>
        <v>2022/12/01-2022/12/31</v>
      </c>
      <c r="B129" s="99">
        <f t="shared" ca="1" si="13"/>
        <v>62</v>
      </c>
      <c r="C129" s="99">
        <f t="shared" ca="1" si="13"/>
        <v>78.5</v>
      </c>
      <c r="D129" s="414"/>
      <c r="E129" s="405"/>
    </row>
    <row r="130" spans="1:5" ht="13" x14ac:dyDescent="0.3">
      <c r="A130" s="97" t="s">
        <v>98</v>
      </c>
      <c r="B130" s="99">
        <v>28</v>
      </c>
      <c r="C130" s="99">
        <v>28</v>
      </c>
      <c r="D130" s="106" t="s">
        <v>5</v>
      </c>
      <c r="E130" s="91" t="s">
        <v>59</v>
      </c>
    </row>
    <row r="131" spans="1:5" ht="13.5" x14ac:dyDescent="0.35">
      <c r="A131" s="97" t="s">
        <v>165</v>
      </c>
      <c r="B131" s="162">
        <v>28</v>
      </c>
      <c r="C131" s="166">
        <v>28</v>
      </c>
      <c r="D131" s="106" t="s">
        <v>5</v>
      </c>
      <c r="E131" s="91" t="s">
        <v>59</v>
      </c>
    </row>
    <row r="132" spans="1:5" ht="15" x14ac:dyDescent="0.4">
      <c r="A132" s="97" t="s">
        <v>214</v>
      </c>
      <c r="B132" s="155"/>
      <c r="C132" s="155"/>
      <c r="D132" s="431" t="s">
        <v>101</v>
      </c>
      <c r="E132" s="431" t="s">
        <v>71</v>
      </c>
    </row>
    <row r="133" spans="1:5" x14ac:dyDescent="0.25">
      <c r="A133" s="334" t="str">
        <f>A118</f>
        <v>2022/01/01-2022/01/31</v>
      </c>
      <c r="B133" s="155">
        <f t="shared" ref="B133:B144" ca="1" si="15">(B32/$B$131)*B105</f>
        <v>0.81765600000000005</v>
      </c>
      <c r="C133" s="155">
        <f t="shared" ref="C133:C144" ca="1" si="16">(C32/$C$131)*C105</f>
        <v>0.596688</v>
      </c>
      <c r="D133" s="432"/>
      <c r="E133" s="432"/>
    </row>
    <row r="134" spans="1:5" x14ac:dyDescent="0.25">
      <c r="A134" s="334" t="str">
        <f t="shared" ref="A134:A144" si="17">A119</f>
        <v>2022/02/01-2022/02/28</v>
      </c>
      <c r="B134" s="155">
        <f t="shared" ca="1" si="15"/>
        <v>0.73029600000000006</v>
      </c>
      <c r="C134" s="155">
        <f t="shared" ca="1" si="16"/>
        <v>0.53424000000000005</v>
      </c>
      <c r="D134" s="432"/>
      <c r="E134" s="432"/>
    </row>
    <row r="135" spans="1:5" x14ac:dyDescent="0.25">
      <c r="A135" s="334" t="str">
        <f t="shared" si="17"/>
        <v>2022/03/01-2022/03/31</v>
      </c>
      <c r="B135" s="155">
        <f t="shared" ca="1" si="15"/>
        <v>0.81635400000000002</v>
      </c>
      <c r="C135" s="155">
        <f t="shared" ca="1" si="16"/>
        <v>0.59519999999999995</v>
      </c>
      <c r="D135" s="432"/>
      <c r="E135" s="432"/>
    </row>
    <row r="136" spans="1:5" x14ac:dyDescent="0.25">
      <c r="A136" s="334" t="str">
        <f t="shared" si="17"/>
        <v>2022/04/01-2022/04/30</v>
      </c>
      <c r="B136" s="155">
        <f t="shared" ca="1" si="15"/>
        <v>0.78246000000000004</v>
      </c>
      <c r="C136" s="155">
        <f t="shared" ca="1" si="16"/>
        <v>0.56807999999999992</v>
      </c>
      <c r="D136" s="432"/>
      <c r="E136" s="432"/>
    </row>
    <row r="137" spans="1:5" x14ac:dyDescent="0.25">
      <c r="A137" s="334" t="str">
        <f t="shared" si="17"/>
        <v>2022/05/01-2022/05/31</v>
      </c>
      <c r="B137" s="155">
        <f t="shared" ca="1" si="15"/>
        <v>0.80593800000000004</v>
      </c>
      <c r="C137" s="155">
        <f t="shared" ca="1" si="16"/>
        <v>0.59519999999999995</v>
      </c>
      <c r="D137" s="432"/>
      <c r="E137" s="432"/>
    </row>
    <row r="138" spans="1:5" x14ac:dyDescent="0.25">
      <c r="A138" s="334" t="str">
        <f t="shared" si="17"/>
        <v>2022/06/01-2022/06/30</v>
      </c>
      <c r="B138" s="155">
        <f t="shared" ca="1" si="15"/>
        <v>0.78876000000000002</v>
      </c>
      <c r="C138" s="155">
        <f t="shared" ca="1" si="16"/>
        <v>0.57887999999999995</v>
      </c>
      <c r="D138" s="432"/>
      <c r="E138" s="432"/>
    </row>
    <row r="139" spans="1:5" x14ac:dyDescent="0.25">
      <c r="A139" s="334" t="str">
        <f t="shared" si="17"/>
        <v>2022/07/01-2022/07/31</v>
      </c>
      <c r="B139" s="155">
        <f t="shared" ca="1" si="15"/>
        <v>0.81374999999999997</v>
      </c>
      <c r="C139" s="155">
        <f t="shared" ca="1" si="16"/>
        <v>0.59371199999999991</v>
      </c>
      <c r="D139" s="432"/>
      <c r="E139" s="432"/>
    </row>
    <row r="140" spans="1:5" x14ac:dyDescent="0.25">
      <c r="A140" s="334" t="str">
        <f t="shared" si="17"/>
        <v>2022/08/01-2022/08/31</v>
      </c>
      <c r="B140" s="155">
        <f t="shared" ca="1" si="15"/>
        <v>0.81635400000000002</v>
      </c>
      <c r="C140" s="155">
        <f t="shared" ca="1" si="16"/>
        <v>0.5989199999999999</v>
      </c>
      <c r="D140" s="432"/>
      <c r="E140" s="432"/>
    </row>
    <row r="141" spans="1:5" x14ac:dyDescent="0.25">
      <c r="A141" s="334" t="str">
        <f t="shared" si="17"/>
        <v>2022/09/01-2022/09/30</v>
      </c>
      <c r="B141" s="155">
        <f t="shared" ca="1" si="15"/>
        <v>0.78498000000000001</v>
      </c>
      <c r="C141" s="155">
        <f t="shared" ca="1" si="16"/>
        <v>0.57095999999999991</v>
      </c>
      <c r="D141" s="432"/>
      <c r="E141" s="432"/>
    </row>
    <row r="142" spans="1:5" x14ac:dyDescent="0.25">
      <c r="A142" s="334" t="str">
        <f t="shared" si="17"/>
        <v>2022/10/01-2022/10/31</v>
      </c>
      <c r="B142" s="155">
        <f t="shared" ca="1" si="15"/>
        <v>0.80854199999999998</v>
      </c>
      <c r="C142" s="155">
        <f t="shared" ca="1" si="16"/>
        <v>0.59519999999999995</v>
      </c>
      <c r="D142" s="432"/>
      <c r="E142" s="432"/>
    </row>
    <row r="143" spans="1:5" x14ac:dyDescent="0.25">
      <c r="A143" s="334" t="str">
        <f t="shared" si="17"/>
        <v>2022/11/01-2022/11/30</v>
      </c>
      <c r="B143" s="155">
        <f t="shared" ca="1" si="15"/>
        <v>0.78372000000000008</v>
      </c>
      <c r="C143" s="155">
        <f t="shared" ca="1" si="16"/>
        <v>0.57959999999999989</v>
      </c>
      <c r="D143" s="432"/>
      <c r="E143" s="432"/>
    </row>
    <row r="144" spans="1:5" x14ac:dyDescent="0.25">
      <c r="A144" s="334" t="str">
        <f t="shared" si="17"/>
        <v>2022/12/01-2022/12/31</v>
      </c>
      <c r="B144" s="155">
        <f t="shared" ca="1" si="15"/>
        <v>0.80724000000000007</v>
      </c>
      <c r="C144" s="155">
        <f t="shared" ca="1" si="16"/>
        <v>0.58403999999999989</v>
      </c>
      <c r="D144" s="433"/>
      <c r="E144" s="433"/>
    </row>
    <row r="145" spans="1:5" ht="13.5" customHeight="1" x14ac:dyDescent="0.35">
      <c r="A145" s="101" t="s">
        <v>166</v>
      </c>
      <c r="B145" s="93"/>
      <c r="C145" s="93"/>
      <c r="D145" s="412" t="str">
        <f>D18</f>
        <v>No of heads</v>
      </c>
      <c r="E145" s="428" t="str">
        <f>E18</f>
        <v>calculated as equatoin 5 in MR, of which NLT for marke swine and breeding swine is sourced from  "market swine production record" and " Breeding Pig stock record"</v>
      </c>
    </row>
    <row r="146" spans="1:5" x14ac:dyDescent="0.25">
      <c r="A146" s="334" t="str">
        <f>A133</f>
        <v>2022/01/01-2022/01/31</v>
      </c>
      <c r="B146" s="93">
        <f t="shared" ref="B146:C157" si="18">B19</f>
        <v>302283</v>
      </c>
      <c r="C146" s="93">
        <f t="shared" si="18"/>
        <v>45922</v>
      </c>
      <c r="D146" s="413"/>
      <c r="E146" s="429"/>
    </row>
    <row r="147" spans="1:5" x14ac:dyDescent="0.25">
      <c r="A147" s="334" t="str">
        <f t="shared" ref="A147:A157" si="19">A134</f>
        <v>2022/02/01-2022/02/28</v>
      </c>
      <c r="B147" s="93">
        <f t="shared" si="18"/>
        <v>302283</v>
      </c>
      <c r="C147" s="93">
        <f t="shared" si="18"/>
        <v>45986</v>
      </c>
      <c r="D147" s="413"/>
      <c r="E147" s="429"/>
    </row>
    <row r="148" spans="1:5" x14ac:dyDescent="0.25">
      <c r="A148" s="334" t="str">
        <f t="shared" si="19"/>
        <v>2022/03/01-2022/03/31</v>
      </c>
      <c r="B148" s="93">
        <f t="shared" si="18"/>
        <v>302283</v>
      </c>
      <c r="C148" s="93">
        <f t="shared" si="18"/>
        <v>45782</v>
      </c>
      <c r="D148" s="413"/>
      <c r="E148" s="429"/>
    </row>
    <row r="149" spans="1:5" x14ac:dyDescent="0.25">
      <c r="A149" s="334" t="str">
        <f t="shared" si="19"/>
        <v>2022/04/01-2022/04/30</v>
      </c>
      <c r="B149" s="93">
        <f t="shared" si="18"/>
        <v>302283</v>
      </c>
      <c r="C149" s="93">
        <f t="shared" si="18"/>
        <v>45704</v>
      </c>
      <c r="D149" s="413"/>
      <c r="E149" s="429"/>
    </row>
    <row r="150" spans="1:5" x14ac:dyDescent="0.25">
      <c r="A150" s="334" t="str">
        <f t="shared" si="19"/>
        <v>2022/05/01-2022/05/31</v>
      </c>
      <c r="B150" s="93">
        <f t="shared" si="18"/>
        <v>302283</v>
      </c>
      <c r="C150" s="93">
        <f t="shared" si="18"/>
        <v>45917</v>
      </c>
      <c r="D150" s="413"/>
      <c r="E150" s="429"/>
    </row>
    <row r="151" spans="1:5" x14ac:dyDescent="0.25">
      <c r="A151" s="334" t="str">
        <f t="shared" si="19"/>
        <v>2022/06/01-2022/06/30</v>
      </c>
      <c r="B151" s="93">
        <f t="shared" si="18"/>
        <v>302283</v>
      </c>
      <c r="C151" s="93">
        <f t="shared" si="18"/>
        <v>46162</v>
      </c>
      <c r="D151" s="413"/>
      <c r="E151" s="429"/>
    </row>
    <row r="152" spans="1:5" x14ac:dyDescent="0.25">
      <c r="A152" s="334" t="str">
        <f t="shared" si="19"/>
        <v>2022/07/01-2022/07/31</v>
      </c>
      <c r="B152" s="93">
        <f t="shared" si="18"/>
        <v>302283</v>
      </c>
      <c r="C152" s="93">
        <f t="shared" si="18"/>
        <v>46217</v>
      </c>
      <c r="D152" s="413"/>
      <c r="E152" s="429"/>
    </row>
    <row r="153" spans="1:5" x14ac:dyDescent="0.25">
      <c r="A153" s="334" t="str">
        <f t="shared" si="19"/>
        <v>2022/08/01-2022/08/31</v>
      </c>
      <c r="B153" s="93">
        <f t="shared" si="18"/>
        <v>302283</v>
      </c>
      <c r="C153" s="93">
        <f t="shared" si="18"/>
        <v>45617</v>
      </c>
      <c r="D153" s="413"/>
      <c r="E153" s="429"/>
    </row>
    <row r="154" spans="1:5" x14ac:dyDescent="0.25">
      <c r="A154" s="334" t="str">
        <f t="shared" si="19"/>
        <v>2022/09/01-2022/09/30</v>
      </c>
      <c r="B154" s="93">
        <f t="shared" si="18"/>
        <v>302283</v>
      </c>
      <c r="C154" s="93">
        <f t="shared" si="18"/>
        <v>46288</v>
      </c>
      <c r="D154" s="413"/>
      <c r="E154" s="429"/>
    </row>
    <row r="155" spans="1:5" x14ac:dyDescent="0.25">
      <c r="A155" s="334" t="str">
        <f t="shared" si="19"/>
        <v>2022/10/01-2022/10/31</v>
      </c>
      <c r="B155" s="93">
        <f t="shared" si="18"/>
        <v>302283</v>
      </c>
      <c r="C155" s="93">
        <f t="shared" si="18"/>
        <v>46031</v>
      </c>
      <c r="D155" s="413"/>
      <c r="E155" s="429"/>
    </row>
    <row r="156" spans="1:5" x14ac:dyDescent="0.25">
      <c r="A156" s="334" t="str">
        <f t="shared" si="19"/>
        <v>2022/11/01-2022/11/30</v>
      </c>
      <c r="B156" s="93">
        <f t="shared" si="18"/>
        <v>302283</v>
      </c>
      <c r="C156" s="93">
        <f t="shared" si="18"/>
        <v>46416</v>
      </c>
      <c r="D156" s="413"/>
      <c r="E156" s="429"/>
    </row>
    <row r="157" spans="1:5" x14ac:dyDescent="0.25">
      <c r="A157" s="334" t="str">
        <f t="shared" si="19"/>
        <v>2022/12/01-2022/12/31</v>
      </c>
      <c r="B157" s="93">
        <f t="shared" si="18"/>
        <v>302283</v>
      </c>
      <c r="C157" s="93">
        <f t="shared" si="18"/>
        <v>45514</v>
      </c>
      <c r="D157" s="414"/>
      <c r="E157" s="430"/>
    </row>
    <row r="158" spans="1:5" ht="13.5" x14ac:dyDescent="0.35">
      <c r="A158" s="29" t="s">
        <v>167</v>
      </c>
      <c r="B158" s="154">
        <f>B59</f>
        <v>1</v>
      </c>
      <c r="C158" s="154">
        <f>C59</f>
        <v>1</v>
      </c>
      <c r="D158" s="106" t="str">
        <f>D59</f>
        <v>%</v>
      </c>
      <c r="E158" s="91" t="s">
        <v>28</v>
      </c>
    </row>
    <row r="159" spans="1:5" ht="13" x14ac:dyDescent="0.3">
      <c r="A159" s="168"/>
      <c r="B159" s="26"/>
      <c r="C159" s="26"/>
      <c r="D159" s="24"/>
      <c r="E159" s="169"/>
    </row>
    <row r="160" spans="1:5" ht="13" customHeight="1" x14ac:dyDescent="0.25">
      <c r="A160" s="334" t="str">
        <f>A146</f>
        <v>2022/01/01-2022/01/31</v>
      </c>
      <c r="B160" s="24">
        <f t="shared" ref="B160:C171" ca="1" si="20">B102*B133*B158*B19</f>
        <v>0</v>
      </c>
      <c r="C160" s="24">
        <f t="shared" ca="1" si="20"/>
        <v>0</v>
      </c>
      <c r="D160" s="403" t="s">
        <v>258</v>
      </c>
      <c r="E160" s="421" t="s">
        <v>194</v>
      </c>
    </row>
    <row r="161" spans="1:5" ht="13" customHeight="1" x14ac:dyDescent="0.25">
      <c r="A161" s="334" t="str">
        <f t="shared" ref="A161:A171" si="21">A147</f>
        <v>2022/02/01-2022/02/28</v>
      </c>
      <c r="B161" s="24">
        <f t="shared" ca="1" si="20"/>
        <v>0</v>
      </c>
      <c r="C161" s="24">
        <f t="shared" ca="1" si="20"/>
        <v>0</v>
      </c>
      <c r="D161" s="404"/>
      <c r="E161" s="422"/>
    </row>
    <row r="162" spans="1:5" ht="13" customHeight="1" x14ac:dyDescent="0.25">
      <c r="A162" s="334" t="str">
        <f t="shared" si="21"/>
        <v>2022/03/01-2022/03/31</v>
      </c>
      <c r="B162" s="24">
        <f t="shared" ca="1" si="20"/>
        <v>0</v>
      </c>
      <c r="C162" s="24">
        <f t="shared" ca="1" si="20"/>
        <v>0</v>
      </c>
      <c r="D162" s="404"/>
      <c r="E162" s="422"/>
    </row>
    <row r="163" spans="1:5" ht="13" customHeight="1" x14ac:dyDescent="0.25">
      <c r="A163" s="334" t="str">
        <f t="shared" si="21"/>
        <v>2022/04/01-2022/04/30</v>
      </c>
      <c r="B163" s="24">
        <f t="shared" ca="1" si="20"/>
        <v>0</v>
      </c>
      <c r="C163" s="24">
        <f t="shared" ca="1" si="20"/>
        <v>0</v>
      </c>
      <c r="D163" s="404"/>
      <c r="E163" s="422"/>
    </row>
    <row r="164" spans="1:5" ht="13" customHeight="1" x14ac:dyDescent="0.25">
      <c r="A164" s="334" t="str">
        <f t="shared" si="21"/>
        <v>2022/05/01-2022/05/31</v>
      </c>
      <c r="B164" s="24">
        <f t="shared" ca="1" si="20"/>
        <v>0</v>
      </c>
      <c r="C164" s="24">
        <f t="shared" ca="1" si="20"/>
        <v>0</v>
      </c>
      <c r="D164" s="404"/>
      <c r="E164" s="422"/>
    </row>
    <row r="165" spans="1:5" ht="13" customHeight="1" x14ac:dyDescent="0.25">
      <c r="A165" s="334" t="str">
        <f t="shared" si="21"/>
        <v>2022/06/01-2022/06/30</v>
      </c>
      <c r="B165" s="24">
        <f t="shared" ca="1" si="20"/>
        <v>0</v>
      </c>
      <c r="C165" s="24">
        <f t="shared" ca="1" si="20"/>
        <v>0</v>
      </c>
      <c r="D165" s="404"/>
      <c r="E165" s="422"/>
    </row>
    <row r="166" spans="1:5" ht="13" customHeight="1" x14ac:dyDescent="0.25">
      <c r="A166" s="334" t="str">
        <f t="shared" si="21"/>
        <v>2022/07/01-2022/07/31</v>
      </c>
      <c r="B166" s="24">
        <f t="shared" ca="1" si="20"/>
        <v>0</v>
      </c>
      <c r="C166" s="24">
        <f t="shared" ca="1" si="20"/>
        <v>0</v>
      </c>
      <c r="D166" s="404"/>
      <c r="E166" s="422"/>
    </row>
    <row r="167" spans="1:5" ht="13" customHeight="1" x14ac:dyDescent="0.25">
      <c r="A167" s="334" t="str">
        <f t="shared" si="21"/>
        <v>2022/08/01-2022/08/31</v>
      </c>
      <c r="B167" s="24">
        <f t="shared" ca="1" si="20"/>
        <v>0</v>
      </c>
      <c r="C167" s="24">
        <f t="shared" ca="1" si="20"/>
        <v>0</v>
      </c>
      <c r="D167" s="404"/>
      <c r="E167" s="422"/>
    </row>
    <row r="168" spans="1:5" ht="13" customHeight="1" x14ac:dyDescent="0.25">
      <c r="A168" s="334" t="str">
        <f t="shared" si="21"/>
        <v>2022/09/01-2022/09/30</v>
      </c>
      <c r="B168" s="24">
        <f t="shared" ca="1" si="20"/>
        <v>0</v>
      </c>
      <c r="C168" s="24">
        <f t="shared" ca="1" si="20"/>
        <v>0</v>
      </c>
      <c r="D168" s="404"/>
      <c r="E168" s="422"/>
    </row>
    <row r="169" spans="1:5" ht="13" customHeight="1" x14ac:dyDescent="0.25">
      <c r="A169" s="334" t="str">
        <f t="shared" si="21"/>
        <v>2022/10/01-2022/10/31</v>
      </c>
      <c r="B169" s="24">
        <f t="shared" ca="1" si="20"/>
        <v>0</v>
      </c>
      <c r="C169" s="24">
        <f t="shared" ca="1" si="20"/>
        <v>0</v>
      </c>
      <c r="D169" s="404"/>
      <c r="E169" s="422"/>
    </row>
    <row r="170" spans="1:5" ht="13" customHeight="1" x14ac:dyDescent="0.25">
      <c r="A170" s="334" t="str">
        <f t="shared" si="21"/>
        <v>2022/11/01-2022/11/30</v>
      </c>
      <c r="B170" s="24">
        <f t="shared" ca="1" si="20"/>
        <v>0</v>
      </c>
      <c r="C170" s="24">
        <f t="shared" ca="1" si="20"/>
        <v>0</v>
      </c>
      <c r="D170" s="404"/>
      <c r="E170" s="422"/>
    </row>
    <row r="171" spans="1:5" ht="13" customHeight="1" x14ac:dyDescent="0.25">
      <c r="A171" s="334" t="str">
        <f t="shared" si="21"/>
        <v>2022/12/01-2022/12/31</v>
      </c>
      <c r="B171" s="24">
        <f t="shared" ca="1" si="20"/>
        <v>0</v>
      </c>
      <c r="C171" s="24">
        <f t="shared" ca="1" si="20"/>
        <v>0</v>
      </c>
      <c r="D171" s="405"/>
      <c r="E171" s="422"/>
    </row>
    <row r="172" spans="1:5" ht="15.5" x14ac:dyDescent="0.4">
      <c r="A172" s="361" t="str">
        <f>A86</f>
        <v>01/01/2022-31/12/2022</v>
      </c>
      <c r="B172" s="424">
        <f ca="1">SUM(B160:B171)+SUM(C160:C171)</f>
        <v>0</v>
      </c>
      <c r="C172" s="424"/>
      <c r="D172" s="24" t="s">
        <v>258</v>
      </c>
      <c r="E172" s="422"/>
    </row>
    <row r="173" spans="1:5" ht="16" thickBot="1" x14ac:dyDescent="0.45">
      <c r="A173" s="170" t="s">
        <v>172</v>
      </c>
      <c r="B173" s="425">
        <f ca="1">B172</f>
        <v>0</v>
      </c>
      <c r="C173" s="425"/>
      <c r="D173" s="171" t="s">
        <v>231</v>
      </c>
      <c r="E173" s="423"/>
    </row>
    <row r="174" spans="1:5" ht="13" x14ac:dyDescent="0.3">
      <c r="A174" s="1"/>
      <c r="B174" s="172"/>
      <c r="C174" s="172"/>
      <c r="D174" s="5"/>
      <c r="E174" s="173"/>
    </row>
    <row r="176" spans="1:5" ht="13" x14ac:dyDescent="0.3">
      <c r="A176" s="1" t="s">
        <v>11</v>
      </c>
    </row>
    <row r="177" spans="1:5" ht="13" x14ac:dyDescent="0.3">
      <c r="B177" s="25"/>
      <c r="C177" s="1"/>
      <c r="D177" s="1"/>
      <c r="E177" s="20"/>
    </row>
    <row r="178" spans="1:5" ht="13" x14ac:dyDescent="0.3">
      <c r="B178" s="25"/>
      <c r="C178" s="1"/>
      <c r="D178" s="1"/>
      <c r="E178" s="20"/>
    </row>
    <row r="179" spans="1:5" ht="13.5" thickBot="1" x14ac:dyDescent="0.35">
      <c r="B179" s="1"/>
      <c r="C179" s="1"/>
    </row>
    <row r="180" spans="1:5" ht="13" x14ac:dyDescent="0.3">
      <c r="A180" s="30" t="s">
        <v>3</v>
      </c>
      <c r="B180" s="31" t="s">
        <v>9</v>
      </c>
      <c r="C180" s="31"/>
      <c r="D180" s="31" t="s">
        <v>2</v>
      </c>
      <c r="E180" s="31" t="s">
        <v>4</v>
      </c>
    </row>
    <row r="181" spans="1:5" ht="13" x14ac:dyDescent="0.3">
      <c r="A181" s="100"/>
      <c r="B181" s="26" t="str">
        <f>B101</f>
        <v>Market Swine</v>
      </c>
      <c r="C181" s="26" t="str">
        <f>C101</f>
        <v>Breeding Swine</v>
      </c>
      <c r="D181" s="26"/>
      <c r="E181" s="26"/>
    </row>
    <row r="182" spans="1:5" ht="27" customHeight="1" x14ac:dyDescent="0.4">
      <c r="A182" s="97" t="s">
        <v>94</v>
      </c>
      <c r="B182" s="153">
        <v>0.01</v>
      </c>
      <c r="C182" s="174">
        <v>0.01</v>
      </c>
      <c r="D182" s="24" t="s">
        <v>102</v>
      </c>
      <c r="E182" s="106" t="s">
        <v>41</v>
      </c>
    </row>
    <row r="183" spans="1:5" ht="15" x14ac:dyDescent="0.4">
      <c r="A183" s="97" t="s">
        <v>215</v>
      </c>
      <c r="B183" s="154">
        <v>0.4</v>
      </c>
      <c r="C183" s="154">
        <v>0.4</v>
      </c>
      <c r="D183" s="24" t="s">
        <v>1</v>
      </c>
      <c r="E183" s="164" t="s">
        <v>100</v>
      </c>
    </row>
    <row r="184" spans="1:5" ht="15.5" x14ac:dyDescent="0.4">
      <c r="A184" s="101" t="s">
        <v>216</v>
      </c>
      <c r="B184" s="102"/>
      <c r="C184" s="102"/>
      <c r="D184" s="403" t="s">
        <v>217</v>
      </c>
      <c r="E184" s="403" t="s">
        <v>71</v>
      </c>
    </row>
    <row r="185" spans="1:5" x14ac:dyDescent="0.25">
      <c r="A185" s="334" t="str">
        <f t="shared" ref="A185:A196" si="22">A160</f>
        <v>2022/01/01-2022/01/31</v>
      </c>
      <c r="B185" s="128">
        <f t="shared" ref="B185:B196" ca="1" si="23">(B32/$B$131)*B105</f>
        <v>0.81765600000000005</v>
      </c>
      <c r="C185" s="128">
        <f t="shared" ref="C185:C196" ca="1" si="24">(C32/$C$131)*C105</f>
        <v>0.596688</v>
      </c>
      <c r="D185" s="404"/>
      <c r="E185" s="404"/>
    </row>
    <row r="186" spans="1:5" x14ac:dyDescent="0.25">
      <c r="A186" s="334" t="str">
        <f t="shared" si="22"/>
        <v>2022/02/01-2022/02/28</v>
      </c>
      <c r="B186" s="128">
        <f t="shared" ca="1" si="23"/>
        <v>0.73029600000000006</v>
      </c>
      <c r="C186" s="128">
        <f t="shared" ca="1" si="24"/>
        <v>0.53424000000000005</v>
      </c>
      <c r="D186" s="404"/>
      <c r="E186" s="404"/>
    </row>
    <row r="187" spans="1:5" x14ac:dyDescent="0.25">
      <c r="A187" s="334" t="str">
        <f t="shared" si="22"/>
        <v>2022/03/01-2022/03/31</v>
      </c>
      <c r="B187" s="128">
        <f t="shared" ca="1" si="23"/>
        <v>0.81635400000000002</v>
      </c>
      <c r="C187" s="128">
        <f t="shared" ca="1" si="24"/>
        <v>0.59519999999999995</v>
      </c>
      <c r="D187" s="404"/>
      <c r="E187" s="404"/>
    </row>
    <row r="188" spans="1:5" x14ac:dyDescent="0.25">
      <c r="A188" s="334" t="str">
        <f t="shared" si="22"/>
        <v>2022/04/01-2022/04/30</v>
      </c>
      <c r="B188" s="128">
        <f t="shared" ca="1" si="23"/>
        <v>0.78246000000000004</v>
      </c>
      <c r="C188" s="128">
        <f t="shared" ca="1" si="24"/>
        <v>0.56807999999999992</v>
      </c>
      <c r="D188" s="404"/>
      <c r="E188" s="404"/>
    </row>
    <row r="189" spans="1:5" x14ac:dyDescent="0.25">
      <c r="A189" s="334" t="str">
        <f t="shared" si="22"/>
        <v>2022/05/01-2022/05/31</v>
      </c>
      <c r="B189" s="128">
        <f t="shared" ca="1" si="23"/>
        <v>0.80593800000000004</v>
      </c>
      <c r="C189" s="128">
        <f t="shared" ca="1" si="24"/>
        <v>0.59519999999999995</v>
      </c>
      <c r="D189" s="404"/>
      <c r="E189" s="404"/>
    </row>
    <row r="190" spans="1:5" x14ac:dyDescent="0.25">
      <c r="A190" s="334" t="str">
        <f t="shared" si="22"/>
        <v>2022/06/01-2022/06/30</v>
      </c>
      <c r="B190" s="128">
        <f t="shared" ca="1" si="23"/>
        <v>0.78876000000000002</v>
      </c>
      <c r="C190" s="128">
        <f t="shared" ca="1" si="24"/>
        <v>0.57887999999999995</v>
      </c>
      <c r="D190" s="404"/>
      <c r="E190" s="404"/>
    </row>
    <row r="191" spans="1:5" x14ac:dyDescent="0.25">
      <c r="A191" s="334" t="str">
        <f t="shared" si="22"/>
        <v>2022/07/01-2022/07/31</v>
      </c>
      <c r="B191" s="128">
        <f t="shared" ca="1" si="23"/>
        <v>0.81374999999999997</v>
      </c>
      <c r="C191" s="128">
        <f t="shared" ca="1" si="24"/>
        <v>0.59371199999999991</v>
      </c>
      <c r="D191" s="404"/>
      <c r="E191" s="404"/>
    </row>
    <row r="192" spans="1:5" x14ac:dyDescent="0.25">
      <c r="A192" s="334" t="str">
        <f t="shared" si="22"/>
        <v>2022/08/01-2022/08/31</v>
      </c>
      <c r="B192" s="128">
        <f t="shared" ca="1" si="23"/>
        <v>0.81635400000000002</v>
      </c>
      <c r="C192" s="128">
        <f t="shared" ca="1" si="24"/>
        <v>0.5989199999999999</v>
      </c>
      <c r="D192" s="404"/>
      <c r="E192" s="404"/>
    </row>
    <row r="193" spans="1:5" x14ac:dyDescent="0.25">
      <c r="A193" s="334" t="str">
        <f t="shared" si="22"/>
        <v>2022/09/01-2022/09/30</v>
      </c>
      <c r="B193" s="128">
        <f t="shared" ca="1" si="23"/>
        <v>0.78498000000000001</v>
      </c>
      <c r="C193" s="128">
        <f t="shared" ca="1" si="24"/>
        <v>0.57095999999999991</v>
      </c>
      <c r="D193" s="404"/>
      <c r="E193" s="404"/>
    </row>
    <row r="194" spans="1:5" x14ac:dyDescent="0.25">
      <c r="A194" s="334" t="str">
        <f t="shared" si="22"/>
        <v>2022/10/01-2022/10/31</v>
      </c>
      <c r="B194" s="128">
        <f t="shared" ca="1" si="23"/>
        <v>0.80854199999999998</v>
      </c>
      <c r="C194" s="128">
        <f t="shared" ca="1" si="24"/>
        <v>0.59519999999999995</v>
      </c>
      <c r="D194" s="404"/>
      <c r="E194" s="404"/>
    </row>
    <row r="195" spans="1:5" x14ac:dyDescent="0.25">
      <c r="A195" s="334" t="str">
        <f t="shared" si="22"/>
        <v>2022/11/01-2022/11/30</v>
      </c>
      <c r="B195" s="128">
        <f t="shared" ca="1" si="23"/>
        <v>0.78372000000000008</v>
      </c>
      <c r="C195" s="128">
        <f t="shared" ca="1" si="24"/>
        <v>0.57959999999999989</v>
      </c>
      <c r="D195" s="404"/>
      <c r="E195" s="404"/>
    </row>
    <row r="196" spans="1:5" x14ac:dyDescent="0.25">
      <c r="A196" s="334" t="str">
        <f t="shared" si="22"/>
        <v>2022/12/01-2022/12/31</v>
      </c>
      <c r="B196" s="128">
        <f t="shared" ca="1" si="23"/>
        <v>0.80724000000000007</v>
      </c>
      <c r="C196" s="128">
        <f t="shared" ca="1" si="24"/>
        <v>0.58403999999999989</v>
      </c>
      <c r="D196" s="405"/>
      <c r="E196" s="405"/>
    </row>
    <row r="197" spans="1:5" ht="13.5" customHeight="1" x14ac:dyDescent="0.35">
      <c r="A197" s="101" t="s">
        <v>166</v>
      </c>
      <c r="B197" s="93"/>
      <c r="C197" s="93"/>
      <c r="D197" s="403" t="str">
        <f>D145</f>
        <v>No of heads</v>
      </c>
      <c r="E197" s="418" t="str">
        <f>E145</f>
        <v>calculated as equatoin 5 in MR, of which NLT for marke swine and breeding swine is sourced from  "market swine production record" and " Breeding Pig stock record"</v>
      </c>
    </row>
    <row r="198" spans="1:5" x14ac:dyDescent="0.25">
      <c r="A198" s="334" t="str">
        <f>A185</f>
        <v>2022/01/01-2022/01/31</v>
      </c>
      <c r="B198" s="93">
        <f t="shared" ref="B198:C210" si="25">B146</f>
        <v>302283</v>
      </c>
      <c r="C198" s="93">
        <f t="shared" si="25"/>
        <v>45922</v>
      </c>
      <c r="D198" s="404"/>
      <c r="E198" s="419"/>
    </row>
    <row r="199" spans="1:5" x14ac:dyDescent="0.25">
      <c r="A199" s="334" t="str">
        <f t="shared" ref="A199:A209" si="26">A186</f>
        <v>2022/02/01-2022/02/28</v>
      </c>
      <c r="B199" s="93">
        <f t="shared" si="25"/>
        <v>302283</v>
      </c>
      <c r="C199" s="93">
        <f t="shared" si="25"/>
        <v>45986</v>
      </c>
      <c r="D199" s="404"/>
      <c r="E199" s="419"/>
    </row>
    <row r="200" spans="1:5" x14ac:dyDescent="0.25">
      <c r="A200" s="334" t="str">
        <f t="shared" si="26"/>
        <v>2022/03/01-2022/03/31</v>
      </c>
      <c r="B200" s="93">
        <f t="shared" si="25"/>
        <v>302283</v>
      </c>
      <c r="C200" s="93">
        <f t="shared" si="25"/>
        <v>45782</v>
      </c>
      <c r="D200" s="404"/>
      <c r="E200" s="419"/>
    </row>
    <row r="201" spans="1:5" x14ac:dyDescent="0.25">
      <c r="A201" s="334" t="str">
        <f t="shared" si="26"/>
        <v>2022/04/01-2022/04/30</v>
      </c>
      <c r="B201" s="93">
        <f t="shared" si="25"/>
        <v>302283</v>
      </c>
      <c r="C201" s="93">
        <f t="shared" si="25"/>
        <v>45704</v>
      </c>
      <c r="D201" s="404"/>
      <c r="E201" s="419"/>
    </row>
    <row r="202" spans="1:5" x14ac:dyDescent="0.25">
      <c r="A202" s="334" t="str">
        <f t="shared" si="26"/>
        <v>2022/05/01-2022/05/31</v>
      </c>
      <c r="B202" s="93">
        <f t="shared" si="25"/>
        <v>302283</v>
      </c>
      <c r="C202" s="93">
        <f t="shared" si="25"/>
        <v>45917</v>
      </c>
      <c r="D202" s="404"/>
      <c r="E202" s="419"/>
    </row>
    <row r="203" spans="1:5" x14ac:dyDescent="0.25">
      <c r="A203" s="334" t="str">
        <f t="shared" si="26"/>
        <v>2022/06/01-2022/06/30</v>
      </c>
      <c r="B203" s="93">
        <f t="shared" si="25"/>
        <v>302283</v>
      </c>
      <c r="C203" s="93">
        <f t="shared" si="25"/>
        <v>46162</v>
      </c>
      <c r="D203" s="404"/>
      <c r="E203" s="419"/>
    </row>
    <row r="204" spans="1:5" x14ac:dyDescent="0.25">
      <c r="A204" s="334" t="str">
        <f t="shared" si="26"/>
        <v>2022/07/01-2022/07/31</v>
      </c>
      <c r="B204" s="93">
        <f t="shared" si="25"/>
        <v>302283</v>
      </c>
      <c r="C204" s="93">
        <f t="shared" si="25"/>
        <v>46217</v>
      </c>
      <c r="D204" s="404"/>
      <c r="E204" s="419"/>
    </row>
    <row r="205" spans="1:5" x14ac:dyDescent="0.25">
      <c r="A205" s="334" t="str">
        <f t="shared" si="26"/>
        <v>2022/08/01-2022/08/31</v>
      </c>
      <c r="B205" s="93">
        <f t="shared" si="25"/>
        <v>302283</v>
      </c>
      <c r="C205" s="93">
        <f t="shared" si="25"/>
        <v>45617</v>
      </c>
      <c r="D205" s="404"/>
      <c r="E205" s="419"/>
    </row>
    <row r="206" spans="1:5" x14ac:dyDescent="0.25">
      <c r="A206" s="334" t="str">
        <f t="shared" si="26"/>
        <v>2022/09/01-2022/09/30</v>
      </c>
      <c r="B206" s="93">
        <f t="shared" si="25"/>
        <v>302283</v>
      </c>
      <c r="C206" s="93">
        <f t="shared" si="25"/>
        <v>46288</v>
      </c>
      <c r="D206" s="404"/>
      <c r="E206" s="419"/>
    </row>
    <row r="207" spans="1:5" x14ac:dyDescent="0.25">
      <c r="A207" s="334" t="str">
        <f t="shared" si="26"/>
        <v>2022/10/01-2022/10/31</v>
      </c>
      <c r="B207" s="93">
        <f t="shared" si="25"/>
        <v>302283</v>
      </c>
      <c r="C207" s="93">
        <f t="shared" si="25"/>
        <v>46031</v>
      </c>
      <c r="D207" s="404"/>
      <c r="E207" s="419"/>
    </row>
    <row r="208" spans="1:5" x14ac:dyDescent="0.25">
      <c r="A208" s="334" t="str">
        <f t="shared" si="26"/>
        <v>2022/11/01-2022/11/30</v>
      </c>
      <c r="B208" s="93">
        <f t="shared" si="25"/>
        <v>302283</v>
      </c>
      <c r="C208" s="93">
        <f t="shared" si="25"/>
        <v>46416</v>
      </c>
      <c r="D208" s="404"/>
      <c r="E208" s="419"/>
    </row>
    <row r="209" spans="1:5" x14ac:dyDescent="0.25">
      <c r="A209" s="334" t="str">
        <f t="shared" si="26"/>
        <v>2022/12/01-2022/12/31</v>
      </c>
      <c r="B209" s="93">
        <f t="shared" si="25"/>
        <v>302283</v>
      </c>
      <c r="C209" s="93">
        <f t="shared" si="25"/>
        <v>45514</v>
      </c>
      <c r="D209" s="405"/>
      <c r="E209" s="420"/>
    </row>
    <row r="210" spans="1:5" ht="13.5" x14ac:dyDescent="0.35">
      <c r="A210" s="29" t="s">
        <v>167</v>
      </c>
      <c r="B210" s="154">
        <f t="shared" si="25"/>
        <v>1</v>
      </c>
      <c r="C210" s="154">
        <f t="shared" si="25"/>
        <v>1</v>
      </c>
      <c r="D210" s="24" t="str">
        <f>D158</f>
        <v>%</v>
      </c>
      <c r="E210" s="91" t="s">
        <v>192</v>
      </c>
    </row>
    <row r="211" spans="1:5" ht="25" customHeight="1" x14ac:dyDescent="0.4">
      <c r="A211" s="101" t="s">
        <v>218</v>
      </c>
      <c r="B211" s="386">
        <v>265</v>
      </c>
      <c r="C211" s="386">
        <v>265</v>
      </c>
      <c r="D211" s="24" t="s">
        <v>259</v>
      </c>
      <c r="E211" s="104" t="s">
        <v>206</v>
      </c>
    </row>
    <row r="212" spans="1:5" ht="15.5" x14ac:dyDescent="0.4">
      <c r="A212" s="101" t="s">
        <v>171</v>
      </c>
      <c r="B212" s="102">
        <f>44/28</f>
        <v>1.5714285714285714</v>
      </c>
      <c r="C212" s="102">
        <f>44/28</f>
        <v>1.5714285714285714</v>
      </c>
      <c r="D212" s="24" t="s">
        <v>170</v>
      </c>
      <c r="E212" s="91" t="s">
        <v>77</v>
      </c>
    </row>
    <row r="213" spans="1:5" x14ac:dyDescent="0.25">
      <c r="A213" s="101"/>
      <c r="B213" s="102"/>
      <c r="C213" s="102"/>
      <c r="D213" s="24"/>
      <c r="E213" s="91"/>
    </row>
    <row r="214" spans="1:5" ht="12.75" customHeight="1" x14ac:dyDescent="0.25">
      <c r="A214" s="334" t="str">
        <f>A198</f>
        <v>2022/01/01-2022/01/31</v>
      </c>
      <c r="B214" s="130">
        <f ca="1">$B$182*$B$183*B185*B198*$B$210</f>
        <v>988.65403459200002</v>
      </c>
      <c r="C214" s="129">
        <f ca="1">$C$182*$C$183*C185*C198*$C$210</f>
        <v>109.60442534400001</v>
      </c>
      <c r="D214" s="403" t="s">
        <v>231</v>
      </c>
      <c r="E214" s="409" t="s">
        <v>194</v>
      </c>
    </row>
    <row r="215" spans="1:5" x14ac:dyDescent="0.25">
      <c r="A215" s="334" t="str">
        <f t="shared" ref="A215:A225" si="27">A199</f>
        <v>2022/02/01-2022/02/28</v>
      </c>
      <c r="B215" s="130">
        <f t="shared" ref="B215:B225" ca="1" si="28">$B$182*$B$183*B186*B199*$B$210</f>
        <v>883.02426307200005</v>
      </c>
      <c r="C215" s="129">
        <f t="shared" ref="C215:C225" ca="1" si="29">$C$182*$C$183*C186*C199*$C$210</f>
        <v>98.270242560000014</v>
      </c>
      <c r="D215" s="404"/>
      <c r="E215" s="410"/>
    </row>
    <row r="216" spans="1:5" x14ac:dyDescent="0.25">
      <c r="A216" s="334" t="str">
        <f t="shared" si="27"/>
        <v>2022/03/01-2022/03/31</v>
      </c>
      <c r="B216" s="130">
        <f t="shared" ca="1" si="28"/>
        <v>987.07974472800004</v>
      </c>
      <c r="C216" s="129">
        <f t="shared" ca="1" si="29"/>
        <v>108.99778559999999</v>
      </c>
      <c r="D216" s="404"/>
      <c r="E216" s="410"/>
    </row>
    <row r="217" spans="1:5" x14ac:dyDescent="0.25">
      <c r="A217" s="334" t="str">
        <f t="shared" si="27"/>
        <v>2022/04/01-2022/04/30</v>
      </c>
      <c r="B217" s="130">
        <f t="shared" ca="1" si="28"/>
        <v>946.09742472000005</v>
      </c>
      <c r="C217" s="129">
        <f t="shared" ca="1" si="29"/>
        <v>103.85411327999998</v>
      </c>
      <c r="D217" s="404"/>
      <c r="E217" s="410"/>
    </row>
    <row r="218" spans="1:5" x14ac:dyDescent="0.25">
      <c r="A218" s="334" t="str">
        <f t="shared" si="27"/>
        <v>2022/05/01-2022/05/31</v>
      </c>
      <c r="B218" s="130">
        <f t="shared" ca="1" si="28"/>
        <v>974.48542581600009</v>
      </c>
      <c r="C218" s="129">
        <f t="shared" ca="1" si="29"/>
        <v>109.31919359999999</v>
      </c>
      <c r="D218" s="404"/>
      <c r="E218" s="410"/>
    </row>
    <row r="219" spans="1:5" x14ac:dyDescent="0.25">
      <c r="A219" s="334" t="str">
        <f t="shared" si="27"/>
        <v>2022/06/01-2022/06/30</v>
      </c>
      <c r="B219" s="130">
        <f t="shared" ca="1" si="28"/>
        <v>953.71495632000006</v>
      </c>
      <c r="C219" s="129">
        <f t="shared" ca="1" si="29"/>
        <v>106.88903423999999</v>
      </c>
      <c r="D219" s="404"/>
      <c r="E219" s="410"/>
    </row>
    <row r="220" spans="1:5" x14ac:dyDescent="0.25">
      <c r="A220" s="334" t="str">
        <f t="shared" si="27"/>
        <v>2022/07/01-2022/07/31</v>
      </c>
      <c r="B220" s="130">
        <f t="shared" ca="1" si="28"/>
        <v>983.93116500000008</v>
      </c>
      <c r="C220" s="129">
        <f t="shared" ca="1" si="29"/>
        <v>109.75835001599998</v>
      </c>
      <c r="D220" s="404"/>
      <c r="E220" s="410"/>
    </row>
    <row r="221" spans="1:5" x14ac:dyDescent="0.25">
      <c r="A221" s="334" t="str">
        <f t="shared" si="27"/>
        <v>2022/08/01-2022/08/31</v>
      </c>
      <c r="B221" s="130">
        <f t="shared" ca="1" si="28"/>
        <v>987.07974472800004</v>
      </c>
      <c r="C221" s="129">
        <f t="shared" ca="1" si="29"/>
        <v>109.28373455999997</v>
      </c>
      <c r="D221" s="404"/>
      <c r="E221" s="410"/>
    </row>
    <row r="222" spans="1:5" x14ac:dyDescent="0.25">
      <c r="A222" s="334" t="str">
        <f t="shared" si="27"/>
        <v>2022/09/01-2022/09/30</v>
      </c>
      <c r="B222" s="130">
        <f t="shared" ca="1" si="28"/>
        <v>949.14443735999998</v>
      </c>
      <c r="C222" s="129">
        <f t="shared" ca="1" si="29"/>
        <v>105.71438591999998</v>
      </c>
      <c r="D222" s="404"/>
      <c r="E222" s="410"/>
    </row>
    <row r="223" spans="1:5" x14ac:dyDescent="0.25">
      <c r="A223" s="334" t="str">
        <f t="shared" si="27"/>
        <v>2022/10/01-2022/10/31</v>
      </c>
      <c r="B223" s="130">
        <f t="shared" ca="1" si="28"/>
        <v>977.63400554399993</v>
      </c>
      <c r="C223" s="129">
        <f t="shared" ca="1" si="29"/>
        <v>109.59060479999999</v>
      </c>
      <c r="D223" s="404"/>
      <c r="E223" s="410"/>
    </row>
    <row r="224" spans="1:5" x14ac:dyDescent="0.25">
      <c r="A224" s="334" t="str">
        <f t="shared" si="27"/>
        <v>2022/11/01-2022/11/30</v>
      </c>
      <c r="B224" s="130">
        <f t="shared" ca="1" si="28"/>
        <v>947.62093104000019</v>
      </c>
      <c r="C224" s="129">
        <f t="shared" ca="1" si="29"/>
        <v>107.61085439999998</v>
      </c>
      <c r="D224" s="404"/>
      <c r="E224" s="410"/>
    </row>
    <row r="225" spans="1:6" x14ac:dyDescent="0.25">
      <c r="A225" s="334" t="str">
        <f t="shared" si="27"/>
        <v>2022/12/01-2022/12/31</v>
      </c>
      <c r="B225" s="130">
        <f t="shared" ca="1" si="28"/>
        <v>976.05971568000007</v>
      </c>
      <c r="C225" s="129">
        <f t="shared" ca="1" si="29"/>
        <v>106.32798623999997</v>
      </c>
      <c r="D225" s="405"/>
      <c r="E225" s="410"/>
    </row>
    <row r="226" spans="1:6" ht="15.5" x14ac:dyDescent="0.4">
      <c r="A226" s="361" t="str">
        <f>A172</f>
        <v>01/01/2022-31/12/2022</v>
      </c>
      <c r="B226" s="426">
        <f ca="1">SUM(B214:B225)+SUM(C214:C225)</f>
        <v>12839.746559159999</v>
      </c>
      <c r="C226" s="426"/>
      <c r="D226" s="24" t="s">
        <v>231</v>
      </c>
      <c r="E226" s="410"/>
    </row>
    <row r="227" spans="1:6" ht="16" thickBot="1" x14ac:dyDescent="0.45">
      <c r="A227" s="170" t="s">
        <v>173</v>
      </c>
      <c r="B227" s="427">
        <f ca="1">B226</f>
        <v>12839.746559159999</v>
      </c>
      <c r="C227" s="427"/>
      <c r="D227" s="171" t="s">
        <v>258</v>
      </c>
      <c r="E227" s="417"/>
    </row>
    <row r="228" spans="1:6" ht="13" x14ac:dyDescent="0.3">
      <c r="A228" s="1"/>
      <c r="B228" s="175"/>
      <c r="C228" s="175"/>
    </row>
    <row r="229" spans="1:6" ht="16" thickBot="1" x14ac:dyDescent="0.45">
      <c r="A229" s="401" t="s">
        <v>260</v>
      </c>
      <c r="B229" s="402"/>
      <c r="C229" s="402"/>
      <c r="D229" s="402"/>
      <c r="E229" s="137">
        <f ca="1">B230</f>
        <v>5346</v>
      </c>
      <c r="F229" t="s">
        <v>296</v>
      </c>
    </row>
    <row r="230" spans="1:6" s="1" customFormat="1" ht="15.5" thickBot="1" x14ac:dyDescent="0.45">
      <c r="A230" s="387" t="str">
        <f>A226</f>
        <v>01/01/2022-31/12/2022</v>
      </c>
      <c r="B230" s="388">
        <f ca="1">INT(B211*B212/1000*(B226+B172))</f>
        <v>5346</v>
      </c>
      <c r="C230" s="1" t="s">
        <v>297</v>
      </c>
    </row>
    <row r="232" spans="1:6" x14ac:dyDescent="0.25">
      <c r="A232" s="177"/>
      <c r="B232" s="178"/>
      <c r="C232" s="179"/>
      <c r="D232" s="5"/>
    </row>
    <row r="233" spans="1:6" ht="15.5" x14ac:dyDescent="0.4">
      <c r="A233" s="180" t="s">
        <v>150</v>
      </c>
      <c r="B233" s="12"/>
      <c r="C233" s="13" t="s">
        <v>298</v>
      </c>
      <c r="D233" s="14"/>
      <c r="E233" s="301">
        <f ca="1">B235</f>
        <v>342997</v>
      </c>
      <c r="F233" t="s">
        <v>296</v>
      </c>
    </row>
    <row r="234" spans="1:6" x14ac:dyDescent="0.25">
      <c r="B234" s="181"/>
    </row>
    <row r="235" spans="1:6" ht="15.5" thickBot="1" x14ac:dyDescent="0.45">
      <c r="A235" s="176" t="str">
        <f>A230</f>
        <v>01/01/2022-31/12/2022</v>
      </c>
      <c r="B235" s="381">
        <f ca="1">ROUNDDOWN(B230+B86,0)</f>
        <v>342997</v>
      </c>
      <c r="C235" s="1" t="s">
        <v>297</v>
      </c>
      <c r="D235" s="6"/>
      <c r="E235" s="127"/>
    </row>
    <row r="240" spans="1:6" x14ac:dyDescent="0.25">
      <c r="D240" s="142"/>
    </row>
  </sheetData>
  <mergeCells count="32">
    <mergeCell ref="D18:D30"/>
    <mergeCell ref="E18:E30"/>
    <mergeCell ref="D31:D43"/>
    <mergeCell ref="E31:E43"/>
    <mergeCell ref="D117:D129"/>
    <mergeCell ref="D145:D157"/>
    <mergeCell ref="E145:E157"/>
    <mergeCell ref="E117:E129"/>
    <mergeCell ref="D132:D144"/>
    <mergeCell ref="E132:E144"/>
    <mergeCell ref="E160:E173"/>
    <mergeCell ref="B172:C172"/>
    <mergeCell ref="B173:C173"/>
    <mergeCell ref="B226:C226"/>
    <mergeCell ref="B227:C227"/>
    <mergeCell ref="D160:D171"/>
    <mergeCell ref="A229:D229"/>
    <mergeCell ref="D184:D196"/>
    <mergeCell ref="D197:D209"/>
    <mergeCell ref="D214:D225"/>
    <mergeCell ref="E46:E58"/>
    <mergeCell ref="D47:D58"/>
    <mergeCell ref="D60:D72"/>
    <mergeCell ref="E60:E72"/>
    <mergeCell ref="D104:D116"/>
    <mergeCell ref="E104:E116"/>
    <mergeCell ref="A90:D90"/>
    <mergeCell ref="E74:E87"/>
    <mergeCell ref="B86:C86"/>
    <mergeCell ref="E214:E227"/>
    <mergeCell ref="E184:E196"/>
    <mergeCell ref="E197:E209"/>
  </mergeCells>
  <phoneticPr fontId="36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37"/>
  <sheetViews>
    <sheetView topLeftCell="A292" zoomScale="80" zoomScaleNormal="80" workbookViewId="0">
      <selection activeCell="E335" sqref="E335"/>
    </sheetView>
  </sheetViews>
  <sheetFormatPr defaultRowHeight="12.5" x14ac:dyDescent="0.25"/>
  <cols>
    <col min="1" max="1" width="35.1796875" customWidth="1"/>
    <col min="2" max="2" width="20.81640625" customWidth="1"/>
    <col min="3" max="3" width="24.453125" customWidth="1"/>
    <col min="4" max="4" width="28" customWidth="1"/>
    <col min="5" max="5" width="47" customWidth="1"/>
  </cols>
  <sheetData>
    <row r="1" spans="1:5" ht="15.5" x14ac:dyDescent="0.35">
      <c r="A1" s="10" t="s">
        <v>49</v>
      </c>
    </row>
    <row r="3" spans="1:5" x14ac:dyDescent="0.25">
      <c r="E3" s="21"/>
    </row>
    <row r="4" spans="1:5" ht="13" x14ac:dyDescent="0.3">
      <c r="A4" s="17" t="s">
        <v>20</v>
      </c>
    </row>
    <row r="5" spans="1:5" ht="13" x14ac:dyDescent="0.3">
      <c r="A5" s="17"/>
    </row>
    <row r="6" spans="1:5" x14ac:dyDescent="0.25">
      <c r="A6" s="183" t="s">
        <v>44</v>
      </c>
      <c r="B6" s="183"/>
      <c r="C6" s="145"/>
    </row>
    <row r="7" spans="1:5" ht="13" x14ac:dyDescent="0.3">
      <c r="A7" s="1"/>
    </row>
    <row r="8" spans="1:5" ht="15.5" x14ac:dyDescent="0.3">
      <c r="A8" s="184"/>
      <c r="B8" s="15"/>
      <c r="D8" s="185"/>
      <c r="E8" s="21"/>
    </row>
    <row r="9" spans="1:5" ht="15" x14ac:dyDescent="0.3">
      <c r="A9" s="184"/>
      <c r="B9" s="3"/>
      <c r="C9" s="186"/>
      <c r="D9" s="186"/>
      <c r="E9" s="21"/>
    </row>
    <row r="10" spans="1:5" ht="15" x14ac:dyDescent="0.3">
      <c r="A10" s="184"/>
      <c r="B10" s="3"/>
      <c r="C10" s="186"/>
      <c r="D10" s="186"/>
      <c r="E10" s="21"/>
    </row>
    <row r="11" spans="1:5" ht="15" x14ac:dyDescent="0.25">
      <c r="B11" s="3"/>
      <c r="C11" s="186"/>
      <c r="D11" s="186"/>
      <c r="E11" s="21"/>
    </row>
    <row r="12" spans="1:5" ht="15.5" thickBot="1" x14ac:dyDescent="0.35">
      <c r="A12" s="184"/>
      <c r="B12" s="3"/>
      <c r="C12" s="186"/>
      <c r="D12" s="186"/>
    </row>
    <row r="13" spans="1:5" ht="13" x14ac:dyDescent="0.3">
      <c r="A13" s="187" t="s">
        <v>90</v>
      </c>
      <c r="B13" s="31" t="s">
        <v>89</v>
      </c>
      <c r="C13" s="31" t="s">
        <v>87</v>
      </c>
      <c r="D13" s="464" t="s">
        <v>88</v>
      </c>
      <c r="E13" s="465"/>
    </row>
    <row r="14" spans="1:5" ht="15" customHeight="1" x14ac:dyDescent="0.4">
      <c r="A14" s="188" t="s">
        <v>83</v>
      </c>
      <c r="B14" s="189"/>
      <c r="C14" s="490" t="s">
        <v>193</v>
      </c>
      <c r="D14" s="440" t="s">
        <v>299</v>
      </c>
      <c r="E14" s="441"/>
    </row>
    <row r="15" spans="1:5" ht="15" customHeight="1" x14ac:dyDescent="0.25">
      <c r="A15" s="126" t="str">
        <f>'Baseline emission'!A19</f>
        <v>2022/01/01-2022/01/31</v>
      </c>
      <c r="B15" s="189">
        <f>'monitoring results'!F21</f>
        <v>128.88</v>
      </c>
      <c r="C15" s="491"/>
      <c r="D15" s="442"/>
      <c r="E15" s="443"/>
    </row>
    <row r="16" spans="1:5" ht="15" customHeight="1" x14ac:dyDescent="0.25">
      <c r="A16" s="126" t="str">
        <f>'Baseline emission'!A20</f>
        <v>2022/02/01-2022/02/28</v>
      </c>
      <c r="B16" s="189">
        <f>'monitoring results'!F22</f>
        <v>116.29</v>
      </c>
      <c r="C16" s="491"/>
      <c r="D16" s="442"/>
      <c r="E16" s="443"/>
    </row>
    <row r="17" spans="1:5" ht="15" customHeight="1" x14ac:dyDescent="0.25">
      <c r="A17" s="126" t="str">
        <f>'Baseline emission'!A21</f>
        <v>2022/03/01-2022/03/31</v>
      </c>
      <c r="B17" s="189">
        <f>'monitoring results'!F23</f>
        <v>128.85999999999999</v>
      </c>
      <c r="C17" s="491"/>
      <c r="D17" s="442"/>
      <c r="E17" s="443"/>
    </row>
    <row r="18" spans="1:5" ht="15" customHeight="1" x14ac:dyDescent="0.25">
      <c r="A18" s="126" t="str">
        <f>'Baseline emission'!A22</f>
        <v>2022/04/01-2022/04/30</v>
      </c>
      <c r="B18" s="189">
        <f>'monitoring results'!F24</f>
        <v>125.08</v>
      </c>
      <c r="C18" s="491"/>
      <c r="D18" s="442"/>
      <c r="E18" s="443"/>
    </row>
    <row r="19" spans="1:5" ht="15" customHeight="1" x14ac:dyDescent="0.25">
      <c r="A19" s="126" t="str">
        <f>'Baseline emission'!A23</f>
        <v>2022/05/01-2022/05/31</v>
      </c>
      <c r="B19" s="189">
        <f>'monitoring results'!F25</f>
        <v>129.85</v>
      </c>
      <c r="C19" s="491"/>
      <c r="D19" s="442"/>
      <c r="E19" s="443"/>
    </row>
    <row r="20" spans="1:5" ht="15" customHeight="1" x14ac:dyDescent="0.25">
      <c r="A20" s="126" t="str">
        <f>'Baseline emission'!A24</f>
        <v>2022/06/01-2022/06/30</v>
      </c>
      <c r="B20" s="189">
        <f>'monitoring results'!F26</f>
        <v>125.18</v>
      </c>
      <c r="C20" s="491"/>
      <c r="D20" s="442"/>
      <c r="E20" s="443"/>
    </row>
    <row r="21" spans="1:5" ht="15" customHeight="1" x14ac:dyDescent="0.25">
      <c r="A21" s="126" t="str">
        <f>'Baseline emission'!A25</f>
        <v>2022/07/01-2022/07/31</v>
      </c>
      <c r="B21" s="189">
        <f>'monitoring results'!F27</f>
        <v>128.97</v>
      </c>
      <c r="C21" s="491"/>
      <c r="D21" s="442"/>
      <c r="E21" s="443"/>
    </row>
    <row r="22" spans="1:5" ht="15" customHeight="1" x14ac:dyDescent="0.25">
      <c r="A22" s="126" t="str">
        <f>'Baseline emission'!A26</f>
        <v>2022/08/01-2022/08/31</v>
      </c>
      <c r="B22" s="396">
        <f>'monitoring results'!F28</f>
        <v>128.89999999999998</v>
      </c>
      <c r="C22" s="491"/>
      <c r="D22" s="442"/>
      <c r="E22" s="443"/>
    </row>
    <row r="23" spans="1:5" ht="15" customHeight="1" x14ac:dyDescent="0.25">
      <c r="A23" s="126" t="str">
        <f>'Baseline emission'!A27</f>
        <v>2022/09/01-2022/09/30</v>
      </c>
      <c r="B23" s="396">
        <f>'monitoring results'!F29</f>
        <v>125.1</v>
      </c>
      <c r="C23" s="491"/>
      <c r="D23" s="442"/>
      <c r="E23" s="443"/>
    </row>
    <row r="24" spans="1:5" ht="15" customHeight="1" x14ac:dyDescent="0.25">
      <c r="A24" s="126" t="str">
        <f>'Baseline emission'!A28</f>
        <v>2022/10/01-2022/10/31</v>
      </c>
      <c r="B24" s="189">
        <f>'monitoring results'!F30</f>
        <v>129.04</v>
      </c>
      <c r="C24" s="491"/>
      <c r="D24" s="442"/>
      <c r="E24" s="443"/>
    </row>
    <row r="25" spans="1:5" ht="15" customHeight="1" x14ac:dyDescent="0.25">
      <c r="A25" s="126" t="str">
        <f>'Baseline emission'!A29</f>
        <v>2022/11/01-2022/11/30</v>
      </c>
      <c r="B25" s="189">
        <f>'monitoring results'!F31</f>
        <v>125.76</v>
      </c>
      <c r="C25" s="491"/>
      <c r="D25" s="442"/>
      <c r="E25" s="443"/>
    </row>
    <row r="26" spans="1:5" ht="15" customHeight="1" x14ac:dyDescent="0.25">
      <c r="A26" s="126" t="str">
        <f>'Baseline emission'!A30</f>
        <v>2022/12/01-2022/12/31</v>
      </c>
      <c r="B26" s="189">
        <f>'monitoring results'!F32</f>
        <v>129.12</v>
      </c>
      <c r="C26" s="492"/>
      <c r="D26" s="444"/>
      <c r="E26" s="445"/>
    </row>
    <row r="27" spans="1:5" ht="28" customHeight="1" x14ac:dyDescent="0.4">
      <c r="A27" s="188" t="s">
        <v>84</v>
      </c>
      <c r="B27" s="191">
        <f>(0.8587*0.5+0.2854*0.5)</f>
        <v>0.57204999999999995</v>
      </c>
      <c r="C27" s="190" t="s">
        <v>91</v>
      </c>
      <c r="D27" s="493" t="s">
        <v>219</v>
      </c>
      <c r="E27" s="494"/>
    </row>
    <row r="28" spans="1:5" ht="28.5" customHeight="1" x14ac:dyDescent="0.4">
      <c r="A28" s="188" t="s">
        <v>85</v>
      </c>
      <c r="B28" s="37">
        <v>0.2</v>
      </c>
      <c r="C28" s="190" t="s">
        <v>149</v>
      </c>
      <c r="D28" s="493" t="s">
        <v>220</v>
      </c>
      <c r="E28" s="494"/>
    </row>
    <row r="29" spans="1:5" ht="15" customHeight="1" x14ac:dyDescent="0.4">
      <c r="A29" s="192" t="s">
        <v>86</v>
      </c>
      <c r="B29" s="308">
        <f>B30</f>
        <v>1045</v>
      </c>
      <c r="C29" s="193"/>
      <c r="D29" s="495"/>
      <c r="E29" s="496"/>
    </row>
    <row r="30" spans="1:5" ht="15" customHeight="1" x14ac:dyDescent="0.3">
      <c r="A30" s="182" t="str">
        <f>'Baseline emission'!A86</f>
        <v>01/01/2022-31/12/2022</v>
      </c>
      <c r="B30" s="308">
        <f>ROUNDUP((SUM(B15:B26)*B27*(1+B28)),0)</f>
        <v>1045</v>
      </c>
      <c r="C30" s="193" t="s">
        <v>175</v>
      </c>
      <c r="D30" s="497"/>
      <c r="E30" s="498"/>
    </row>
    <row r="31" spans="1:5" ht="23.5" customHeight="1" thickBot="1" x14ac:dyDescent="0.45">
      <c r="A31" s="194" t="s">
        <v>176</v>
      </c>
      <c r="B31" s="107">
        <v>0</v>
      </c>
      <c r="C31" s="195" t="s">
        <v>175</v>
      </c>
      <c r="D31" s="499" t="s">
        <v>347</v>
      </c>
      <c r="E31" s="500"/>
    </row>
    <row r="32" spans="1:5" ht="23.5" customHeight="1" x14ac:dyDescent="0.3">
      <c r="A32" s="184"/>
      <c r="B32" s="196"/>
      <c r="C32" s="197"/>
      <c r="D32" s="198"/>
      <c r="E32" s="198"/>
    </row>
    <row r="33" spans="1:5" ht="23.5" customHeight="1" x14ac:dyDescent="0.3">
      <c r="A33" s="184"/>
      <c r="B33" s="196"/>
      <c r="C33" s="197"/>
      <c r="D33" s="198"/>
      <c r="E33" s="198"/>
    </row>
    <row r="34" spans="1:5" ht="15" customHeight="1" x14ac:dyDescent="0.3">
      <c r="A34" s="184"/>
      <c r="B34" s="3"/>
      <c r="C34" s="186"/>
      <c r="D34" s="177"/>
    </row>
    <row r="35" spans="1:5" ht="15" customHeight="1" x14ac:dyDescent="0.3">
      <c r="A35" s="184"/>
      <c r="B35" s="3"/>
      <c r="C35" s="186"/>
      <c r="D35" s="177"/>
    </row>
    <row r="36" spans="1:5" ht="15.5" thickBot="1" x14ac:dyDescent="0.35">
      <c r="A36" s="184"/>
      <c r="B36" s="3"/>
      <c r="C36" s="186"/>
      <c r="D36" s="186"/>
    </row>
    <row r="37" spans="1:5" ht="13" x14ac:dyDescent="0.3">
      <c r="A37" s="30" t="s">
        <v>90</v>
      </c>
      <c r="B37" s="31" t="s">
        <v>221</v>
      </c>
      <c r="C37" s="31" t="s">
        <v>87</v>
      </c>
      <c r="D37" s="464" t="s">
        <v>4</v>
      </c>
      <c r="E37" s="465"/>
    </row>
    <row r="38" spans="1:5" ht="15.5" x14ac:dyDescent="0.4">
      <c r="A38" s="29" t="s">
        <v>81</v>
      </c>
      <c r="B38" s="153">
        <f>'Baseline emission'!B12</f>
        <v>28</v>
      </c>
      <c r="C38" s="24" t="s">
        <v>222</v>
      </c>
      <c r="D38" s="466" t="s">
        <v>223</v>
      </c>
      <c r="E38" s="467"/>
    </row>
    <row r="39" spans="1:5" ht="15.5" x14ac:dyDescent="0.4">
      <c r="A39" s="29" t="s">
        <v>82</v>
      </c>
      <c r="B39" s="153">
        <v>0.05</v>
      </c>
      <c r="C39" s="24" t="s">
        <v>224</v>
      </c>
      <c r="D39" s="466" t="s">
        <v>177</v>
      </c>
      <c r="E39" s="467"/>
    </row>
    <row r="40" spans="1:5" ht="12.75" customHeight="1" x14ac:dyDescent="0.25">
      <c r="A40" s="199" t="s">
        <v>300</v>
      </c>
      <c r="B40" s="200"/>
      <c r="C40" s="437" t="s">
        <v>181</v>
      </c>
      <c r="D40" s="440" t="s">
        <v>225</v>
      </c>
      <c r="E40" s="441"/>
    </row>
    <row r="41" spans="1:5" x14ac:dyDescent="0.25">
      <c r="A41" s="126" t="str">
        <f t="shared" ref="A41:A52" si="0">A15</f>
        <v>2022/01/01-2022/01/31</v>
      </c>
      <c r="B41" s="309">
        <f>'monitoring results'!T39</f>
        <v>1062.2410157457002</v>
      </c>
      <c r="C41" s="438"/>
      <c r="D41" s="442"/>
      <c r="E41" s="443"/>
    </row>
    <row r="42" spans="1:5" x14ac:dyDescent="0.25">
      <c r="A42" s="126" t="str">
        <f t="shared" si="0"/>
        <v>2022/02/01-2022/02/28</v>
      </c>
      <c r="B42" s="309">
        <f>'monitoring results'!T40</f>
        <v>928.33856290034998</v>
      </c>
      <c r="C42" s="438"/>
      <c r="D42" s="442"/>
      <c r="E42" s="443"/>
    </row>
    <row r="43" spans="1:5" x14ac:dyDescent="0.25">
      <c r="A43" s="126" t="str">
        <f t="shared" si="0"/>
        <v>2022/03/01-2022/03/31</v>
      </c>
      <c r="B43" s="309">
        <f>'monitoring results'!T41</f>
        <v>1033.7450373942299</v>
      </c>
      <c r="C43" s="438"/>
      <c r="D43" s="442"/>
      <c r="E43" s="443"/>
    </row>
    <row r="44" spans="1:5" x14ac:dyDescent="0.25">
      <c r="A44" s="126" t="str">
        <f t="shared" si="0"/>
        <v>2022/04/01-2022/04/30</v>
      </c>
      <c r="B44" s="309">
        <f>'monitoring results'!T42</f>
        <v>1022.6124128215798</v>
      </c>
      <c r="C44" s="438"/>
      <c r="D44" s="442"/>
      <c r="E44" s="443"/>
    </row>
    <row r="45" spans="1:5" x14ac:dyDescent="0.25">
      <c r="A45" s="126" t="str">
        <f t="shared" si="0"/>
        <v>2022/05/01-2022/05/31</v>
      </c>
      <c r="B45" s="309">
        <f>'monitoring results'!T43</f>
        <v>1041.890575509</v>
      </c>
      <c r="C45" s="438"/>
      <c r="D45" s="442"/>
      <c r="E45" s="443"/>
    </row>
    <row r="46" spans="1:5" x14ac:dyDescent="0.25">
      <c r="A46" s="126" t="str">
        <f t="shared" si="0"/>
        <v>2022/06/01-2022/06/30</v>
      </c>
      <c r="B46" s="309">
        <f>'monitoring results'!T44</f>
        <v>1015.5905502712203</v>
      </c>
      <c r="C46" s="438"/>
      <c r="D46" s="442"/>
      <c r="E46" s="443"/>
    </row>
    <row r="47" spans="1:5" x14ac:dyDescent="0.25">
      <c r="A47" s="126" t="str">
        <f t="shared" si="0"/>
        <v>2022/07/01-2022/07/31</v>
      </c>
      <c r="B47" s="309">
        <f>'monitoring results'!T45</f>
        <v>1050.5354904576002</v>
      </c>
      <c r="C47" s="438"/>
      <c r="D47" s="442"/>
      <c r="E47" s="443"/>
    </row>
    <row r="48" spans="1:5" x14ac:dyDescent="0.25">
      <c r="A48" s="126" t="str">
        <f t="shared" si="0"/>
        <v>2022/08/01-2022/08/31</v>
      </c>
      <c r="B48" s="309">
        <f>'monitoring results'!T46</f>
        <v>1032.6782608814701</v>
      </c>
      <c r="C48" s="438"/>
      <c r="D48" s="442"/>
      <c r="E48" s="443"/>
    </row>
    <row r="49" spans="1:5" x14ac:dyDescent="0.25">
      <c r="A49" s="126" t="str">
        <f t="shared" si="0"/>
        <v>2022/09/01-2022/09/30</v>
      </c>
      <c r="B49" s="309">
        <f>'monitoring results'!T47</f>
        <v>1029.6462032879399</v>
      </c>
      <c r="C49" s="438"/>
      <c r="D49" s="442"/>
      <c r="E49" s="443"/>
    </row>
    <row r="50" spans="1:5" x14ac:dyDescent="0.25">
      <c r="A50" s="126" t="str">
        <f t="shared" si="0"/>
        <v>2022/10/01-2022/10/31</v>
      </c>
      <c r="B50" s="309">
        <f>'monitoring results'!T48</f>
        <v>1054.1647316151</v>
      </c>
      <c r="C50" s="438"/>
      <c r="D50" s="442"/>
      <c r="E50" s="443"/>
    </row>
    <row r="51" spans="1:5" x14ac:dyDescent="0.25">
      <c r="A51" s="126" t="str">
        <f t="shared" si="0"/>
        <v>2022/11/01-2022/11/30</v>
      </c>
      <c r="B51" s="309">
        <f>'monitoring results'!T49</f>
        <v>1009.5131775355202</v>
      </c>
      <c r="C51" s="438"/>
      <c r="D51" s="442"/>
      <c r="E51" s="443"/>
    </row>
    <row r="52" spans="1:5" x14ac:dyDescent="0.25">
      <c r="A52" s="126" t="str">
        <f t="shared" si="0"/>
        <v>2022/12/01-2022/12/31</v>
      </c>
      <c r="B52" s="309">
        <f>'monitoring results'!T50</f>
        <v>1030.26559823649</v>
      </c>
      <c r="C52" s="439"/>
      <c r="D52" s="444"/>
      <c r="E52" s="445"/>
    </row>
    <row r="53" spans="1:5" ht="15" customHeight="1" x14ac:dyDescent="0.25">
      <c r="A53" s="201" t="s">
        <v>93</v>
      </c>
      <c r="B53" s="34">
        <f>B54</f>
        <v>17236</v>
      </c>
      <c r="C53" s="110"/>
      <c r="D53" s="449" t="s">
        <v>92</v>
      </c>
      <c r="E53" s="450"/>
    </row>
    <row r="54" spans="1:5" ht="15" customHeight="1" thickBot="1" x14ac:dyDescent="0.35">
      <c r="A54" s="176" t="str">
        <f>A30</f>
        <v>01/01/2022-31/12/2022</v>
      </c>
      <c r="B54" s="328">
        <f>ROUNDUP((SUM(B41:B52)*B38*B39),0)</f>
        <v>17236</v>
      </c>
      <c r="C54" s="295" t="s">
        <v>175</v>
      </c>
      <c r="D54" s="453"/>
      <c r="E54" s="454"/>
    </row>
    <row r="55" spans="1:5" ht="13" x14ac:dyDescent="0.3">
      <c r="A55" s="139"/>
      <c r="B55" s="175"/>
      <c r="C55" s="1"/>
      <c r="D55" s="1"/>
      <c r="E55" s="1"/>
    </row>
    <row r="56" spans="1:5" ht="13" x14ac:dyDescent="0.3">
      <c r="A56" s="139"/>
      <c r="B56" s="175"/>
      <c r="C56" s="1"/>
      <c r="D56" s="1"/>
      <c r="E56" s="1"/>
    </row>
    <row r="57" spans="1:5" ht="13" x14ac:dyDescent="0.3">
      <c r="A57" s="139"/>
      <c r="B57" s="175"/>
      <c r="C57" s="1"/>
      <c r="D57" s="1"/>
      <c r="E57" s="1"/>
    </row>
    <row r="58" spans="1:5" ht="13" x14ac:dyDescent="0.3">
      <c r="A58" s="139"/>
      <c r="B58" s="175"/>
      <c r="C58" s="1"/>
      <c r="D58" s="1"/>
      <c r="E58" s="1"/>
    </row>
    <row r="59" spans="1:5" ht="13" x14ac:dyDescent="0.3">
      <c r="A59" s="139"/>
      <c r="B59" s="175"/>
      <c r="C59" s="1"/>
      <c r="D59" s="1"/>
      <c r="E59" s="1"/>
    </row>
    <row r="60" spans="1:5" ht="13" x14ac:dyDescent="0.3">
      <c r="A60" s="139"/>
      <c r="B60" s="175"/>
      <c r="C60" s="1"/>
      <c r="D60" s="1"/>
      <c r="E60" s="1"/>
    </row>
    <row r="61" spans="1:5" ht="13.5" thickBot="1" x14ac:dyDescent="0.35">
      <c r="A61" s="139"/>
      <c r="B61" s="175"/>
      <c r="C61" s="1"/>
      <c r="D61" s="1"/>
      <c r="E61" s="1"/>
    </row>
    <row r="62" spans="1:5" ht="13" x14ac:dyDescent="0.3">
      <c r="A62" s="30" t="s">
        <v>90</v>
      </c>
      <c r="B62" s="31" t="s">
        <v>198</v>
      </c>
      <c r="C62" s="31" t="s">
        <v>87</v>
      </c>
      <c r="D62" s="464" t="s">
        <v>4</v>
      </c>
      <c r="E62" s="465"/>
    </row>
    <row r="63" spans="1:5" ht="13" x14ac:dyDescent="0.3">
      <c r="A63" s="292"/>
      <c r="B63" s="293"/>
      <c r="C63" s="293"/>
      <c r="D63" s="501"/>
      <c r="E63" s="502"/>
    </row>
    <row r="64" spans="1:5" ht="15.5" x14ac:dyDescent="0.4">
      <c r="A64" s="29" t="s">
        <v>81</v>
      </c>
      <c r="B64" s="153">
        <f>'Baseline emission'!B12</f>
        <v>28</v>
      </c>
      <c r="C64" s="24" t="s">
        <v>222</v>
      </c>
      <c r="D64" s="466" t="s">
        <v>223</v>
      </c>
      <c r="E64" s="467"/>
    </row>
    <row r="65" spans="1:7" ht="12.75" customHeight="1" x14ac:dyDescent="0.25">
      <c r="A65" s="126" t="str">
        <f t="shared" ref="A65:A76" si="1">A41</f>
        <v>2022/01/01-2022/01/31</v>
      </c>
      <c r="B65" s="150">
        <f>'monitoring results'!S39*'monitoring results'!P39*'monitoring results'!Q39/100</f>
        <v>0</v>
      </c>
      <c r="C65" s="446" t="s">
        <v>200</v>
      </c>
      <c r="D65" s="440" t="s">
        <v>276</v>
      </c>
      <c r="E65" s="441"/>
    </row>
    <row r="66" spans="1:7" x14ac:dyDescent="0.25">
      <c r="A66" s="126" t="str">
        <f t="shared" si="1"/>
        <v>2022/02/01-2022/02/28</v>
      </c>
      <c r="B66" s="150">
        <f>'monitoring results'!S40*'monitoring results'!P40*'monitoring results'!Q40/100</f>
        <v>0</v>
      </c>
      <c r="C66" s="447"/>
      <c r="D66" s="442"/>
      <c r="E66" s="443"/>
      <c r="G66" s="142"/>
    </row>
    <row r="67" spans="1:7" x14ac:dyDescent="0.25">
      <c r="A67" s="126" t="str">
        <f t="shared" si="1"/>
        <v>2022/03/01-2022/03/31</v>
      </c>
      <c r="B67" s="150">
        <f>'monitoring results'!S41*'monitoring results'!P41*'monitoring results'!Q41/100</f>
        <v>0</v>
      </c>
      <c r="C67" s="447"/>
      <c r="D67" s="442"/>
      <c r="E67" s="443"/>
    </row>
    <row r="68" spans="1:7" x14ac:dyDescent="0.25">
      <c r="A68" s="126" t="str">
        <f t="shared" si="1"/>
        <v>2022/04/01-2022/04/30</v>
      </c>
      <c r="B68" s="150">
        <f>'monitoring results'!S42*'monitoring results'!P42*'monitoring results'!Q42/100</f>
        <v>0</v>
      </c>
      <c r="C68" s="447"/>
      <c r="D68" s="442"/>
      <c r="E68" s="443"/>
    </row>
    <row r="69" spans="1:7" x14ac:dyDescent="0.25">
      <c r="A69" s="126" t="str">
        <f t="shared" si="1"/>
        <v>2022/05/01-2022/05/31</v>
      </c>
      <c r="B69" s="150">
        <f>'monitoring results'!S43*'monitoring results'!P43*'monitoring results'!Q43/100</f>
        <v>0</v>
      </c>
      <c r="C69" s="447"/>
      <c r="D69" s="442"/>
      <c r="E69" s="443"/>
    </row>
    <row r="70" spans="1:7" x14ac:dyDescent="0.25">
      <c r="A70" s="126" t="str">
        <f t="shared" si="1"/>
        <v>2022/06/01-2022/06/30</v>
      </c>
      <c r="B70" s="150">
        <f>'monitoring results'!S44*'monitoring results'!P44*'monitoring results'!Q44/100</f>
        <v>0</v>
      </c>
      <c r="C70" s="447"/>
      <c r="D70" s="442"/>
      <c r="E70" s="443"/>
    </row>
    <row r="71" spans="1:7" x14ac:dyDescent="0.25">
      <c r="A71" s="126" t="str">
        <f t="shared" si="1"/>
        <v>2022/07/01-2022/07/31</v>
      </c>
      <c r="B71" s="150">
        <f>'monitoring results'!S45*'monitoring results'!P45*'monitoring results'!Q45/100</f>
        <v>0</v>
      </c>
      <c r="C71" s="447"/>
      <c r="D71" s="442"/>
      <c r="E71" s="443"/>
    </row>
    <row r="72" spans="1:7" x14ac:dyDescent="0.25">
      <c r="A72" s="126" t="str">
        <f t="shared" si="1"/>
        <v>2022/08/01-2022/08/31</v>
      </c>
      <c r="B72" s="150">
        <f>'monitoring results'!S46*'monitoring results'!P46*'monitoring results'!Q46/100</f>
        <v>0</v>
      </c>
      <c r="C72" s="447"/>
      <c r="D72" s="442"/>
      <c r="E72" s="443"/>
    </row>
    <row r="73" spans="1:7" x14ac:dyDescent="0.25">
      <c r="A73" s="126" t="str">
        <f t="shared" si="1"/>
        <v>2022/09/01-2022/09/30</v>
      </c>
      <c r="B73" s="150">
        <f>'monitoring results'!S47*'monitoring results'!P47*'monitoring results'!Q47/100</f>
        <v>0</v>
      </c>
      <c r="C73" s="447"/>
      <c r="D73" s="442"/>
      <c r="E73" s="443"/>
    </row>
    <row r="74" spans="1:7" x14ac:dyDescent="0.25">
      <c r="A74" s="126" t="str">
        <f t="shared" si="1"/>
        <v>2022/10/01-2022/10/31</v>
      </c>
      <c r="B74" s="150">
        <f>'monitoring results'!S48*'monitoring results'!P48*'monitoring results'!Q48/100</f>
        <v>0</v>
      </c>
      <c r="C74" s="447"/>
      <c r="D74" s="442"/>
      <c r="E74" s="443"/>
    </row>
    <row r="75" spans="1:7" x14ac:dyDescent="0.25">
      <c r="A75" s="126" t="str">
        <f t="shared" si="1"/>
        <v>2022/11/01-2022/11/30</v>
      </c>
      <c r="B75" s="150">
        <f>'monitoring results'!S49*'monitoring results'!P49*'monitoring results'!Q49/100</f>
        <v>0</v>
      </c>
      <c r="C75" s="447"/>
      <c r="D75" s="442"/>
      <c r="E75" s="443"/>
    </row>
    <row r="76" spans="1:7" x14ac:dyDescent="0.25">
      <c r="A76" s="126" t="str">
        <f t="shared" si="1"/>
        <v>2022/12/01-2022/12/31</v>
      </c>
      <c r="B76" s="150">
        <f>'monitoring results'!S50*'monitoring results'!P50*'monitoring results'!Q50/100</f>
        <v>0</v>
      </c>
      <c r="C76" s="448"/>
      <c r="D76" s="444"/>
      <c r="E76" s="445"/>
    </row>
    <row r="77" spans="1:7" ht="15.5" x14ac:dyDescent="0.4">
      <c r="A77" s="126" t="s">
        <v>199</v>
      </c>
      <c r="B77" s="362">
        <v>0</v>
      </c>
      <c r="C77" s="110" t="s">
        <v>149</v>
      </c>
      <c r="D77" s="468" t="s">
        <v>201</v>
      </c>
      <c r="E77" s="469"/>
    </row>
    <row r="78" spans="1:7" ht="15" x14ac:dyDescent="0.4">
      <c r="A78" s="182" t="s">
        <v>325</v>
      </c>
      <c r="B78" s="34">
        <f>B79</f>
        <v>0</v>
      </c>
      <c r="C78" s="110"/>
      <c r="D78" s="449" t="s">
        <v>191</v>
      </c>
      <c r="E78" s="450"/>
    </row>
    <row r="79" spans="1:7" ht="13" x14ac:dyDescent="0.3">
      <c r="A79" s="182" t="str">
        <f>A54</f>
        <v>01/01/2022-31/12/2022</v>
      </c>
      <c r="B79" s="34">
        <f>ROUNDUP((SUM(B65:B76)*B64*(1-B77)),0)</f>
        <v>0</v>
      </c>
      <c r="C79" s="110"/>
      <c r="D79" s="451"/>
      <c r="E79" s="452"/>
    </row>
    <row r="80" spans="1:7" ht="15" x14ac:dyDescent="0.25">
      <c r="A80" s="201" t="s">
        <v>178</v>
      </c>
      <c r="B80" s="34">
        <f>B81</f>
        <v>18281</v>
      </c>
      <c r="C80" s="476" t="s">
        <v>186</v>
      </c>
      <c r="D80" s="451"/>
      <c r="E80" s="452"/>
    </row>
    <row r="81" spans="1:5" ht="13.5" thickBot="1" x14ac:dyDescent="0.35">
      <c r="A81" s="176" t="str">
        <f>A79</f>
        <v>01/01/2022-31/12/2022</v>
      </c>
      <c r="B81" s="296">
        <f>B79+B54+B30</f>
        <v>18281</v>
      </c>
      <c r="C81" s="477"/>
      <c r="D81" s="453"/>
      <c r="E81" s="454"/>
    </row>
    <row r="82" spans="1:5" ht="13" x14ac:dyDescent="0.3">
      <c r="A82" s="139"/>
      <c r="B82" s="175"/>
      <c r="C82" s="1"/>
      <c r="D82" s="1"/>
      <c r="E82" s="1"/>
    </row>
    <row r="83" spans="1:5" ht="13" x14ac:dyDescent="0.3">
      <c r="A83" s="139"/>
      <c r="B83" s="175"/>
      <c r="C83" s="1"/>
      <c r="D83" s="1"/>
      <c r="E83" s="1"/>
    </row>
    <row r="84" spans="1:5" ht="13" x14ac:dyDescent="0.3">
      <c r="A84" s="202"/>
      <c r="B84" s="175"/>
      <c r="C84" s="1"/>
      <c r="D84" s="1"/>
      <c r="E84" s="1"/>
    </row>
    <row r="85" spans="1:5" x14ac:dyDescent="0.25">
      <c r="A85" s="19" t="s">
        <v>45</v>
      </c>
      <c r="B85" s="18"/>
    </row>
    <row r="86" spans="1:5" x14ac:dyDescent="0.25">
      <c r="A86" s="203"/>
    </row>
    <row r="87" spans="1:5" x14ac:dyDescent="0.25">
      <c r="A87" s="203"/>
      <c r="E87" s="20"/>
    </row>
    <row r="88" spans="1:5" x14ac:dyDescent="0.25">
      <c r="A88" s="203"/>
    </row>
    <row r="89" spans="1:5" x14ac:dyDescent="0.25">
      <c r="A89" s="203"/>
    </row>
    <row r="90" spans="1:5" x14ac:dyDescent="0.25">
      <c r="A90" s="203"/>
    </row>
    <row r="91" spans="1:5" ht="13.5" thickBot="1" x14ac:dyDescent="0.3">
      <c r="A91" s="204"/>
      <c r="B91" s="205"/>
      <c r="C91" s="205"/>
    </row>
    <row r="92" spans="1:5" ht="13" x14ac:dyDescent="0.25">
      <c r="A92" s="206" t="s">
        <v>3</v>
      </c>
      <c r="B92" s="207" t="s">
        <v>19</v>
      </c>
      <c r="C92" s="207"/>
      <c r="D92" s="35" t="s">
        <v>2</v>
      </c>
      <c r="E92" s="36" t="s">
        <v>4</v>
      </c>
    </row>
    <row r="93" spans="1:5" ht="13" x14ac:dyDescent="0.25">
      <c r="A93" s="201"/>
      <c r="B93" s="208" t="s">
        <v>33</v>
      </c>
      <c r="C93" s="208" t="s">
        <v>34</v>
      </c>
      <c r="D93" s="28"/>
      <c r="E93" s="33"/>
    </row>
    <row r="94" spans="1:5" ht="15.5" x14ac:dyDescent="0.4">
      <c r="A94" s="199" t="s">
        <v>153</v>
      </c>
      <c r="B94" s="214">
        <f>'Baseline emission'!B12</f>
        <v>28</v>
      </c>
      <c r="C94" s="214">
        <f>B94</f>
        <v>28</v>
      </c>
      <c r="D94" s="24" t="s">
        <v>222</v>
      </c>
      <c r="E94" s="119" t="s">
        <v>223</v>
      </c>
    </row>
    <row r="95" spans="1:5" ht="15.5" x14ac:dyDescent="0.25">
      <c r="A95" s="199" t="s">
        <v>154</v>
      </c>
      <c r="B95" s="210">
        <v>6.7000000000000002E-4</v>
      </c>
      <c r="C95" s="210">
        <v>6.7000000000000002E-4</v>
      </c>
      <c r="D95" s="24" t="s">
        <v>226</v>
      </c>
      <c r="E95" s="211" t="s">
        <v>179</v>
      </c>
    </row>
    <row r="96" spans="1:5" x14ac:dyDescent="0.25">
      <c r="A96" s="212"/>
      <c r="B96" s="213">
        <v>1E-3</v>
      </c>
      <c r="C96" s="213">
        <v>1E-3</v>
      </c>
      <c r="D96" s="24" t="s">
        <v>149</v>
      </c>
      <c r="E96" s="211"/>
    </row>
    <row r="97" spans="1:5" ht="15.5" x14ac:dyDescent="0.25">
      <c r="A97" s="199" t="s">
        <v>155</v>
      </c>
      <c r="B97" s="88">
        <v>1</v>
      </c>
      <c r="C97" s="88">
        <v>1</v>
      </c>
      <c r="D97" s="24" t="s">
        <v>149</v>
      </c>
      <c r="E97" s="211"/>
    </row>
    <row r="98" spans="1:5" ht="15.5" x14ac:dyDescent="0.25">
      <c r="A98" s="199" t="s">
        <v>156</v>
      </c>
      <c r="B98" s="88">
        <f>(1-80%)</f>
        <v>0.19999999999999996</v>
      </c>
      <c r="C98" s="88">
        <f>(1-80%)</f>
        <v>0.19999999999999996</v>
      </c>
      <c r="D98" s="24" t="s">
        <v>149</v>
      </c>
      <c r="E98" s="119" t="s">
        <v>280</v>
      </c>
    </row>
    <row r="99" spans="1:5" ht="16" x14ac:dyDescent="0.4">
      <c r="A99" s="199" t="s">
        <v>157</v>
      </c>
      <c r="B99" s="209">
        <f>'[3]Baseline Emission'!B17</f>
        <v>0.28999999999999998</v>
      </c>
      <c r="C99" s="209">
        <f>'[3]Baseline Emission'!C17</f>
        <v>0.28999999999999998</v>
      </c>
      <c r="D99" s="24" t="s">
        <v>275</v>
      </c>
      <c r="E99" s="111" t="s">
        <v>180</v>
      </c>
    </row>
    <row r="100" spans="1:5" ht="15.75" customHeight="1" x14ac:dyDescent="0.25">
      <c r="A100" s="199" t="s">
        <v>158</v>
      </c>
      <c r="B100" s="214"/>
      <c r="C100" s="214"/>
      <c r="D100" s="403" t="str">
        <f>'[3]Baseline Emission'!D18</f>
        <v>No of heads</v>
      </c>
      <c r="E100" s="503" t="s">
        <v>274</v>
      </c>
    </row>
    <row r="101" spans="1:5" x14ac:dyDescent="0.25">
      <c r="A101" s="126" t="str">
        <f t="shared" ref="A101:A112" si="2">A65</f>
        <v>2022/01/01-2022/01/31</v>
      </c>
      <c r="B101" s="214">
        <f>'monitoring results'!F4</f>
        <v>302283</v>
      </c>
      <c r="C101" s="214">
        <f>'monitoring results'!G4</f>
        <v>45922</v>
      </c>
      <c r="D101" s="404"/>
      <c r="E101" s="504"/>
    </row>
    <row r="102" spans="1:5" x14ac:dyDescent="0.25">
      <c r="A102" s="126" t="str">
        <f t="shared" si="2"/>
        <v>2022/02/01-2022/02/28</v>
      </c>
      <c r="B102" s="214">
        <f>'monitoring results'!F5</f>
        <v>302283</v>
      </c>
      <c r="C102" s="214">
        <f>'monitoring results'!G5</f>
        <v>45986</v>
      </c>
      <c r="D102" s="404"/>
      <c r="E102" s="504"/>
    </row>
    <row r="103" spans="1:5" x14ac:dyDescent="0.25">
      <c r="A103" s="126" t="str">
        <f t="shared" si="2"/>
        <v>2022/03/01-2022/03/31</v>
      </c>
      <c r="B103" s="214">
        <f>'monitoring results'!F6</f>
        <v>302283</v>
      </c>
      <c r="C103" s="214">
        <f>'monitoring results'!G6</f>
        <v>45782</v>
      </c>
      <c r="D103" s="404"/>
      <c r="E103" s="504"/>
    </row>
    <row r="104" spans="1:5" x14ac:dyDescent="0.25">
      <c r="A104" s="126" t="str">
        <f t="shared" si="2"/>
        <v>2022/04/01-2022/04/30</v>
      </c>
      <c r="B104" s="214">
        <f>'monitoring results'!F7</f>
        <v>302283</v>
      </c>
      <c r="C104" s="214">
        <f>'monitoring results'!G7</f>
        <v>45704</v>
      </c>
      <c r="D104" s="404"/>
      <c r="E104" s="504"/>
    </row>
    <row r="105" spans="1:5" x14ac:dyDescent="0.25">
      <c r="A105" s="126" t="str">
        <f t="shared" si="2"/>
        <v>2022/05/01-2022/05/31</v>
      </c>
      <c r="B105" s="214">
        <f>'monitoring results'!F8</f>
        <v>302283</v>
      </c>
      <c r="C105" s="214">
        <f>'monitoring results'!G8</f>
        <v>45917</v>
      </c>
      <c r="D105" s="404"/>
      <c r="E105" s="504"/>
    </row>
    <row r="106" spans="1:5" x14ac:dyDescent="0.25">
      <c r="A106" s="126" t="str">
        <f t="shared" si="2"/>
        <v>2022/06/01-2022/06/30</v>
      </c>
      <c r="B106" s="214">
        <f>'monitoring results'!F9</f>
        <v>302283</v>
      </c>
      <c r="C106" s="214">
        <f>'monitoring results'!G9</f>
        <v>46162</v>
      </c>
      <c r="D106" s="404"/>
      <c r="E106" s="504"/>
    </row>
    <row r="107" spans="1:5" x14ac:dyDescent="0.25">
      <c r="A107" s="126" t="str">
        <f t="shared" si="2"/>
        <v>2022/07/01-2022/07/31</v>
      </c>
      <c r="B107" s="214">
        <f>'monitoring results'!F10</f>
        <v>302283</v>
      </c>
      <c r="C107" s="214">
        <f>'monitoring results'!G10</f>
        <v>46217</v>
      </c>
      <c r="D107" s="404"/>
      <c r="E107" s="504"/>
    </row>
    <row r="108" spans="1:5" x14ac:dyDescent="0.25">
      <c r="A108" s="126" t="str">
        <f t="shared" si="2"/>
        <v>2022/08/01-2022/08/31</v>
      </c>
      <c r="B108" s="214">
        <f>'monitoring results'!F11</f>
        <v>302283</v>
      </c>
      <c r="C108" s="214">
        <f>'monitoring results'!G11</f>
        <v>45617</v>
      </c>
      <c r="D108" s="404"/>
      <c r="E108" s="504"/>
    </row>
    <row r="109" spans="1:5" x14ac:dyDescent="0.25">
      <c r="A109" s="126" t="str">
        <f t="shared" si="2"/>
        <v>2022/09/01-2022/09/30</v>
      </c>
      <c r="B109" s="214">
        <f>'monitoring results'!F12</f>
        <v>302283</v>
      </c>
      <c r="C109" s="214">
        <f>'monitoring results'!G12</f>
        <v>46288</v>
      </c>
      <c r="D109" s="404"/>
      <c r="E109" s="504"/>
    </row>
    <row r="110" spans="1:5" x14ac:dyDescent="0.25">
      <c r="A110" s="126" t="str">
        <f t="shared" si="2"/>
        <v>2022/10/01-2022/10/31</v>
      </c>
      <c r="B110" s="214">
        <f>'monitoring results'!F13</f>
        <v>302283</v>
      </c>
      <c r="C110" s="214">
        <f>'monitoring results'!G13</f>
        <v>46031</v>
      </c>
      <c r="D110" s="404"/>
      <c r="E110" s="504"/>
    </row>
    <row r="111" spans="1:5" x14ac:dyDescent="0.25">
      <c r="A111" s="126" t="str">
        <f t="shared" si="2"/>
        <v>2022/11/01-2022/11/30</v>
      </c>
      <c r="B111" s="214">
        <f>'monitoring results'!F14</f>
        <v>302283</v>
      </c>
      <c r="C111" s="214">
        <f>'monitoring results'!G14</f>
        <v>46416</v>
      </c>
      <c r="D111" s="404"/>
      <c r="E111" s="504"/>
    </row>
    <row r="112" spans="1:5" x14ac:dyDescent="0.25">
      <c r="A112" s="126" t="str">
        <f t="shared" si="2"/>
        <v>2022/12/01-2022/12/31</v>
      </c>
      <c r="B112" s="214">
        <f>'monitoring results'!F15</f>
        <v>302283</v>
      </c>
      <c r="C112" s="214">
        <f>'monitoring results'!G15</f>
        <v>45514</v>
      </c>
      <c r="D112" s="405"/>
      <c r="E112" s="505"/>
    </row>
    <row r="113" spans="1:5" ht="15.5" x14ac:dyDescent="0.25">
      <c r="A113" s="199" t="s">
        <v>159</v>
      </c>
      <c r="B113" s="209"/>
      <c r="C113" s="209"/>
      <c r="D113" s="403" t="s">
        <v>162</v>
      </c>
      <c r="E113" s="482" t="s">
        <v>191</v>
      </c>
    </row>
    <row r="114" spans="1:5" x14ac:dyDescent="0.25">
      <c r="A114" s="126" t="str">
        <f>A101</f>
        <v>2022/01/01-2022/01/31</v>
      </c>
      <c r="B114" s="209">
        <f ca="1">'Baseline emission'!B47</f>
        <v>20.858571428571427</v>
      </c>
      <c r="C114" s="209">
        <f ca="1">'Baseline emission'!C47</f>
        <v>26.637857142857143</v>
      </c>
      <c r="D114" s="404"/>
      <c r="E114" s="483"/>
    </row>
    <row r="115" spans="1:5" x14ac:dyDescent="0.25">
      <c r="A115" s="126" t="str">
        <f t="shared" ref="A115:A125" si="3">A102</f>
        <v>2022/02/01-2022/02/28</v>
      </c>
      <c r="B115" s="209">
        <f ca="1">'Baseline emission'!B48</f>
        <v>18.63</v>
      </c>
      <c r="C115" s="209">
        <f ca="1">'Baseline emission'!C48</f>
        <v>23.849999999999998</v>
      </c>
      <c r="D115" s="404"/>
      <c r="E115" s="483"/>
    </row>
    <row r="116" spans="1:5" x14ac:dyDescent="0.25">
      <c r="A116" s="126" t="str">
        <f t="shared" si="3"/>
        <v>2022/03/01-2022/03/31</v>
      </c>
      <c r="B116" s="209">
        <f ca="1">'Baseline emission'!B49</f>
        <v>20.825357142857143</v>
      </c>
      <c r="C116" s="209">
        <f ca="1">'Baseline emission'!C49</f>
        <v>26.571428571428569</v>
      </c>
      <c r="D116" s="404"/>
      <c r="E116" s="483"/>
    </row>
    <row r="117" spans="1:5" x14ac:dyDescent="0.25">
      <c r="A117" s="126" t="str">
        <f t="shared" si="3"/>
        <v>2022/04/01-2022/04/30</v>
      </c>
      <c r="B117" s="209">
        <f ca="1">'Baseline emission'!B50</f>
        <v>19.960714285714285</v>
      </c>
      <c r="C117" s="209">
        <f ca="1">'Baseline emission'!C50</f>
        <v>25.360714285714288</v>
      </c>
      <c r="D117" s="404"/>
      <c r="E117" s="483"/>
    </row>
    <row r="118" spans="1:5" x14ac:dyDescent="0.25">
      <c r="A118" s="126" t="str">
        <f t="shared" si="3"/>
        <v>2022/05/01-2022/05/31</v>
      </c>
      <c r="B118" s="209">
        <f ca="1">'Baseline emission'!B51</f>
        <v>20.559642857142858</v>
      </c>
      <c r="C118" s="209">
        <f ca="1">'Baseline emission'!C51</f>
        <v>26.571428571428569</v>
      </c>
      <c r="D118" s="404"/>
      <c r="E118" s="483"/>
    </row>
    <row r="119" spans="1:5" x14ac:dyDescent="0.25">
      <c r="A119" s="126" t="str">
        <f t="shared" si="3"/>
        <v>2022/06/01-2022/06/30</v>
      </c>
      <c r="B119" s="209">
        <f ca="1">'Baseline emission'!B52</f>
        <v>20.12142857142857</v>
      </c>
      <c r="C119" s="209">
        <f ca="1">'Baseline emission'!C52</f>
        <v>25.842857142857142</v>
      </c>
      <c r="D119" s="404"/>
      <c r="E119" s="483"/>
    </row>
    <row r="120" spans="1:5" x14ac:dyDescent="0.25">
      <c r="A120" s="126" t="str">
        <f t="shared" si="3"/>
        <v>2022/07/01-2022/07/31</v>
      </c>
      <c r="B120" s="209">
        <f ca="1">'Baseline emission'!B53</f>
        <v>20.758928571428569</v>
      </c>
      <c r="C120" s="209">
        <f ca="1">'Baseline emission'!C53</f>
        <v>26.504999999999999</v>
      </c>
      <c r="D120" s="404"/>
      <c r="E120" s="483"/>
    </row>
    <row r="121" spans="1:5" x14ac:dyDescent="0.25">
      <c r="A121" s="126" t="str">
        <f t="shared" si="3"/>
        <v>2022/08/01-2022/08/31</v>
      </c>
      <c r="B121" s="209">
        <f ca="1">'Baseline emission'!B54</f>
        <v>20.825357142857143</v>
      </c>
      <c r="C121" s="209">
        <f ca="1">'Baseline emission'!C54</f>
        <v>26.737499999999997</v>
      </c>
      <c r="D121" s="404"/>
      <c r="E121" s="483"/>
    </row>
    <row r="122" spans="1:5" x14ac:dyDescent="0.25">
      <c r="A122" s="126" t="str">
        <f t="shared" si="3"/>
        <v>2022/09/01-2022/09/30</v>
      </c>
      <c r="B122" s="209">
        <f ca="1">'Baseline emission'!B55</f>
        <v>20.024999999999999</v>
      </c>
      <c r="C122" s="209">
        <f ca="1">'Baseline emission'!C55</f>
        <v>25.48928571428571</v>
      </c>
      <c r="D122" s="404"/>
      <c r="E122" s="483"/>
    </row>
    <row r="123" spans="1:5" x14ac:dyDescent="0.25">
      <c r="A123" s="126" t="str">
        <f t="shared" si="3"/>
        <v>2022/10/01-2022/10/31</v>
      </c>
      <c r="B123" s="209">
        <f ca="1">'Baseline emission'!B56</f>
        <v>20.626071428571429</v>
      </c>
      <c r="C123" s="209">
        <f ca="1">'Baseline emission'!C56</f>
        <v>26.571428571428569</v>
      </c>
      <c r="D123" s="404"/>
      <c r="E123" s="483"/>
    </row>
    <row r="124" spans="1:5" x14ac:dyDescent="0.25">
      <c r="A124" s="126" t="str">
        <f t="shared" si="3"/>
        <v>2022/11/01-2022/11/30</v>
      </c>
      <c r="B124" s="209">
        <f ca="1">'Baseline emission'!B57</f>
        <v>19.992857142857144</v>
      </c>
      <c r="C124" s="209">
        <f ca="1">'Baseline emission'!C57</f>
        <v>25.874999999999996</v>
      </c>
      <c r="D124" s="404"/>
      <c r="E124" s="483"/>
    </row>
    <row r="125" spans="1:5" x14ac:dyDescent="0.25">
      <c r="A125" s="126" t="str">
        <f t="shared" si="3"/>
        <v>2022/12/01-2022/12/31</v>
      </c>
      <c r="B125" s="209">
        <f ca="1">'Baseline emission'!B58</f>
        <v>20.592857142857142</v>
      </c>
      <c r="C125" s="209">
        <f ca="1">'Baseline emission'!C58</f>
        <v>26.073214285714283</v>
      </c>
      <c r="D125" s="405"/>
      <c r="E125" s="484"/>
    </row>
    <row r="126" spans="1:5" ht="15.5" x14ac:dyDescent="0.25">
      <c r="A126" s="199" t="s">
        <v>160</v>
      </c>
      <c r="B126" s="88">
        <v>1</v>
      </c>
      <c r="C126" s="88">
        <v>1</v>
      </c>
      <c r="D126" s="24" t="s">
        <v>149</v>
      </c>
      <c r="E126" s="211" t="s">
        <v>227</v>
      </c>
    </row>
    <row r="127" spans="1:5" ht="12.75" customHeight="1" x14ac:dyDescent="0.25">
      <c r="A127" s="126" t="str">
        <f>A114</f>
        <v>2022/01/01-2022/01/31</v>
      </c>
      <c r="B127" s="209">
        <f ca="1">$B$94*$B$95*$B$96*$B$97*$B$98*$B$99*$B$126*B101*B114</f>
        <v>6.8605528186151972</v>
      </c>
      <c r="C127" s="209">
        <f ca="1">$C$94*$C$95*$C$96*$C$97*$C$98*$C$99*$C$126*C101*C114</f>
        <v>1.3310087402711996</v>
      </c>
      <c r="D127" s="403" t="s">
        <v>174</v>
      </c>
      <c r="E127" s="482" t="s">
        <v>191</v>
      </c>
    </row>
    <row r="128" spans="1:5" x14ac:dyDescent="0.25">
      <c r="A128" s="126" t="str">
        <f t="shared" ref="A128:A138" si="4">A115</f>
        <v>2022/02/01-2022/02/28</v>
      </c>
      <c r="B128" s="209">
        <f t="shared" ref="B128:B136" ca="1" si="5">$B$94*$B$95*$B$96*$B$97*$B$98*$B$99*$B$126*B102*B115</f>
        <v>6.1275576541031977</v>
      </c>
      <c r="C128" s="209">
        <f t="shared" ref="C128:C138" ca="1" si="6">$C$94*$C$95*$C$96*$C$97*$C$98*$C$99*$C$126*C102*C115</f>
        <v>1.1933692580879995</v>
      </c>
      <c r="D128" s="404"/>
      <c r="E128" s="483"/>
    </row>
    <row r="129" spans="1:5" x14ac:dyDescent="0.25">
      <c r="A129" s="126" t="str">
        <f t="shared" si="4"/>
        <v>2022/03/01-2022/03/31</v>
      </c>
      <c r="B129" s="209">
        <f t="shared" ca="1" si="5"/>
        <v>6.8496283714517974</v>
      </c>
      <c r="C129" s="209">
        <f t="shared" ca="1" si="6"/>
        <v>1.3236418588799996</v>
      </c>
      <c r="D129" s="404"/>
      <c r="E129" s="483"/>
    </row>
    <row r="130" spans="1:5" x14ac:dyDescent="0.25">
      <c r="A130" s="126" t="str">
        <f t="shared" si="4"/>
        <v>2022/04/01-2022/04/30</v>
      </c>
      <c r="B130" s="209">
        <f t="shared" ca="1" si="5"/>
        <v>6.5652403436819977</v>
      </c>
      <c r="C130" s="209">
        <f t="shared" ca="1" si="6"/>
        <v>1.2611783881439997</v>
      </c>
      <c r="D130" s="404"/>
      <c r="E130" s="483"/>
    </row>
    <row r="131" spans="1:5" x14ac:dyDescent="0.25">
      <c r="A131" s="126" t="str">
        <f t="shared" si="4"/>
        <v>2022/05/01-2022/05/31</v>
      </c>
      <c r="B131" s="209">
        <f t="shared" ca="1" si="5"/>
        <v>6.7622327941445981</v>
      </c>
      <c r="C131" s="209">
        <f t="shared" ca="1" si="6"/>
        <v>1.3275449572799995</v>
      </c>
      <c r="D131" s="404"/>
      <c r="E131" s="483"/>
    </row>
    <row r="132" spans="1:5" x14ac:dyDescent="0.25">
      <c r="A132" s="126" t="str">
        <f t="shared" si="4"/>
        <v>2022/06/01-2022/06/30</v>
      </c>
      <c r="B132" s="209">
        <f t="shared" ca="1" si="5"/>
        <v>6.618100571891997</v>
      </c>
      <c r="C132" s="209">
        <f t="shared" ca="1" si="6"/>
        <v>1.2980337095519996</v>
      </c>
      <c r="D132" s="404"/>
      <c r="E132" s="483"/>
    </row>
    <row r="133" spans="1:5" x14ac:dyDescent="0.25">
      <c r="A133" s="126" t="str">
        <f t="shared" si="4"/>
        <v>2022/07/01-2022/07/31</v>
      </c>
      <c r="B133" s="209">
        <f t="shared" ca="1" si="5"/>
        <v>6.8277794771249969</v>
      </c>
      <c r="C133" s="209">
        <f t="shared" ca="1" si="6"/>
        <v>1.3328779630067995</v>
      </c>
      <c r="D133" s="404"/>
      <c r="E133" s="483"/>
    </row>
    <row r="134" spans="1:5" x14ac:dyDescent="0.25">
      <c r="A134" s="126" t="str">
        <f t="shared" si="4"/>
        <v>2022/08/01-2022/08/31</v>
      </c>
      <c r="B134" s="209">
        <f t="shared" ca="1" si="5"/>
        <v>6.8496283714517974</v>
      </c>
      <c r="C134" s="209">
        <f t="shared" ca="1" si="6"/>
        <v>1.3271143515629995</v>
      </c>
      <c r="D134" s="404"/>
      <c r="E134" s="483"/>
    </row>
    <row r="135" spans="1:5" x14ac:dyDescent="0.25">
      <c r="A135" s="126" t="str">
        <f t="shared" si="4"/>
        <v>2022/09/01-2022/09/30</v>
      </c>
      <c r="B135" s="209">
        <f t="shared" ca="1" si="5"/>
        <v>6.5863844349659972</v>
      </c>
      <c r="C135" s="209">
        <f t="shared" ca="1" si="6"/>
        <v>1.2837690740159995</v>
      </c>
      <c r="D135" s="404"/>
      <c r="E135" s="483"/>
    </row>
    <row r="136" spans="1:5" x14ac:dyDescent="0.25">
      <c r="A136" s="126" t="str">
        <f t="shared" si="4"/>
        <v>2022/10/01-2022/10/31</v>
      </c>
      <c r="B136" s="209">
        <f t="shared" ca="1" si="5"/>
        <v>6.7840816884713977</v>
      </c>
      <c r="C136" s="209">
        <f t="shared" ca="1" si="6"/>
        <v>1.3308409070399996</v>
      </c>
      <c r="D136" s="404"/>
      <c r="E136" s="483"/>
    </row>
    <row r="137" spans="1:5" x14ac:dyDescent="0.25">
      <c r="A137" s="126" t="str">
        <f t="shared" si="4"/>
        <v>2022/11/01-2022/11/30</v>
      </c>
      <c r="B137" s="209">
        <f ca="1">$B$94*$B$95*$B$96*$B$97*$B$98*$B$99*$B$126*B111*B124</f>
        <v>6.5758123893239979</v>
      </c>
      <c r="C137" s="209">
        <f t="shared" ca="1" si="6"/>
        <v>1.3067993131199995</v>
      </c>
      <c r="D137" s="404"/>
      <c r="E137" s="483"/>
    </row>
    <row r="138" spans="1:5" x14ac:dyDescent="0.25">
      <c r="A138" s="126" t="str">
        <f t="shared" si="4"/>
        <v>2022/12/01-2022/12/31</v>
      </c>
      <c r="B138" s="209">
        <f ca="1">$B$94*$B$95*$B$96*$B$97*$B$98*$B$99*$B$126*B112*B125</f>
        <v>6.773157241307997</v>
      </c>
      <c r="C138" s="209">
        <f t="shared" ca="1" si="6"/>
        <v>1.2912204829019995</v>
      </c>
      <c r="D138" s="405"/>
      <c r="E138" s="484"/>
    </row>
    <row r="139" spans="1:5" ht="15.5" x14ac:dyDescent="0.4">
      <c r="A139" s="182" t="str">
        <f>A81</f>
        <v>01/01/2022-31/12/2022</v>
      </c>
      <c r="B139" s="488">
        <f ca="1">ROUNDUP((SUM(B127:B138)+SUM(C127:C138)),0)</f>
        <v>96</v>
      </c>
      <c r="C139" s="488"/>
      <c r="D139" s="24" t="s">
        <v>174</v>
      </c>
      <c r="E139" s="103" t="s">
        <v>191</v>
      </c>
    </row>
    <row r="140" spans="1:5" ht="16" thickBot="1" x14ac:dyDescent="0.45">
      <c r="A140" s="215" t="s">
        <v>161</v>
      </c>
      <c r="B140" s="489">
        <f ca="1">B139</f>
        <v>96</v>
      </c>
      <c r="C140" s="489"/>
      <c r="D140" s="171" t="s">
        <v>174</v>
      </c>
      <c r="E140" s="297" t="s">
        <v>191</v>
      </c>
    </row>
    <row r="141" spans="1:5" x14ac:dyDescent="0.25">
      <c r="A141" s="203"/>
    </row>
    <row r="142" spans="1:5" x14ac:dyDescent="0.25">
      <c r="A142" s="216" t="s">
        <v>46</v>
      </c>
    </row>
    <row r="143" spans="1:5" x14ac:dyDescent="0.25">
      <c r="A143" s="203"/>
    </row>
    <row r="144" spans="1:5" x14ac:dyDescent="0.25">
      <c r="A144" s="203"/>
      <c r="D144" s="20"/>
    </row>
    <row r="145" spans="1:9" ht="13" x14ac:dyDescent="0.3">
      <c r="A145" s="1"/>
      <c r="D145" s="20"/>
    </row>
    <row r="146" spans="1:9" ht="13" x14ac:dyDescent="0.3">
      <c r="A146" s="1"/>
      <c r="D146" s="20"/>
    </row>
    <row r="147" spans="1:9" ht="13" x14ac:dyDescent="0.3">
      <c r="A147" s="1"/>
      <c r="D147" s="20"/>
    </row>
    <row r="148" spans="1:9" ht="13" x14ac:dyDescent="0.3">
      <c r="A148" s="1"/>
      <c r="D148" s="20"/>
    </row>
    <row r="149" spans="1:9" ht="15" x14ac:dyDescent="0.4">
      <c r="A149" s="217" t="s">
        <v>67</v>
      </c>
      <c r="B149" s="16"/>
    </row>
    <row r="150" spans="1:9" ht="13.5" thickBot="1" x14ac:dyDescent="0.35">
      <c r="A150" s="184"/>
    </row>
    <row r="151" spans="1:9" ht="13" x14ac:dyDescent="0.3">
      <c r="A151" s="30" t="s">
        <v>3</v>
      </c>
      <c r="B151" s="31" t="s">
        <v>19</v>
      </c>
      <c r="C151" s="31"/>
      <c r="D151" s="31" t="s">
        <v>2</v>
      </c>
      <c r="E151" s="31" t="s">
        <v>4</v>
      </c>
    </row>
    <row r="152" spans="1:9" s="8" customFormat="1" ht="13" x14ac:dyDescent="0.3">
      <c r="A152" s="100"/>
      <c r="B152" s="26" t="s">
        <v>33</v>
      </c>
      <c r="C152" s="26" t="s">
        <v>34</v>
      </c>
      <c r="D152" s="26"/>
      <c r="E152" s="26"/>
      <c r="F152"/>
      <c r="G152"/>
      <c r="H152"/>
      <c r="I152"/>
    </row>
    <row r="153" spans="1:9" ht="36.75" customHeight="1" x14ac:dyDescent="0.25">
      <c r="A153" s="199" t="s">
        <v>261</v>
      </c>
      <c r="B153" s="112">
        <v>0</v>
      </c>
      <c r="C153" s="112">
        <v>0</v>
      </c>
      <c r="D153" s="164" t="s">
        <v>234</v>
      </c>
      <c r="E153" s="167" t="s">
        <v>96</v>
      </c>
    </row>
    <row r="154" spans="1:9" x14ac:dyDescent="0.25">
      <c r="A154" s="212" t="s">
        <v>64</v>
      </c>
      <c r="B154" s="113"/>
      <c r="C154" s="113"/>
      <c r="D154" s="403" t="s">
        <v>101</v>
      </c>
      <c r="E154" s="403" t="s">
        <v>194</v>
      </c>
    </row>
    <row r="155" spans="1:9" x14ac:dyDescent="0.25">
      <c r="A155" s="126" t="str">
        <f t="shared" ref="A155:A166" si="7">A127</f>
        <v>2022/01/01-2022/01/31</v>
      </c>
      <c r="B155" s="113">
        <f ca="1">'Baseline emission'!B185</f>
        <v>0.81765600000000005</v>
      </c>
      <c r="C155" s="113">
        <f ca="1">'Baseline emission'!C185</f>
        <v>0.596688</v>
      </c>
      <c r="D155" s="404"/>
      <c r="E155" s="404"/>
    </row>
    <row r="156" spans="1:9" x14ac:dyDescent="0.25">
      <c r="A156" s="126" t="str">
        <f t="shared" si="7"/>
        <v>2022/02/01-2022/02/28</v>
      </c>
      <c r="B156" s="113">
        <f ca="1">'Baseline emission'!B186</f>
        <v>0.73029600000000006</v>
      </c>
      <c r="C156" s="113">
        <f ca="1">'Baseline emission'!C186</f>
        <v>0.53424000000000005</v>
      </c>
      <c r="D156" s="404"/>
      <c r="E156" s="404"/>
    </row>
    <row r="157" spans="1:9" x14ac:dyDescent="0.25">
      <c r="A157" s="126" t="str">
        <f t="shared" si="7"/>
        <v>2022/03/01-2022/03/31</v>
      </c>
      <c r="B157" s="113">
        <f ca="1">'Baseline emission'!B187</f>
        <v>0.81635400000000002</v>
      </c>
      <c r="C157" s="113">
        <f ca="1">'Baseline emission'!C187</f>
        <v>0.59519999999999995</v>
      </c>
      <c r="D157" s="404"/>
      <c r="E157" s="404"/>
    </row>
    <row r="158" spans="1:9" x14ac:dyDescent="0.25">
      <c r="A158" s="126" t="str">
        <f t="shared" si="7"/>
        <v>2022/04/01-2022/04/30</v>
      </c>
      <c r="B158" s="113">
        <f ca="1">'Baseline emission'!B188</f>
        <v>0.78246000000000004</v>
      </c>
      <c r="C158" s="113">
        <f ca="1">'Baseline emission'!C188</f>
        <v>0.56807999999999992</v>
      </c>
      <c r="D158" s="404"/>
      <c r="E158" s="404"/>
    </row>
    <row r="159" spans="1:9" x14ac:dyDescent="0.25">
      <c r="A159" s="126" t="str">
        <f t="shared" si="7"/>
        <v>2022/05/01-2022/05/31</v>
      </c>
      <c r="B159" s="113">
        <f ca="1">'Baseline emission'!B189</f>
        <v>0.80593800000000004</v>
      </c>
      <c r="C159" s="113">
        <f ca="1">'Baseline emission'!C189</f>
        <v>0.59519999999999995</v>
      </c>
      <c r="D159" s="404"/>
      <c r="E159" s="404"/>
    </row>
    <row r="160" spans="1:9" x14ac:dyDescent="0.25">
      <c r="A160" s="126" t="str">
        <f t="shared" si="7"/>
        <v>2022/06/01-2022/06/30</v>
      </c>
      <c r="B160" s="113">
        <f ca="1">'Baseline emission'!B190</f>
        <v>0.78876000000000002</v>
      </c>
      <c r="C160" s="113">
        <f ca="1">'Baseline emission'!C190</f>
        <v>0.57887999999999995</v>
      </c>
      <c r="D160" s="404"/>
      <c r="E160" s="404"/>
    </row>
    <row r="161" spans="1:9" x14ac:dyDescent="0.25">
      <c r="A161" s="126" t="str">
        <f t="shared" si="7"/>
        <v>2022/07/01-2022/07/31</v>
      </c>
      <c r="B161" s="113">
        <f ca="1">'Baseline emission'!B191</f>
        <v>0.81374999999999997</v>
      </c>
      <c r="C161" s="113">
        <f ca="1">'Baseline emission'!C191</f>
        <v>0.59371199999999991</v>
      </c>
      <c r="D161" s="404"/>
      <c r="E161" s="404"/>
    </row>
    <row r="162" spans="1:9" x14ac:dyDescent="0.25">
      <c r="A162" s="126" t="str">
        <f t="shared" si="7"/>
        <v>2022/08/01-2022/08/31</v>
      </c>
      <c r="B162" s="113">
        <f ca="1">'Baseline emission'!B192</f>
        <v>0.81635400000000002</v>
      </c>
      <c r="C162" s="113">
        <f ca="1">'Baseline emission'!C192</f>
        <v>0.5989199999999999</v>
      </c>
      <c r="D162" s="404"/>
      <c r="E162" s="404"/>
    </row>
    <row r="163" spans="1:9" x14ac:dyDescent="0.25">
      <c r="A163" s="126" t="str">
        <f t="shared" si="7"/>
        <v>2022/09/01-2022/09/30</v>
      </c>
      <c r="B163" s="113">
        <f ca="1">'Baseline emission'!B193</f>
        <v>0.78498000000000001</v>
      </c>
      <c r="C163" s="113">
        <f ca="1">'Baseline emission'!C193</f>
        <v>0.57095999999999991</v>
      </c>
      <c r="D163" s="404"/>
      <c r="E163" s="404"/>
    </row>
    <row r="164" spans="1:9" x14ac:dyDescent="0.25">
      <c r="A164" s="126" t="str">
        <f t="shared" si="7"/>
        <v>2022/10/01-2022/10/31</v>
      </c>
      <c r="B164" s="113">
        <f ca="1">'Baseline emission'!B194</f>
        <v>0.80854199999999998</v>
      </c>
      <c r="C164" s="113">
        <f ca="1">'Baseline emission'!C194</f>
        <v>0.59519999999999995</v>
      </c>
      <c r="D164" s="404"/>
      <c r="E164" s="404"/>
    </row>
    <row r="165" spans="1:9" x14ac:dyDescent="0.25">
      <c r="A165" s="126" t="str">
        <f t="shared" si="7"/>
        <v>2022/11/01-2022/11/30</v>
      </c>
      <c r="B165" s="113">
        <f ca="1">'Baseline emission'!B195</f>
        <v>0.78372000000000008</v>
      </c>
      <c r="C165" s="113">
        <f ca="1">'Baseline emission'!C195</f>
        <v>0.57959999999999989</v>
      </c>
      <c r="D165" s="404"/>
      <c r="E165" s="404"/>
    </row>
    <row r="166" spans="1:9" x14ac:dyDescent="0.25">
      <c r="A166" s="126" t="str">
        <f t="shared" si="7"/>
        <v>2022/12/01-2022/12/31</v>
      </c>
      <c r="B166" s="113">
        <f ca="1">'Baseline emission'!B196</f>
        <v>0.80724000000000007</v>
      </c>
      <c r="C166" s="113">
        <f ca="1">'Baseline emission'!C196</f>
        <v>0.58403999999999989</v>
      </c>
      <c r="D166" s="405"/>
      <c r="E166" s="405"/>
    </row>
    <row r="167" spans="1:9" ht="12.75" customHeight="1" x14ac:dyDescent="0.25">
      <c r="A167" s="212" t="s">
        <v>69</v>
      </c>
      <c r="B167" s="114"/>
      <c r="C167" s="114"/>
      <c r="D167" s="403" t="s">
        <v>103</v>
      </c>
      <c r="E167" s="418" t="str">
        <f>E100</f>
        <v>calculated as equatoin 5 in MR, of which NLT for marke swine and breeding swine is sourced from "market and Breeding Pig stock record"</v>
      </c>
      <c r="F167" s="8"/>
      <c r="G167" s="8"/>
      <c r="H167" s="8"/>
      <c r="I167" s="8"/>
    </row>
    <row r="168" spans="1:9" x14ac:dyDescent="0.25">
      <c r="A168" s="126" t="str">
        <f>A155</f>
        <v>2022/01/01-2022/01/31</v>
      </c>
      <c r="B168" s="114">
        <f>'monitoring results'!F4</f>
        <v>302283</v>
      </c>
      <c r="C168" s="114">
        <f>'monitoring results'!G4</f>
        <v>45922</v>
      </c>
      <c r="D168" s="404"/>
      <c r="E168" s="419"/>
      <c r="F168" s="8"/>
      <c r="G168" s="8"/>
      <c r="H168" s="8"/>
      <c r="I168" s="8"/>
    </row>
    <row r="169" spans="1:9" x14ac:dyDescent="0.25">
      <c r="A169" s="126" t="str">
        <f t="shared" ref="A169:A179" si="8">A156</f>
        <v>2022/02/01-2022/02/28</v>
      </c>
      <c r="B169" s="114">
        <f>'monitoring results'!F5</f>
        <v>302283</v>
      </c>
      <c r="C169" s="114">
        <f>'monitoring results'!G5</f>
        <v>45986</v>
      </c>
      <c r="D169" s="404"/>
      <c r="E169" s="419"/>
      <c r="F169" s="8"/>
      <c r="G169" s="8"/>
      <c r="H169" s="8"/>
      <c r="I169" s="8"/>
    </row>
    <row r="170" spans="1:9" x14ac:dyDescent="0.25">
      <c r="A170" s="126" t="str">
        <f t="shared" si="8"/>
        <v>2022/03/01-2022/03/31</v>
      </c>
      <c r="B170" s="114">
        <f>'monitoring results'!F6</f>
        <v>302283</v>
      </c>
      <c r="C170" s="114">
        <f>'monitoring results'!G6</f>
        <v>45782</v>
      </c>
      <c r="D170" s="404"/>
      <c r="E170" s="419"/>
      <c r="F170" s="8"/>
      <c r="G170" s="8"/>
      <c r="H170" s="8"/>
      <c r="I170" s="8"/>
    </row>
    <row r="171" spans="1:9" x14ac:dyDescent="0.25">
      <c r="A171" s="126" t="str">
        <f t="shared" si="8"/>
        <v>2022/04/01-2022/04/30</v>
      </c>
      <c r="B171" s="114">
        <f>'monitoring results'!F7</f>
        <v>302283</v>
      </c>
      <c r="C171" s="114">
        <f>'monitoring results'!G7</f>
        <v>45704</v>
      </c>
      <c r="D171" s="404"/>
      <c r="E171" s="419"/>
      <c r="F171" s="8"/>
      <c r="G171" s="8"/>
      <c r="H171" s="8"/>
      <c r="I171" s="8"/>
    </row>
    <row r="172" spans="1:9" x14ac:dyDescent="0.25">
      <c r="A172" s="126" t="str">
        <f t="shared" si="8"/>
        <v>2022/05/01-2022/05/31</v>
      </c>
      <c r="B172" s="114">
        <f>'monitoring results'!F8</f>
        <v>302283</v>
      </c>
      <c r="C172" s="114">
        <f>'monitoring results'!G8</f>
        <v>45917</v>
      </c>
      <c r="D172" s="404"/>
      <c r="E172" s="419"/>
      <c r="F172" s="8"/>
      <c r="G172" s="8"/>
      <c r="H172" s="8"/>
      <c r="I172" s="8"/>
    </row>
    <row r="173" spans="1:9" x14ac:dyDescent="0.25">
      <c r="A173" s="126" t="str">
        <f t="shared" si="8"/>
        <v>2022/06/01-2022/06/30</v>
      </c>
      <c r="B173" s="114">
        <f>'monitoring results'!F9</f>
        <v>302283</v>
      </c>
      <c r="C173" s="114">
        <f>'monitoring results'!G9</f>
        <v>46162</v>
      </c>
      <c r="D173" s="404"/>
      <c r="E173" s="419"/>
      <c r="F173" s="8"/>
      <c r="G173" s="8"/>
      <c r="H173" s="8"/>
      <c r="I173" s="8"/>
    </row>
    <row r="174" spans="1:9" x14ac:dyDescent="0.25">
      <c r="A174" s="126" t="str">
        <f t="shared" si="8"/>
        <v>2022/07/01-2022/07/31</v>
      </c>
      <c r="B174" s="114">
        <f>'monitoring results'!F10</f>
        <v>302283</v>
      </c>
      <c r="C174" s="114">
        <f>'monitoring results'!G10</f>
        <v>46217</v>
      </c>
      <c r="D174" s="404"/>
      <c r="E174" s="419"/>
      <c r="F174" s="8"/>
      <c r="G174" s="8"/>
      <c r="H174" s="8"/>
      <c r="I174" s="8"/>
    </row>
    <row r="175" spans="1:9" x14ac:dyDescent="0.25">
      <c r="A175" s="126" t="str">
        <f t="shared" si="8"/>
        <v>2022/08/01-2022/08/31</v>
      </c>
      <c r="B175" s="114">
        <f>'monitoring results'!F11</f>
        <v>302283</v>
      </c>
      <c r="C175" s="114">
        <f>'monitoring results'!G11</f>
        <v>45617</v>
      </c>
      <c r="D175" s="404"/>
      <c r="E175" s="419"/>
      <c r="F175" s="8"/>
      <c r="G175" s="8"/>
      <c r="H175" s="8"/>
      <c r="I175" s="8"/>
    </row>
    <row r="176" spans="1:9" x14ac:dyDescent="0.25">
      <c r="A176" s="126" t="str">
        <f t="shared" si="8"/>
        <v>2022/09/01-2022/09/30</v>
      </c>
      <c r="B176" s="114">
        <f>'monitoring results'!F12</f>
        <v>302283</v>
      </c>
      <c r="C176" s="114">
        <f>'monitoring results'!G12</f>
        <v>46288</v>
      </c>
      <c r="D176" s="404"/>
      <c r="E176" s="419"/>
      <c r="F176" s="8"/>
      <c r="G176" s="8"/>
      <c r="H176" s="8"/>
      <c r="I176" s="8"/>
    </row>
    <row r="177" spans="1:9" x14ac:dyDescent="0.25">
      <c r="A177" s="126" t="str">
        <f t="shared" si="8"/>
        <v>2022/10/01-2022/10/31</v>
      </c>
      <c r="B177" s="114">
        <f>'monitoring results'!F13</f>
        <v>302283</v>
      </c>
      <c r="C177" s="114">
        <f>'monitoring results'!G13</f>
        <v>46031</v>
      </c>
      <c r="D177" s="404"/>
      <c r="E177" s="419"/>
      <c r="F177" s="8"/>
      <c r="G177" s="8"/>
      <c r="H177" s="8"/>
      <c r="I177" s="8"/>
    </row>
    <row r="178" spans="1:9" x14ac:dyDescent="0.25">
      <c r="A178" s="126" t="str">
        <f t="shared" si="8"/>
        <v>2022/11/01-2022/11/30</v>
      </c>
      <c r="B178" s="114">
        <f>'monitoring results'!F14</f>
        <v>302283</v>
      </c>
      <c r="C178" s="114">
        <f>'monitoring results'!G14</f>
        <v>46416</v>
      </c>
      <c r="D178" s="404"/>
      <c r="E178" s="419"/>
      <c r="F178" s="8"/>
      <c r="G178" s="8"/>
      <c r="H178" s="8"/>
      <c r="I178" s="8"/>
    </row>
    <row r="179" spans="1:9" x14ac:dyDescent="0.25">
      <c r="A179" s="126" t="str">
        <f t="shared" si="8"/>
        <v>2022/12/01-2022/12/31</v>
      </c>
      <c r="B179" s="114">
        <f>'monitoring results'!F15</f>
        <v>302283</v>
      </c>
      <c r="C179" s="114">
        <f>'monitoring results'!G15</f>
        <v>45514</v>
      </c>
      <c r="D179" s="405"/>
      <c r="E179" s="420"/>
      <c r="F179" s="8"/>
      <c r="G179" s="8"/>
      <c r="H179" s="8"/>
      <c r="I179" s="8"/>
    </row>
    <row r="180" spans="1:9" x14ac:dyDescent="0.25">
      <c r="A180" s="212" t="s">
        <v>47</v>
      </c>
      <c r="B180" s="38">
        <v>1</v>
      </c>
      <c r="C180" s="38">
        <f>B180</f>
        <v>1</v>
      </c>
      <c r="D180" s="24" t="s">
        <v>149</v>
      </c>
      <c r="E180" s="91" t="s">
        <v>227</v>
      </c>
    </row>
    <row r="181" spans="1:9" x14ac:dyDescent="0.25">
      <c r="A181" s="199"/>
      <c r="B181" s="38"/>
      <c r="C181" s="38"/>
      <c r="D181" s="24"/>
      <c r="E181" s="91"/>
    </row>
    <row r="182" spans="1:9" x14ac:dyDescent="0.25">
      <c r="A182" s="126" t="str">
        <f>A168</f>
        <v>2022/01/01-2022/01/31</v>
      </c>
      <c r="B182" s="138">
        <f ca="1">B153*B155*B168*B180</f>
        <v>0</v>
      </c>
      <c r="C182" s="138">
        <f ca="1">C153*C155*C168*C180</f>
        <v>0</v>
      </c>
      <c r="D182" s="403" t="s">
        <v>231</v>
      </c>
      <c r="E182" s="409" t="s">
        <v>194</v>
      </c>
    </row>
    <row r="183" spans="1:9" x14ac:dyDescent="0.25">
      <c r="A183" s="126" t="str">
        <f t="shared" ref="A183:A193" si="9">A169</f>
        <v>2022/02/01-2022/02/28</v>
      </c>
      <c r="B183" s="138">
        <f t="shared" ref="B183:B191" ca="1" si="10">B154*B156*B169*B182</f>
        <v>0</v>
      </c>
      <c r="C183" s="138">
        <f t="shared" ref="C183:C191" ca="1" si="11">C154*C156*C169*C182</f>
        <v>0</v>
      </c>
      <c r="D183" s="404"/>
      <c r="E183" s="410"/>
    </row>
    <row r="184" spans="1:9" x14ac:dyDescent="0.25">
      <c r="A184" s="126" t="str">
        <f t="shared" si="9"/>
        <v>2022/03/01-2022/03/31</v>
      </c>
      <c r="B184" s="138">
        <f t="shared" ca="1" si="10"/>
        <v>0</v>
      </c>
      <c r="C184" s="138">
        <f t="shared" ca="1" si="11"/>
        <v>0</v>
      </c>
      <c r="D184" s="404"/>
      <c r="E184" s="410"/>
    </row>
    <row r="185" spans="1:9" x14ac:dyDescent="0.25">
      <c r="A185" s="126" t="str">
        <f t="shared" si="9"/>
        <v>2022/04/01-2022/04/30</v>
      </c>
      <c r="B185" s="138">
        <f t="shared" ca="1" si="10"/>
        <v>0</v>
      </c>
      <c r="C185" s="138">
        <f t="shared" ca="1" si="11"/>
        <v>0</v>
      </c>
      <c r="D185" s="404"/>
      <c r="E185" s="410"/>
    </row>
    <row r="186" spans="1:9" x14ac:dyDescent="0.25">
      <c r="A186" s="126" t="str">
        <f t="shared" si="9"/>
        <v>2022/05/01-2022/05/31</v>
      </c>
      <c r="B186" s="138">
        <f t="shared" ca="1" si="10"/>
        <v>0</v>
      </c>
      <c r="C186" s="138">
        <f t="shared" ca="1" si="11"/>
        <v>0</v>
      </c>
      <c r="D186" s="404"/>
      <c r="E186" s="410"/>
    </row>
    <row r="187" spans="1:9" x14ac:dyDescent="0.25">
      <c r="A187" s="126" t="str">
        <f t="shared" si="9"/>
        <v>2022/06/01-2022/06/30</v>
      </c>
      <c r="B187" s="138">
        <f t="shared" ca="1" si="10"/>
        <v>0</v>
      </c>
      <c r="C187" s="138">
        <f t="shared" ca="1" si="11"/>
        <v>0</v>
      </c>
      <c r="D187" s="404"/>
      <c r="E187" s="410"/>
    </row>
    <row r="188" spans="1:9" x14ac:dyDescent="0.25">
      <c r="A188" s="126" t="str">
        <f t="shared" si="9"/>
        <v>2022/07/01-2022/07/31</v>
      </c>
      <c r="B188" s="138">
        <f t="shared" ca="1" si="10"/>
        <v>0</v>
      </c>
      <c r="C188" s="138">
        <f t="shared" ca="1" si="11"/>
        <v>0</v>
      </c>
      <c r="D188" s="404"/>
      <c r="E188" s="410"/>
    </row>
    <row r="189" spans="1:9" x14ac:dyDescent="0.25">
      <c r="A189" s="126" t="str">
        <f t="shared" si="9"/>
        <v>2022/08/01-2022/08/31</v>
      </c>
      <c r="B189" s="138">
        <f t="shared" ca="1" si="10"/>
        <v>0</v>
      </c>
      <c r="C189" s="138">
        <f t="shared" ca="1" si="11"/>
        <v>0</v>
      </c>
      <c r="D189" s="404"/>
      <c r="E189" s="410"/>
    </row>
    <row r="190" spans="1:9" x14ac:dyDescent="0.25">
      <c r="A190" s="126" t="str">
        <f t="shared" si="9"/>
        <v>2022/09/01-2022/09/30</v>
      </c>
      <c r="B190" s="138">
        <f t="shared" ca="1" si="10"/>
        <v>0</v>
      </c>
      <c r="C190" s="138">
        <f t="shared" ca="1" si="11"/>
        <v>0</v>
      </c>
      <c r="D190" s="404"/>
      <c r="E190" s="410"/>
    </row>
    <row r="191" spans="1:9" x14ac:dyDescent="0.25">
      <c r="A191" s="126" t="str">
        <f t="shared" si="9"/>
        <v>2022/10/01-2022/10/31</v>
      </c>
      <c r="B191" s="138">
        <f t="shared" ca="1" si="10"/>
        <v>0</v>
      </c>
      <c r="C191" s="138">
        <f t="shared" ca="1" si="11"/>
        <v>0</v>
      </c>
      <c r="D191" s="404"/>
      <c r="E191" s="410"/>
    </row>
    <row r="192" spans="1:9" x14ac:dyDescent="0.25">
      <c r="A192" s="126" t="str">
        <f t="shared" si="9"/>
        <v>2022/11/01-2022/11/30</v>
      </c>
      <c r="B192" s="138">
        <f ca="1">B163*B165*B178*B191</f>
        <v>0</v>
      </c>
      <c r="C192" s="138">
        <f ca="1">C163*C165*C178*C191</f>
        <v>0</v>
      </c>
      <c r="D192" s="404"/>
      <c r="E192" s="410"/>
    </row>
    <row r="193" spans="1:5" x14ac:dyDescent="0.25">
      <c r="A193" s="126" t="str">
        <f t="shared" si="9"/>
        <v>2022/12/01-2022/12/31</v>
      </c>
      <c r="B193" s="138">
        <f ca="1">B164*B166*B179*B192</f>
        <v>0</v>
      </c>
      <c r="C193" s="138">
        <f ca="1">C164*C166*C179*C192</f>
        <v>0</v>
      </c>
      <c r="D193" s="404"/>
      <c r="E193" s="410"/>
    </row>
    <row r="194" spans="1:5" ht="13" x14ac:dyDescent="0.3">
      <c r="A194" s="182" t="str">
        <f>A139</f>
        <v>01/01/2022-31/12/2022</v>
      </c>
      <c r="B194" s="485">
        <f ca="1">SUM(B182:C193)</f>
        <v>0</v>
      </c>
      <c r="C194" s="485"/>
      <c r="D194" s="404"/>
      <c r="E194" s="410"/>
    </row>
    <row r="195" spans="1:5" ht="15" x14ac:dyDescent="0.25">
      <c r="A195" s="201" t="s">
        <v>172</v>
      </c>
      <c r="B195" s="486">
        <f ca="1">B194</f>
        <v>0</v>
      </c>
      <c r="C195" s="487"/>
      <c r="D195" s="405"/>
      <c r="E195" s="411"/>
    </row>
    <row r="196" spans="1:5" ht="27.75" customHeight="1" x14ac:dyDescent="0.25">
      <c r="A196" s="212" t="s">
        <v>48</v>
      </c>
      <c r="B196" s="218">
        <v>6.0000000000000001E-3</v>
      </c>
      <c r="C196" s="218">
        <v>6.0000000000000001E-3</v>
      </c>
      <c r="D196" s="164" t="s">
        <v>262</v>
      </c>
      <c r="E196" s="164" t="s">
        <v>95</v>
      </c>
    </row>
    <row r="197" spans="1:5" ht="12.75" customHeight="1" x14ac:dyDescent="0.25">
      <c r="A197" s="212" t="s">
        <v>69</v>
      </c>
      <c r="B197" s="219"/>
      <c r="C197" s="219"/>
      <c r="D197" s="403" t="s">
        <v>103</v>
      </c>
      <c r="E197" s="428" t="str">
        <f>E167</f>
        <v>calculated as equatoin 5 in MR, of which NLT for marke swine and breeding swine is sourced from "market and Breeding Pig stock record"</v>
      </c>
    </row>
    <row r="198" spans="1:5" x14ac:dyDescent="0.25">
      <c r="A198" s="126" t="str">
        <f t="shared" ref="A198:A209" si="12">A182</f>
        <v>2022/01/01-2022/01/31</v>
      </c>
      <c r="B198" s="220">
        <f>'monitoring results'!F4</f>
        <v>302283</v>
      </c>
      <c r="C198" s="220">
        <f>'monitoring results'!G4</f>
        <v>45922</v>
      </c>
      <c r="D198" s="404"/>
      <c r="E198" s="429"/>
    </row>
    <row r="199" spans="1:5" x14ac:dyDescent="0.25">
      <c r="A199" s="126" t="str">
        <f t="shared" si="12"/>
        <v>2022/02/01-2022/02/28</v>
      </c>
      <c r="B199" s="220">
        <f>'monitoring results'!F5</f>
        <v>302283</v>
      </c>
      <c r="C199" s="220">
        <f>'monitoring results'!G5</f>
        <v>45986</v>
      </c>
      <c r="D199" s="404"/>
      <c r="E199" s="429"/>
    </row>
    <row r="200" spans="1:5" x14ac:dyDescent="0.25">
      <c r="A200" s="126" t="str">
        <f t="shared" si="12"/>
        <v>2022/03/01-2022/03/31</v>
      </c>
      <c r="B200" s="220">
        <f>'monitoring results'!F6</f>
        <v>302283</v>
      </c>
      <c r="C200" s="220">
        <f>'monitoring results'!G6</f>
        <v>45782</v>
      </c>
      <c r="D200" s="404"/>
      <c r="E200" s="429"/>
    </row>
    <row r="201" spans="1:5" x14ac:dyDescent="0.25">
      <c r="A201" s="126" t="str">
        <f t="shared" si="12"/>
        <v>2022/04/01-2022/04/30</v>
      </c>
      <c r="B201" s="220">
        <f>'monitoring results'!F7</f>
        <v>302283</v>
      </c>
      <c r="C201" s="220">
        <f>'monitoring results'!G7</f>
        <v>45704</v>
      </c>
      <c r="D201" s="404"/>
      <c r="E201" s="429"/>
    </row>
    <row r="202" spans="1:5" x14ac:dyDescent="0.25">
      <c r="A202" s="126" t="str">
        <f t="shared" si="12"/>
        <v>2022/05/01-2022/05/31</v>
      </c>
      <c r="B202" s="220">
        <f>'monitoring results'!F8</f>
        <v>302283</v>
      </c>
      <c r="C202" s="220">
        <f>'monitoring results'!G8</f>
        <v>45917</v>
      </c>
      <c r="D202" s="404"/>
      <c r="E202" s="429"/>
    </row>
    <row r="203" spans="1:5" x14ac:dyDescent="0.25">
      <c r="A203" s="126" t="str">
        <f t="shared" si="12"/>
        <v>2022/06/01-2022/06/30</v>
      </c>
      <c r="B203" s="220">
        <f>'monitoring results'!F9</f>
        <v>302283</v>
      </c>
      <c r="C203" s="220">
        <f>'monitoring results'!G9</f>
        <v>46162</v>
      </c>
      <c r="D203" s="404"/>
      <c r="E203" s="429"/>
    </row>
    <row r="204" spans="1:5" x14ac:dyDescent="0.25">
      <c r="A204" s="126" t="str">
        <f t="shared" si="12"/>
        <v>2022/07/01-2022/07/31</v>
      </c>
      <c r="B204" s="220">
        <f>'monitoring results'!F10</f>
        <v>302283</v>
      </c>
      <c r="C204" s="220">
        <f>'monitoring results'!G10</f>
        <v>46217</v>
      </c>
      <c r="D204" s="404"/>
      <c r="E204" s="429"/>
    </row>
    <row r="205" spans="1:5" x14ac:dyDescent="0.25">
      <c r="A205" s="126" t="str">
        <f t="shared" si="12"/>
        <v>2022/08/01-2022/08/31</v>
      </c>
      <c r="B205" s="220">
        <f>'monitoring results'!F11</f>
        <v>302283</v>
      </c>
      <c r="C205" s="220">
        <f>'monitoring results'!G11</f>
        <v>45617</v>
      </c>
      <c r="D205" s="404"/>
      <c r="E205" s="429"/>
    </row>
    <row r="206" spans="1:5" x14ac:dyDescent="0.25">
      <c r="A206" s="126" t="str">
        <f t="shared" si="12"/>
        <v>2022/09/01-2022/09/30</v>
      </c>
      <c r="B206" s="220">
        <f>'monitoring results'!F12</f>
        <v>302283</v>
      </c>
      <c r="C206" s="220">
        <f>'monitoring results'!G12</f>
        <v>46288</v>
      </c>
      <c r="D206" s="404"/>
      <c r="E206" s="429"/>
    </row>
    <row r="207" spans="1:5" x14ac:dyDescent="0.25">
      <c r="A207" s="126" t="str">
        <f t="shared" si="12"/>
        <v>2022/10/01-2022/10/31</v>
      </c>
      <c r="B207" s="220">
        <f>'monitoring results'!F13</f>
        <v>302283</v>
      </c>
      <c r="C207" s="220">
        <f>'monitoring results'!G13</f>
        <v>46031</v>
      </c>
      <c r="D207" s="404"/>
      <c r="E207" s="429"/>
    </row>
    <row r="208" spans="1:5" x14ac:dyDescent="0.25">
      <c r="A208" s="126" t="str">
        <f t="shared" si="12"/>
        <v>2022/11/01-2022/11/30</v>
      </c>
      <c r="B208" s="220">
        <f>'monitoring results'!F14</f>
        <v>302283</v>
      </c>
      <c r="C208" s="220">
        <f>'monitoring results'!G14</f>
        <v>46416</v>
      </c>
      <c r="D208" s="404"/>
      <c r="E208" s="429"/>
    </row>
    <row r="209" spans="1:5" x14ac:dyDescent="0.25">
      <c r="A209" s="126" t="str">
        <f t="shared" si="12"/>
        <v>2022/12/01-2022/12/31</v>
      </c>
      <c r="B209" s="220">
        <f>'monitoring results'!F15</f>
        <v>302283</v>
      </c>
      <c r="C209" s="220">
        <f>'monitoring results'!G15</f>
        <v>45514</v>
      </c>
      <c r="D209" s="405"/>
      <c r="E209" s="430"/>
    </row>
    <row r="210" spans="1:5" x14ac:dyDescent="0.25">
      <c r="A210" s="212" t="s">
        <v>47</v>
      </c>
      <c r="B210" s="88">
        <v>1</v>
      </c>
      <c r="C210" s="88">
        <f>B210</f>
        <v>1</v>
      </c>
      <c r="D210" s="24" t="s">
        <v>149</v>
      </c>
      <c r="E210" s="91" t="s">
        <v>227</v>
      </c>
    </row>
    <row r="211" spans="1:5" ht="12.75" customHeight="1" x14ac:dyDescent="0.25">
      <c r="A211" s="199"/>
      <c r="B211" s="88"/>
      <c r="C211" s="88"/>
      <c r="D211" s="403" t="s">
        <v>231</v>
      </c>
      <c r="E211" s="409" t="s">
        <v>194</v>
      </c>
    </row>
    <row r="212" spans="1:5" x14ac:dyDescent="0.25">
      <c r="A212" s="126" t="str">
        <f>A198</f>
        <v>2022/01/01-2022/01/31</v>
      </c>
      <c r="B212" s="219">
        <f t="shared" ref="B212:B223" ca="1" si="13">$B$196*$B$210*B155*B168</f>
        <v>1482.9810518880001</v>
      </c>
      <c r="C212" s="219">
        <f t="shared" ref="C212:C223" ca="1" si="14">$C$196*$C$210*C155*C168</f>
        <v>164.40663801600002</v>
      </c>
      <c r="D212" s="404"/>
      <c r="E212" s="410"/>
    </row>
    <row r="213" spans="1:5" x14ac:dyDescent="0.25">
      <c r="A213" s="126" t="str">
        <f t="shared" ref="A213:A223" si="15">A199</f>
        <v>2022/02/01-2022/02/28</v>
      </c>
      <c r="B213" s="219">
        <f t="shared" ca="1" si="13"/>
        <v>1324.5363946080001</v>
      </c>
      <c r="C213" s="219">
        <f t="shared" ca="1" si="14"/>
        <v>147.40536384000001</v>
      </c>
      <c r="D213" s="404"/>
      <c r="E213" s="410"/>
    </row>
    <row r="214" spans="1:5" x14ac:dyDescent="0.25">
      <c r="A214" s="126" t="str">
        <f t="shared" si="15"/>
        <v>2022/03/01-2022/03/31</v>
      </c>
      <c r="B214" s="219">
        <f t="shared" ca="1" si="13"/>
        <v>1480.619617092</v>
      </c>
      <c r="C214" s="219">
        <f t="shared" ca="1" si="14"/>
        <v>163.49667839999998</v>
      </c>
      <c r="D214" s="404"/>
      <c r="E214" s="410"/>
    </row>
    <row r="215" spans="1:5" x14ac:dyDescent="0.25">
      <c r="A215" s="126" t="str">
        <f t="shared" si="15"/>
        <v>2022/04/01-2022/04/30</v>
      </c>
      <c r="B215" s="219">
        <f t="shared" ca="1" si="13"/>
        <v>1419.14613708</v>
      </c>
      <c r="C215" s="219">
        <f t="shared" ca="1" si="14"/>
        <v>155.78116992</v>
      </c>
      <c r="D215" s="404"/>
      <c r="E215" s="410"/>
    </row>
    <row r="216" spans="1:5" x14ac:dyDescent="0.25">
      <c r="A216" s="126" t="str">
        <f t="shared" si="15"/>
        <v>2022/05/01-2022/05/31</v>
      </c>
      <c r="B216" s="219">
        <f t="shared" ca="1" si="13"/>
        <v>1461.7281387240002</v>
      </c>
      <c r="C216" s="219">
        <f t="shared" ca="1" si="14"/>
        <v>163.97879039999998</v>
      </c>
      <c r="D216" s="404"/>
      <c r="E216" s="410"/>
    </row>
    <row r="217" spans="1:5" x14ac:dyDescent="0.25">
      <c r="A217" s="126" t="str">
        <f t="shared" si="15"/>
        <v>2022/06/01-2022/06/30</v>
      </c>
      <c r="B217" s="219">
        <f t="shared" ca="1" si="13"/>
        <v>1430.5724344800001</v>
      </c>
      <c r="C217" s="219">
        <f t="shared" ca="1" si="14"/>
        <v>160.33355135999997</v>
      </c>
      <c r="D217" s="404"/>
      <c r="E217" s="410"/>
    </row>
    <row r="218" spans="1:5" x14ac:dyDescent="0.25">
      <c r="A218" s="126" t="str">
        <f t="shared" si="15"/>
        <v>2022/07/01-2022/07/31</v>
      </c>
      <c r="B218" s="219">
        <f t="shared" ca="1" si="13"/>
        <v>1475.8967474999999</v>
      </c>
      <c r="C218" s="219">
        <f t="shared" ca="1" si="14"/>
        <v>164.63752502399998</v>
      </c>
      <c r="D218" s="404"/>
      <c r="E218" s="410"/>
    </row>
    <row r="219" spans="1:5" x14ac:dyDescent="0.25">
      <c r="A219" s="126" t="str">
        <f t="shared" si="15"/>
        <v>2022/08/01-2022/08/31</v>
      </c>
      <c r="B219" s="219">
        <f t="shared" ca="1" si="13"/>
        <v>1480.619617092</v>
      </c>
      <c r="C219" s="219">
        <f t="shared" ca="1" si="14"/>
        <v>163.92560183999998</v>
      </c>
      <c r="D219" s="404"/>
      <c r="E219" s="410"/>
    </row>
    <row r="220" spans="1:5" x14ac:dyDescent="0.25">
      <c r="A220" s="126" t="str">
        <f t="shared" si="15"/>
        <v>2022/09/01-2022/09/30</v>
      </c>
      <c r="B220" s="219">
        <f t="shared" ca="1" si="13"/>
        <v>1423.7166560400001</v>
      </c>
      <c r="C220" s="219">
        <f t="shared" ca="1" si="14"/>
        <v>158.57157887999998</v>
      </c>
      <c r="D220" s="404"/>
      <c r="E220" s="410"/>
    </row>
    <row r="221" spans="1:5" x14ac:dyDescent="0.25">
      <c r="A221" s="126" t="str">
        <f t="shared" si="15"/>
        <v>2022/10/01-2022/10/31</v>
      </c>
      <c r="B221" s="219">
        <f t="shared" ca="1" si="13"/>
        <v>1466.4510083160001</v>
      </c>
      <c r="C221" s="219">
        <f t="shared" ca="1" si="14"/>
        <v>164.38590719999999</v>
      </c>
      <c r="D221" s="404"/>
      <c r="E221" s="410"/>
    </row>
    <row r="222" spans="1:5" x14ac:dyDescent="0.25">
      <c r="A222" s="126" t="str">
        <f t="shared" si="15"/>
        <v>2022/11/01-2022/11/30</v>
      </c>
      <c r="B222" s="219">
        <f t="shared" ca="1" si="13"/>
        <v>1421.4313965600002</v>
      </c>
      <c r="C222" s="219">
        <f t="shared" ca="1" si="14"/>
        <v>161.41628159999999</v>
      </c>
      <c r="D222" s="404"/>
      <c r="E222" s="410"/>
    </row>
    <row r="223" spans="1:5" x14ac:dyDescent="0.25">
      <c r="A223" s="126" t="str">
        <f t="shared" si="15"/>
        <v>2022/12/01-2022/12/31</v>
      </c>
      <c r="B223" s="219">
        <f t="shared" ca="1" si="13"/>
        <v>1464.0895735200004</v>
      </c>
      <c r="C223" s="219">
        <f t="shared" ca="1" si="14"/>
        <v>159.49197935999999</v>
      </c>
      <c r="D223" s="405"/>
      <c r="E223" s="411"/>
    </row>
    <row r="224" spans="1:5" ht="13" x14ac:dyDescent="0.3">
      <c r="A224" s="182" t="str">
        <f>A194</f>
        <v>01/01/2022-31/12/2022</v>
      </c>
      <c r="B224" s="481">
        <f ca="1">SUM(B212:B223)+SUM(C212:C223)</f>
        <v>19259.61983874</v>
      </c>
      <c r="C224" s="481"/>
      <c r="D224" s="432"/>
      <c r="E224" s="479"/>
    </row>
    <row r="225" spans="1:9" ht="13.5" thickBot="1" x14ac:dyDescent="0.3">
      <c r="A225" s="215" t="s">
        <v>79</v>
      </c>
      <c r="B225" s="473">
        <f ca="1">B224</f>
        <v>19259.61983874</v>
      </c>
      <c r="C225" s="473"/>
      <c r="D225" s="478"/>
      <c r="E225" s="480"/>
    </row>
    <row r="227" spans="1:9" ht="13" x14ac:dyDescent="0.3">
      <c r="A227" s="17" t="s">
        <v>22</v>
      </c>
      <c r="B227" s="16"/>
      <c r="C227" s="16"/>
      <c r="D227" s="20"/>
      <c r="E227" s="16"/>
    </row>
    <row r="228" spans="1:9" ht="13" x14ac:dyDescent="0.3">
      <c r="A228" s="17"/>
      <c r="B228" s="16"/>
      <c r="C228" s="16"/>
      <c r="D228" s="20"/>
      <c r="E228" s="16"/>
    </row>
    <row r="229" spans="1:9" ht="13.5" thickBot="1" x14ac:dyDescent="0.35">
      <c r="A229" s="17" t="s">
        <v>42</v>
      </c>
      <c r="B229" s="16"/>
      <c r="C229" s="16"/>
      <c r="D229" s="16"/>
      <c r="E229" s="16"/>
    </row>
    <row r="230" spans="1:9" ht="13" x14ac:dyDescent="0.3">
      <c r="A230" s="118" t="s">
        <v>3</v>
      </c>
      <c r="B230" s="31" t="s">
        <v>19</v>
      </c>
      <c r="C230" s="31"/>
      <c r="D230" s="31" t="s">
        <v>2</v>
      </c>
      <c r="E230" s="32" t="s">
        <v>4</v>
      </c>
    </row>
    <row r="231" spans="1:9" ht="13" x14ac:dyDescent="0.3">
      <c r="A231" s="100"/>
      <c r="B231" s="26" t="str">
        <f>B152</f>
        <v>Market Swine</v>
      </c>
      <c r="C231" s="26" t="str">
        <f>C152</f>
        <v>Breeding Swine</v>
      </c>
      <c r="D231" s="26"/>
      <c r="E231" s="115"/>
    </row>
    <row r="232" spans="1:9" s="8" customFormat="1" ht="24" customHeight="1" x14ac:dyDescent="0.4">
      <c r="A232" s="199" t="s">
        <v>228</v>
      </c>
      <c r="B232" s="221">
        <v>0.01</v>
      </c>
      <c r="C232" s="221">
        <f>B232</f>
        <v>0.01</v>
      </c>
      <c r="D232" s="24" t="s">
        <v>262</v>
      </c>
      <c r="E232" s="119" t="s">
        <v>76</v>
      </c>
      <c r="F232"/>
      <c r="G232"/>
      <c r="H232"/>
      <c r="I232"/>
    </row>
    <row r="233" spans="1:9" ht="37.5" x14ac:dyDescent="0.25">
      <c r="A233" s="199" t="s">
        <v>229</v>
      </c>
      <c r="B233" s="222">
        <v>0.4</v>
      </c>
      <c r="C233" s="222">
        <v>0.4</v>
      </c>
      <c r="D233" s="164" t="s">
        <v>149</v>
      </c>
      <c r="E233" s="109" t="s">
        <v>78</v>
      </c>
    </row>
    <row r="234" spans="1:9" ht="15.5" x14ac:dyDescent="0.25">
      <c r="A234" s="199" t="s">
        <v>187</v>
      </c>
      <c r="B234" s="223"/>
      <c r="C234" s="223"/>
      <c r="D234" s="412" t="s">
        <v>101</v>
      </c>
      <c r="E234" s="457" t="s">
        <v>194</v>
      </c>
    </row>
    <row r="235" spans="1:9" x14ac:dyDescent="0.25">
      <c r="A235" s="126" t="str">
        <f t="shared" ref="A235:A246" si="16">A212</f>
        <v>2022/01/01-2022/01/31</v>
      </c>
      <c r="B235" s="223">
        <f ca="1">'Baseline emission'!B133</f>
        <v>0.81765600000000005</v>
      </c>
      <c r="C235" s="223">
        <f ca="1">'Baseline emission'!C133</f>
        <v>0.596688</v>
      </c>
      <c r="D235" s="413"/>
      <c r="E235" s="458"/>
    </row>
    <row r="236" spans="1:9" x14ac:dyDescent="0.25">
      <c r="A236" s="126" t="str">
        <f t="shared" si="16"/>
        <v>2022/02/01-2022/02/28</v>
      </c>
      <c r="B236" s="223">
        <f ca="1">'Baseline emission'!B134</f>
        <v>0.73029600000000006</v>
      </c>
      <c r="C236" s="223">
        <f ca="1">'Baseline emission'!C134</f>
        <v>0.53424000000000005</v>
      </c>
      <c r="D236" s="413"/>
      <c r="E236" s="458"/>
    </row>
    <row r="237" spans="1:9" x14ac:dyDescent="0.25">
      <c r="A237" s="126" t="str">
        <f t="shared" si="16"/>
        <v>2022/03/01-2022/03/31</v>
      </c>
      <c r="B237" s="223">
        <f ca="1">'Baseline emission'!B135</f>
        <v>0.81635400000000002</v>
      </c>
      <c r="C237" s="223">
        <f ca="1">'Baseline emission'!C135</f>
        <v>0.59519999999999995</v>
      </c>
      <c r="D237" s="413"/>
      <c r="E237" s="458"/>
    </row>
    <row r="238" spans="1:9" x14ac:dyDescent="0.25">
      <c r="A238" s="126" t="str">
        <f t="shared" si="16"/>
        <v>2022/04/01-2022/04/30</v>
      </c>
      <c r="B238" s="223">
        <f ca="1">'Baseline emission'!B136</f>
        <v>0.78246000000000004</v>
      </c>
      <c r="C238" s="223">
        <f ca="1">'Baseline emission'!C136</f>
        <v>0.56807999999999992</v>
      </c>
      <c r="D238" s="413"/>
      <c r="E238" s="458"/>
    </row>
    <row r="239" spans="1:9" x14ac:dyDescent="0.25">
      <c r="A239" s="126" t="str">
        <f t="shared" si="16"/>
        <v>2022/05/01-2022/05/31</v>
      </c>
      <c r="B239" s="223">
        <f ca="1">'Baseline emission'!B137</f>
        <v>0.80593800000000004</v>
      </c>
      <c r="C239" s="223">
        <f ca="1">'Baseline emission'!C137</f>
        <v>0.59519999999999995</v>
      </c>
      <c r="D239" s="413"/>
      <c r="E239" s="458"/>
    </row>
    <row r="240" spans="1:9" x14ac:dyDescent="0.25">
      <c r="A240" s="126" t="str">
        <f t="shared" si="16"/>
        <v>2022/06/01-2022/06/30</v>
      </c>
      <c r="B240" s="223">
        <f ca="1">'Baseline emission'!B138</f>
        <v>0.78876000000000002</v>
      </c>
      <c r="C240" s="223">
        <f ca="1">'Baseline emission'!C138</f>
        <v>0.57887999999999995</v>
      </c>
      <c r="D240" s="413"/>
      <c r="E240" s="458"/>
    </row>
    <row r="241" spans="1:9" x14ac:dyDescent="0.25">
      <c r="A241" s="126" t="str">
        <f t="shared" si="16"/>
        <v>2022/07/01-2022/07/31</v>
      </c>
      <c r="B241" s="223">
        <f ca="1">'Baseline emission'!B139</f>
        <v>0.81374999999999997</v>
      </c>
      <c r="C241" s="223">
        <f ca="1">'Baseline emission'!C139</f>
        <v>0.59371199999999991</v>
      </c>
      <c r="D241" s="413"/>
      <c r="E241" s="458"/>
    </row>
    <row r="242" spans="1:9" x14ac:dyDescent="0.25">
      <c r="A242" s="126" t="str">
        <f t="shared" si="16"/>
        <v>2022/08/01-2022/08/31</v>
      </c>
      <c r="B242" s="223">
        <f ca="1">'Baseline emission'!B140</f>
        <v>0.81635400000000002</v>
      </c>
      <c r="C242" s="223">
        <f ca="1">'Baseline emission'!C140</f>
        <v>0.5989199999999999</v>
      </c>
      <c r="D242" s="413"/>
      <c r="E242" s="458"/>
    </row>
    <row r="243" spans="1:9" x14ac:dyDescent="0.25">
      <c r="A243" s="126" t="str">
        <f t="shared" si="16"/>
        <v>2022/09/01-2022/09/30</v>
      </c>
      <c r="B243" s="223">
        <f ca="1">'Baseline emission'!B141</f>
        <v>0.78498000000000001</v>
      </c>
      <c r="C243" s="223">
        <f ca="1">'Baseline emission'!C141</f>
        <v>0.57095999999999991</v>
      </c>
      <c r="D243" s="413"/>
      <c r="E243" s="458"/>
    </row>
    <row r="244" spans="1:9" x14ac:dyDescent="0.25">
      <c r="A244" s="126" t="str">
        <f t="shared" si="16"/>
        <v>2022/10/01-2022/10/31</v>
      </c>
      <c r="B244" s="223">
        <f ca="1">'Baseline emission'!B142</f>
        <v>0.80854199999999998</v>
      </c>
      <c r="C244" s="223">
        <f ca="1">'Baseline emission'!C142</f>
        <v>0.59519999999999995</v>
      </c>
      <c r="D244" s="413"/>
      <c r="E244" s="458"/>
    </row>
    <row r="245" spans="1:9" x14ac:dyDescent="0.25">
      <c r="A245" s="126" t="str">
        <f t="shared" si="16"/>
        <v>2022/11/01-2022/11/30</v>
      </c>
      <c r="B245" s="223">
        <f ca="1">'Baseline emission'!B143</f>
        <v>0.78372000000000008</v>
      </c>
      <c r="C245" s="223">
        <f ca="1">'Baseline emission'!C143</f>
        <v>0.57959999999999989</v>
      </c>
      <c r="D245" s="413"/>
      <c r="E245" s="458"/>
    </row>
    <row r="246" spans="1:9" x14ac:dyDescent="0.25">
      <c r="A246" s="126" t="str">
        <f t="shared" si="16"/>
        <v>2022/12/01-2022/12/31</v>
      </c>
      <c r="B246" s="223">
        <f ca="1">'Baseline emission'!B144</f>
        <v>0.80724000000000007</v>
      </c>
      <c r="C246" s="223">
        <f ca="1">'Baseline emission'!C144</f>
        <v>0.58403999999999989</v>
      </c>
      <c r="D246" s="414"/>
      <c r="E246" s="459"/>
    </row>
    <row r="247" spans="1:9" ht="12.75" customHeight="1" x14ac:dyDescent="0.25">
      <c r="A247" s="212" t="s">
        <v>69</v>
      </c>
      <c r="B247" s="93"/>
      <c r="C247" s="93"/>
      <c r="D247" s="421" t="s">
        <v>103</v>
      </c>
      <c r="E247" s="457" t="str">
        <f>E100</f>
        <v>calculated as equatoin 5 in MR, of which NLT for marke swine and breeding swine is sourced from "market and Breeding Pig stock record"</v>
      </c>
      <c r="F247" s="8"/>
      <c r="G247" s="8"/>
      <c r="H247" s="8"/>
      <c r="I247" s="8"/>
    </row>
    <row r="248" spans="1:9" x14ac:dyDescent="0.25">
      <c r="A248" s="126" t="str">
        <f>A235</f>
        <v>2022/01/01-2022/01/31</v>
      </c>
      <c r="B248" s="93">
        <f>'monitoring results'!F4</f>
        <v>302283</v>
      </c>
      <c r="C248" s="93">
        <f>'monitoring results'!G4</f>
        <v>45922</v>
      </c>
      <c r="D248" s="422"/>
      <c r="E248" s="458"/>
      <c r="F248" s="8"/>
      <c r="G248" s="8"/>
      <c r="H248" s="8"/>
      <c r="I248" s="8"/>
    </row>
    <row r="249" spans="1:9" x14ac:dyDescent="0.25">
      <c r="A249" s="126" t="str">
        <f t="shared" ref="A249:A259" si="17">A236</f>
        <v>2022/02/01-2022/02/28</v>
      </c>
      <c r="B249" s="93">
        <f>'monitoring results'!F5</f>
        <v>302283</v>
      </c>
      <c r="C249" s="93">
        <f>'monitoring results'!G5</f>
        <v>45986</v>
      </c>
      <c r="D249" s="422"/>
      <c r="E249" s="458"/>
      <c r="F249" s="8"/>
      <c r="G249" s="8"/>
      <c r="H249" s="8"/>
      <c r="I249" s="8"/>
    </row>
    <row r="250" spans="1:9" x14ac:dyDescent="0.25">
      <c r="A250" s="126" t="str">
        <f t="shared" si="17"/>
        <v>2022/03/01-2022/03/31</v>
      </c>
      <c r="B250" s="93">
        <f>'monitoring results'!F6</f>
        <v>302283</v>
      </c>
      <c r="C250" s="93">
        <f>'monitoring results'!G6</f>
        <v>45782</v>
      </c>
      <c r="D250" s="422"/>
      <c r="E250" s="458"/>
      <c r="F250" s="8"/>
      <c r="G250" s="8"/>
      <c r="H250" s="8"/>
      <c r="I250" s="8"/>
    </row>
    <row r="251" spans="1:9" x14ac:dyDescent="0.25">
      <c r="A251" s="126" t="str">
        <f t="shared" si="17"/>
        <v>2022/04/01-2022/04/30</v>
      </c>
      <c r="B251" s="93">
        <f>'monitoring results'!F7</f>
        <v>302283</v>
      </c>
      <c r="C251" s="93">
        <f>'monitoring results'!G7</f>
        <v>45704</v>
      </c>
      <c r="D251" s="422"/>
      <c r="E251" s="458"/>
      <c r="F251" s="8"/>
      <c r="G251" s="8"/>
      <c r="H251" s="8"/>
      <c r="I251" s="8"/>
    </row>
    <row r="252" spans="1:9" x14ac:dyDescent="0.25">
      <c r="A252" s="126" t="str">
        <f t="shared" si="17"/>
        <v>2022/05/01-2022/05/31</v>
      </c>
      <c r="B252" s="93">
        <f>'monitoring results'!F8</f>
        <v>302283</v>
      </c>
      <c r="C252" s="93">
        <f>'monitoring results'!G8</f>
        <v>45917</v>
      </c>
      <c r="D252" s="422"/>
      <c r="E252" s="458"/>
      <c r="F252" s="8"/>
      <c r="G252" s="8"/>
      <c r="H252" s="8"/>
      <c r="I252" s="8"/>
    </row>
    <row r="253" spans="1:9" x14ac:dyDescent="0.25">
      <c r="A253" s="126" t="str">
        <f t="shared" si="17"/>
        <v>2022/06/01-2022/06/30</v>
      </c>
      <c r="B253" s="93">
        <f>'monitoring results'!F9</f>
        <v>302283</v>
      </c>
      <c r="C253" s="93">
        <f>'monitoring results'!G9</f>
        <v>46162</v>
      </c>
      <c r="D253" s="422"/>
      <c r="E253" s="458"/>
      <c r="F253" s="8"/>
      <c r="G253" s="8"/>
      <c r="H253" s="8"/>
      <c r="I253" s="8"/>
    </row>
    <row r="254" spans="1:9" x14ac:dyDescent="0.25">
      <c r="A254" s="126" t="str">
        <f t="shared" si="17"/>
        <v>2022/07/01-2022/07/31</v>
      </c>
      <c r="B254" s="93">
        <f>'monitoring results'!F10</f>
        <v>302283</v>
      </c>
      <c r="C254" s="93">
        <f>'monitoring results'!G10</f>
        <v>46217</v>
      </c>
      <c r="D254" s="422"/>
      <c r="E254" s="458"/>
      <c r="F254" s="8"/>
      <c r="G254" s="8"/>
      <c r="H254" s="8"/>
      <c r="I254" s="8"/>
    </row>
    <row r="255" spans="1:9" x14ac:dyDescent="0.25">
      <c r="A255" s="126" t="str">
        <f t="shared" si="17"/>
        <v>2022/08/01-2022/08/31</v>
      </c>
      <c r="B255" s="93">
        <f>'monitoring results'!F11</f>
        <v>302283</v>
      </c>
      <c r="C255" s="93">
        <f>'monitoring results'!G11</f>
        <v>45617</v>
      </c>
      <c r="D255" s="422"/>
      <c r="E255" s="458"/>
      <c r="F255" s="8"/>
      <c r="G255" s="8"/>
      <c r="H255" s="8"/>
      <c r="I255" s="8"/>
    </row>
    <row r="256" spans="1:9" x14ac:dyDescent="0.25">
      <c r="A256" s="126" t="str">
        <f t="shared" si="17"/>
        <v>2022/09/01-2022/09/30</v>
      </c>
      <c r="B256" s="93">
        <f>'monitoring results'!F12</f>
        <v>302283</v>
      </c>
      <c r="C256" s="93">
        <f>'monitoring results'!G12</f>
        <v>46288</v>
      </c>
      <c r="D256" s="422"/>
      <c r="E256" s="458"/>
      <c r="F256" s="8"/>
      <c r="G256" s="8"/>
      <c r="H256" s="8"/>
      <c r="I256" s="8"/>
    </row>
    <row r="257" spans="1:9" x14ac:dyDescent="0.25">
      <c r="A257" s="126" t="str">
        <f t="shared" si="17"/>
        <v>2022/10/01-2022/10/31</v>
      </c>
      <c r="B257" s="93">
        <f>'monitoring results'!F13</f>
        <v>302283</v>
      </c>
      <c r="C257" s="93">
        <f>'monitoring results'!G13</f>
        <v>46031</v>
      </c>
      <c r="D257" s="422"/>
      <c r="E257" s="458"/>
      <c r="F257" s="8"/>
      <c r="G257" s="8"/>
      <c r="H257" s="8"/>
      <c r="I257" s="8"/>
    </row>
    <row r="258" spans="1:9" x14ac:dyDescent="0.25">
      <c r="A258" s="126" t="str">
        <f t="shared" si="17"/>
        <v>2022/11/01-2022/11/30</v>
      </c>
      <c r="B258" s="93">
        <f>'monitoring results'!F14</f>
        <v>302283</v>
      </c>
      <c r="C258" s="93">
        <f>'monitoring results'!G14</f>
        <v>46416</v>
      </c>
      <c r="D258" s="422"/>
      <c r="E258" s="458"/>
      <c r="F258" s="8"/>
      <c r="G258" s="8"/>
      <c r="H258" s="8"/>
      <c r="I258" s="8"/>
    </row>
    <row r="259" spans="1:9" x14ac:dyDescent="0.25">
      <c r="A259" s="126" t="str">
        <f t="shared" si="17"/>
        <v>2022/12/01-2022/12/31</v>
      </c>
      <c r="B259" s="93">
        <f>'monitoring results'!F15</f>
        <v>302283</v>
      </c>
      <c r="C259" s="93">
        <f>'monitoring results'!G15</f>
        <v>45514</v>
      </c>
      <c r="D259" s="456"/>
      <c r="E259" s="459"/>
      <c r="F259" s="8"/>
      <c r="G259" s="8"/>
      <c r="H259" s="8"/>
      <c r="I259" s="8"/>
    </row>
    <row r="260" spans="1:9" x14ac:dyDescent="0.25">
      <c r="A260" s="212" t="s">
        <v>47</v>
      </c>
      <c r="B260" s="116">
        <v>1</v>
      </c>
      <c r="C260" s="116">
        <f>B260</f>
        <v>1</v>
      </c>
      <c r="D260" s="24" t="s">
        <v>195</v>
      </c>
      <c r="E260" s="105" t="s">
        <v>227</v>
      </c>
    </row>
    <row r="261" spans="1:9" ht="15.5" x14ac:dyDescent="0.4">
      <c r="A261" s="199" t="s">
        <v>218</v>
      </c>
      <c r="B261" s="389">
        <f>'Baseline emission'!B211</f>
        <v>265</v>
      </c>
      <c r="C261" s="389">
        <f>B261</f>
        <v>265</v>
      </c>
      <c r="D261" s="24" t="s">
        <v>230</v>
      </c>
      <c r="E261" s="109" t="str">
        <f>D38</f>
        <v>IPCC AR5</v>
      </c>
    </row>
    <row r="262" spans="1:9" x14ac:dyDescent="0.25">
      <c r="A262" s="199"/>
      <c r="B262" s="117"/>
      <c r="C262" s="117"/>
      <c r="D262" s="403" t="s">
        <v>231</v>
      </c>
      <c r="E262" s="457" t="s">
        <v>194</v>
      </c>
    </row>
    <row r="263" spans="1:9" x14ac:dyDescent="0.25">
      <c r="A263" s="126" t="str">
        <f>A248</f>
        <v>2022/01/01-2022/01/31</v>
      </c>
      <c r="B263" s="220">
        <f ca="1">$B$232*$B$233*$B$260*B248*B235</f>
        <v>988.65403459200013</v>
      </c>
      <c r="C263" s="220">
        <f ca="1">$C$232*$C$233*$C$260*C248*C235</f>
        <v>109.60442534400001</v>
      </c>
      <c r="D263" s="404"/>
      <c r="E263" s="458"/>
    </row>
    <row r="264" spans="1:9" x14ac:dyDescent="0.25">
      <c r="A264" s="126" t="str">
        <f t="shared" ref="A264:A274" si="18">A249</f>
        <v>2022/02/01-2022/02/28</v>
      </c>
      <c r="B264" s="220">
        <f t="shared" ref="B264:B272" ca="1" si="19">$B$232*$B$233*$B$260*B249*B236</f>
        <v>883.02426307200017</v>
      </c>
      <c r="C264" s="220">
        <f t="shared" ref="C264:C274" ca="1" si="20">$C$232*$C$233*$C$260*C249*C236</f>
        <v>98.270242560000014</v>
      </c>
      <c r="D264" s="404"/>
      <c r="E264" s="458"/>
    </row>
    <row r="265" spans="1:9" x14ac:dyDescent="0.25">
      <c r="A265" s="126" t="str">
        <f t="shared" si="18"/>
        <v>2022/03/01-2022/03/31</v>
      </c>
      <c r="B265" s="220">
        <f t="shared" ca="1" si="19"/>
        <v>987.07974472800004</v>
      </c>
      <c r="C265" s="220">
        <f t="shared" ca="1" si="20"/>
        <v>108.9977856</v>
      </c>
      <c r="D265" s="404"/>
      <c r="E265" s="458"/>
    </row>
    <row r="266" spans="1:9" x14ac:dyDescent="0.25">
      <c r="A266" s="126" t="str">
        <f t="shared" si="18"/>
        <v>2022/04/01-2022/04/30</v>
      </c>
      <c r="B266" s="220">
        <f t="shared" ca="1" si="19"/>
        <v>946.09742472000005</v>
      </c>
      <c r="C266" s="220">
        <f t="shared" ca="1" si="20"/>
        <v>103.85411327999999</v>
      </c>
      <c r="D266" s="404"/>
      <c r="E266" s="458"/>
    </row>
    <row r="267" spans="1:9" x14ac:dyDescent="0.25">
      <c r="A267" s="126" t="str">
        <f t="shared" si="18"/>
        <v>2022/05/01-2022/05/31</v>
      </c>
      <c r="B267" s="220">
        <f t="shared" ca="1" si="19"/>
        <v>974.48542581600009</v>
      </c>
      <c r="C267" s="220">
        <f t="shared" ca="1" si="20"/>
        <v>109.31919359999999</v>
      </c>
      <c r="D267" s="404"/>
      <c r="E267" s="458"/>
    </row>
    <row r="268" spans="1:9" x14ac:dyDescent="0.25">
      <c r="A268" s="126" t="str">
        <f t="shared" si="18"/>
        <v>2022/06/01-2022/06/30</v>
      </c>
      <c r="B268" s="220">
        <f t="shared" ca="1" si="19"/>
        <v>953.71495632000006</v>
      </c>
      <c r="C268" s="220">
        <f t="shared" ca="1" si="20"/>
        <v>106.88903423999999</v>
      </c>
      <c r="D268" s="404"/>
      <c r="E268" s="458"/>
    </row>
    <row r="269" spans="1:9" x14ac:dyDescent="0.25">
      <c r="A269" s="126" t="str">
        <f t="shared" si="18"/>
        <v>2022/07/01-2022/07/31</v>
      </c>
      <c r="B269" s="220">
        <f t="shared" ca="1" si="19"/>
        <v>983.93116499999996</v>
      </c>
      <c r="C269" s="220">
        <f t="shared" ca="1" si="20"/>
        <v>109.75835001599998</v>
      </c>
      <c r="D269" s="404"/>
      <c r="E269" s="458"/>
    </row>
    <row r="270" spans="1:9" x14ac:dyDescent="0.25">
      <c r="A270" s="126" t="str">
        <f t="shared" si="18"/>
        <v>2022/08/01-2022/08/31</v>
      </c>
      <c r="B270" s="220">
        <f t="shared" ca="1" si="19"/>
        <v>987.07974472800004</v>
      </c>
      <c r="C270" s="220">
        <f t="shared" ca="1" si="20"/>
        <v>109.28373455999998</v>
      </c>
      <c r="D270" s="404"/>
      <c r="E270" s="458"/>
    </row>
    <row r="271" spans="1:9" x14ac:dyDescent="0.25">
      <c r="A271" s="126" t="str">
        <f t="shared" si="18"/>
        <v>2022/09/01-2022/09/30</v>
      </c>
      <c r="B271" s="220">
        <f t="shared" ca="1" si="19"/>
        <v>949.1444373600001</v>
      </c>
      <c r="C271" s="220">
        <f t="shared" ca="1" si="20"/>
        <v>105.71438592</v>
      </c>
      <c r="D271" s="404"/>
      <c r="E271" s="458"/>
    </row>
    <row r="272" spans="1:9" x14ac:dyDescent="0.25">
      <c r="A272" s="126" t="str">
        <f t="shared" si="18"/>
        <v>2022/10/01-2022/10/31</v>
      </c>
      <c r="B272" s="220">
        <f t="shared" ca="1" si="19"/>
        <v>977.63400554400005</v>
      </c>
      <c r="C272" s="220">
        <f t="shared" ca="1" si="20"/>
        <v>109.59060479999999</v>
      </c>
      <c r="D272" s="405"/>
      <c r="E272" s="459"/>
    </row>
    <row r="273" spans="1:5" x14ac:dyDescent="0.25">
      <c r="A273" s="126" t="str">
        <f t="shared" si="18"/>
        <v>2022/11/01-2022/11/30</v>
      </c>
      <c r="B273" s="220">
        <f ca="1">$B$232*$B$233*$B$260*B258*B245</f>
        <v>947.62093104000019</v>
      </c>
      <c r="C273" s="220">
        <f t="shared" ca="1" si="20"/>
        <v>107.61085439999999</v>
      </c>
      <c r="D273" s="298"/>
      <c r="E273" s="299"/>
    </row>
    <row r="274" spans="1:5" x14ac:dyDescent="0.25">
      <c r="A274" s="126" t="str">
        <f t="shared" si="18"/>
        <v>2022/12/01-2022/12/31</v>
      </c>
      <c r="B274" s="220">
        <f ca="1">$B$232*$B$233*$B$260*B259*B246</f>
        <v>976.05971568000018</v>
      </c>
      <c r="C274" s="220">
        <f t="shared" ca="1" si="20"/>
        <v>106.32798623999999</v>
      </c>
      <c r="D274" s="298"/>
      <c r="E274" s="299"/>
    </row>
    <row r="275" spans="1:5" ht="13" x14ac:dyDescent="0.3">
      <c r="A275" s="182" t="str">
        <f>A224</f>
        <v>01/01/2022-31/12/2022</v>
      </c>
      <c r="B275" s="460">
        <f ca="1">SUM(B263:B274)+SUM(C263:C274)</f>
        <v>12839.746559160001</v>
      </c>
      <c r="C275" s="461"/>
      <c r="D275" s="404"/>
      <c r="E275" s="458"/>
    </row>
    <row r="276" spans="1:5" s="5" customFormat="1" ht="13.5" thickBot="1" x14ac:dyDescent="0.35">
      <c r="A276" s="224" t="s">
        <v>263</v>
      </c>
      <c r="B276" s="455">
        <f ca="1">B275</f>
        <v>12839.746559160001</v>
      </c>
      <c r="C276" s="455"/>
      <c r="D276" s="474"/>
      <c r="E276" s="475"/>
    </row>
    <row r="277" spans="1:5" ht="13" thickBot="1" x14ac:dyDescent="0.3">
      <c r="A277" s="16"/>
      <c r="B277" s="16"/>
      <c r="C277" s="16"/>
      <c r="D277" s="16"/>
      <c r="E277" s="16"/>
    </row>
    <row r="278" spans="1:5" ht="13" x14ac:dyDescent="0.3">
      <c r="A278" s="118" t="s">
        <v>3</v>
      </c>
      <c r="B278" s="31" t="s">
        <v>19</v>
      </c>
      <c r="C278" s="31"/>
      <c r="D278" s="31" t="s">
        <v>2</v>
      </c>
      <c r="E278" s="31" t="s">
        <v>4</v>
      </c>
    </row>
    <row r="279" spans="1:5" ht="13" x14ac:dyDescent="0.3">
      <c r="A279" s="100"/>
      <c r="B279" s="26" t="s">
        <v>33</v>
      </c>
      <c r="C279" s="26" t="s">
        <v>34</v>
      </c>
      <c r="D279" s="26"/>
      <c r="E279" s="26"/>
    </row>
    <row r="280" spans="1:5" ht="15.5" x14ac:dyDescent="0.4">
      <c r="A280" s="199" t="s">
        <v>228</v>
      </c>
      <c r="B280" s="221">
        <v>0.01</v>
      </c>
      <c r="C280" s="221">
        <f>B280</f>
        <v>0.01</v>
      </c>
      <c r="D280" s="24" t="s">
        <v>262</v>
      </c>
      <c r="E280" s="167" t="s">
        <v>76</v>
      </c>
    </row>
    <row r="281" spans="1:5" ht="37.5" x14ac:dyDescent="0.25">
      <c r="A281" s="199" t="s">
        <v>229</v>
      </c>
      <c r="B281" s="376">
        <v>0.45</v>
      </c>
      <c r="C281" s="376">
        <v>0.45</v>
      </c>
      <c r="D281" s="24" t="s">
        <v>149</v>
      </c>
      <c r="E281" s="108" t="s">
        <v>78</v>
      </c>
    </row>
    <row r="282" spans="1:5" ht="15.5" x14ac:dyDescent="0.25">
      <c r="A282" s="199" t="s">
        <v>187</v>
      </c>
      <c r="B282" s="223"/>
      <c r="C282" s="223"/>
      <c r="D282" s="412" t="s">
        <v>101</v>
      </c>
      <c r="E282" s="428" t="s">
        <v>194</v>
      </c>
    </row>
    <row r="283" spans="1:5" x14ac:dyDescent="0.25">
      <c r="A283" s="126" t="str">
        <f t="shared" ref="A283:A294" si="21">A263</f>
        <v>2022/01/01-2022/01/31</v>
      </c>
      <c r="B283" s="223">
        <f ca="1">'Baseline emission'!B133</f>
        <v>0.81765600000000005</v>
      </c>
      <c r="C283" s="223">
        <f ca="1">'Baseline emission'!C133</f>
        <v>0.596688</v>
      </c>
      <c r="D283" s="413"/>
      <c r="E283" s="429"/>
    </row>
    <row r="284" spans="1:5" x14ac:dyDescent="0.25">
      <c r="A284" s="126" t="str">
        <f t="shared" si="21"/>
        <v>2022/02/01-2022/02/28</v>
      </c>
      <c r="B284" s="223">
        <f ca="1">'Baseline emission'!B134</f>
        <v>0.73029600000000006</v>
      </c>
      <c r="C284" s="223">
        <f ca="1">'Baseline emission'!C134</f>
        <v>0.53424000000000005</v>
      </c>
      <c r="D284" s="413"/>
      <c r="E284" s="429"/>
    </row>
    <row r="285" spans="1:5" x14ac:dyDescent="0.25">
      <c r="A285" s="126" t="str">
        <f t="shared" si="21"/>
        <v>2022/03/01-2022/03/31</v>
      </c>
      <c r="B285" s="223">
        <f ca="1">'Baseline emission'!B135</f>
        <v>0.81635400000000002</v>
      </c>
      <c r="C285" s="223">
        <f ca="1">'Baseline emission'!C135</f>
        <v>0.59519999999999995</v>
      </c>
      <c r="D285" s="413"/>
      <c r="E285" s="429"/>
    </row>
    <row r="286" spans="1:5" x14ac:dyDescent="0.25">
      <c r="A286" s="126" t="str">
        <f t="shared" si="21"/>
        <v>2022/04/01-2022/04/30</v>
      </c>
      <c r="B286" s="223">
        <f ca="1">'Baseline emission'!B136</f>
        <v>0.78246000000000004</v>
      </c>
      <c r="C286" s="223">
        <f ca="1">'Baseline emission'!C136</f>
        <v>0.56807999999999992</v>
      </c>
      <c r="D286" s="413"/>
      <c r="E286" s="429"/>
    </row>
    <row r="287" spans="1:5" x14ac:dyDescent="0.25">
      <c r="A287" s="126" t="str">
        <f t="shared" si="21"/>
        <v>2022/05/01-2022/05/31</v>
      </c>
      <c r="B287" s="223">
        <f ca="1">'Baseline emission'!B137</f>
        <v>0.80593800000000004</v>
      </c>
      <c r="C287" s="223">
        <f ca="1">'Baseline emission'!C137</f>
        <v>0.59519999999999995</v>
      </c>
      <c r="D287" s="413"/>
      <c r="E287" s="429"/>
    </row>
    <row r="288" spans="1:5" x14ac:dyDescent="0.25">
      <c r="A288" s="126" t="str">
        <f t="shared" si="21"/>
        <v>2022/06/01-2022/06/30</v>
      </c>
      <c r="B288" s="223">
        <f ca="1">'Baseline emission'!B138</f>
        <v>0.78876000000000002</v>
      </c>
      <c r="C288" s="223">
        <f ca="1">'Baseline emission'!C138</f>
        <v>0.57887999999999995</v>
      </c>
      <c r="D288" s="413"/>
      <c r="E288" s="429"/>
    </row>
    <row r="289" spans="1:5" x14ac:dyDescent="0.25">
      <c r="A289" s="126" t="str">
        <f t="shared" si="21"/>
        <v>2022/07/01-2022/07/31</v>
      </c>
      <c r="B289" s="223">
        <f ca="1">'Baseline emission'!B139</f>
        <v>0.81374999999999997</v>
      </c>
      <c r="C289" s="223">
        <f ca="1">'Baseline emission'!C139</f>
        <v>0.59371199999999991</v>
      </c>
      <c r="D289" s="413"/>
      <c r="E289" s="429"/>
    </row>
    <row r="290" spans="1:5" x14ac:dyDescent="0.25">
      <c r="A290" s="126" t="str">
        <f t="shared" si="21"/>
        <v>2022/08/01-2022/08/31</v>
      </c>
      <c r="B290" s="223">
        <f ca="1">'Baseline emission'!B140</f>
        <v>0.81635400000000002</v>
      </c>
      <c r="C290" s="223">
        <f ca="1">'Baseline emission'!C140</f>
        <v>0.5989199999999999</v>
      </c>
      <c r="D290" s="413"/>
      <c r="E290" s="429"/>
    </row>
    <row r="291" spans="1:5" x14ac:dyDescent="0.25">
      <c r="A291" s="126" t="str">
        <f t="shared" si="21"/>
        <v>2022/09/01-2022/09/30</v>
      </c>
      <c r="B291" s="223">
        <f ca="1">'Baseline emission'!B141</f>
        <v>0.78498000000000001</v>
      </c>
      <c r="C291" s="223">
        <f ca="1">'Baseline emission'!C141</f>
        <v>0.57095999999999991</v>
      </c>
      <c r="D291" s="413"/>
      <c r="E291" s="429"/>
    </row>
    <row r="292" spans="1:5" x14ac:dyDescent="0.25">
      <c r="A292" s="126" t="str">
        <f t="shared" si="21"/>
        <v>2022/10/01-2022/10/31</v>
      </c>
      <c r="B292" s="223">
        <f ca="1">'Baseline emission'!B142</f>
        <v>0.80854199999999998</v>
      </c>
      <c r="C292" s="223">
        <f ca="1">'Baseline emission'!C142</f>
        <v>0.59519999999999995</v>
      </c>
      <c r="D292" s="413"/>
      <c r="E292" s="429"/>
    </row>
    <row r="293" spans="1:5" x14ac:dyDescent="0.25">
      <c r="A293" s="126" t="str">
        <f t="shared" si="21"/>
        <v>2022/11/01-2022/11/30</v>
      </c>
      <c r="B293" s="223">
        <f ca="1">'Baseline emission'!B143</f>
        <v>0.78372000000000008</v>
      </c>
      <c r="C293" s="223">
        <f ca="1">'Baseline emission'!C143</f>
        <v>0.57959999999999989</v>
      </c>
      <c r="D293" s="413"/>
      <c r="E293" s="429"/>
    </row>
    <row r="294" spans="1:5" x14ac:dyDescent="0.25">
      <c r="A294" s="126" t="str">
        <f t="shared" si="21"/>
        <v>2022/12/01-2022/12/31</v>
      </c>
      <c r="B294" s="223">
        <f ca="1">'Baseline emission'!B144</f>
        <v>0.80724000000000007</v>
      </c>
      <c r="C294" s="223">
        <f ca="1">'Baseline emission'!C144</f>
        <v>0.58403999999999989</v>
      </c>
      <c r="D294" s="414"/>
      <c r="E294" s="430"/>
    </row>
    <row r="295" spans="1:5" ht="12.75" customHeight="1" x14ac:dyDescent="0.25">
      <c r="A295" s="212" t="s">
        <v>69</v>
      </c>
      <c r="B295" s="93"/>
      <c r="C295" s="93"/>
      <c r="D295" s="421" t="s">
        <v>103</v>
      </c>
      <c r="E295" s="428" t="str">
        <f>E247</f>
        <v>calculated as equatoin 5 in MR, of which NLT for marke swine and breeding swine is sourced from "market and Breeding Pig stock record"</v>
      </c>
    </row>
    <row r="296" spans="1:5" x14ac:dyDescent="0.25">
      <c r="A296" s="126" t="str">
        <f>A283</f>
        <v>2022/01/01-2022/01/31</v>
      </c>
      <c r="B296" s="93">
        <f>'monitoring results'!F4</f>
        <v>302283</v>
      </c>
      <c r="C296" s="93">
        <f>'monitoring results'!G4</f>
        <v>45922</v>
      </c>
      <c r="D296" s="422"/>
      <c r="E296" s="429"/>
    </row>
    <row r="297" spans="1:5" x14ac:dyDescent="0.25">
      <c r="A297" s="126" t="str">
        <f t="shared" ref="A297:A307" si="22">A284</f>
        <v>2022/02/01-2022/02/28</v>
      </c>
      <c r="B297" s="93">
        <f>'monitoring results'!F5</f>
        <v>302283</v>
      </c>
      <c r="C297" s="93">
        <f>'monitoring results'!G5</f>
        <v>45986</v>
      </c>
      <c r="D297" s="422"/>
      <c r="E297" s="429"/>
    </row>
    <row r="298" spans="1:5" x14ac:dyDescent="0.25">
      <c r="A298" s="126" t="str">
        <f t="shared" si="22"/>
        <v>2022/03/01-2022/03/31</v>
      </c>
      <c r="B298" s="93">
        <f>'monitoring results'!F6</f>
        <v>302283</v>
      </c>
      <c r="C298" s="93">
        <f>'monitoring results'!G6</f>
        <v>45782</v>
      </c>
      <c r="D298" s="422"/>
      <c r="E298" s="429"/>
    </row>
    <row r="299" spans="1:5" x14ac:dyDescent="0.25">
      <c r="A299" s="126" t="str">
        <f t="shared" si="22"/>
        <v>2022/04/01-2022/04/30</v>
      </c>
      <c r="B299" s="93">
        <f>'monitoring results'!F7</f>
        <v>302283</v>
      </c>
      <c r="C299" s="93">
        <f>'monitoring results'!G7</f>
        <v>45704</v>
      </c>
      <c r="D299" s="422"/>
      <c r="E299" s="429"/>
    </row>
    <row r="300" spans="1:5" x14ac:dyDescent="0.25">
      <c r="A300" s="126" t="str">
        <f t="shared" si="22"/>
        <v>2022/05/01-2022/05/31</v>
      </c>
      <c r="B300" s="93">
        <f>'monitoring results'!F8</f>
        <v>302283</v>
      </c>
      <c r="C300" s="93">
        <f>'monitoring results'!G8</f>
        <v>45917</v>
      </c>
      <c r="D300" s="422"/>
      <c r="E300" s="429"/>
    </row>
    <row r="301" spans="1:5" x14ac:dyDescent="0.25">
      <c r="A301" s="126" t="str">
        <f t="shared" si="22"/>
        <v>2022/06/01-2022/06/30</v>
      </c>
      <c r="B301" s="93">
        <f>'monitoring results'!F9</f>
        <v>302283</v>
      </c>
      <c r="C301" s="93">
        <f>'monitoring results'!G9</f>
        <v>46162</v>
      </c>
      <c r="D301" s="422"/>
      <c r="E301" s="429"/>
    </row>
    <row r="302" spans="1:5" x14ac:dyDescent="0.25">
      <c r="A302" s="126" t="str">
        <f t="shared" si="22"/>
        <v>2022/07/01-2022/07/31</v>
      </c>
      <c r="B302" s="93">
        <f>'monitoring results'!F10</f>
        <v>302283</v>
      </c>
      <c r="C302" s="93">
        <f>'monitoring results'!G10</f>
        <v>46217</v>
      </c>
      <c r="D302" s="422"/>
      <c r="E302" s="429"/>
    </row>
    <row r="303" spans="1:5" x14ac:dyDescent="0.25">
      <c r="A303" s="126" t="str">
        <f t="shared" si="22"/>
        <v>2022/08/01-2022/08/31</v>
      </c>
      <c r="B303" s="93">
        <f>'monitoring results'!F11</f>
        <v>302283</v>
      </c>
      <c r="C303" s="93">
        <f>'monitoring results'!G11</f>
        <v>45617</v>
      </c>
      <c r="D303" s="422"/>
      <c r="E303" s="429"/>
    </row>
    <row r="304" spans="1:5" x14ac:dyDescent="0.25">
      <c r="A304" s="126" t="str">
        <f t="shared" si="22"/>
        <v>2022/09/01-2022/09/30</v>
      </c>
      <c r="B304" s="93">
        <f>'monitoring results'!F12</f>
        <v>302283</v>
      </c>
      <c r="C304" s="93">
        <f>'monitoring results'!G12</f>
        <v>46288</v>
      </c>
      <c r="D304" s="422"/>
      <c r="E304" s="429"/>
    </row>
    <row r="305" spans="1:5" x14ac:dyDescent="0.25">
      <c r="A305" s="126" t="str">
        <f t="shared" si="22"/>
        <v>2022/10/01-2022/10/31</v>
      </c>
      <c r="B305" s="93">
        <f>'monitoring results'!F13</f>
        <v>302283</v>
      </c>
      <c r="C305" s="93">
        <f>'monitoring results'!G13</f>
        <v>46031</v>
      </c>
      <c r="D305" s="422"/>
      <c r="E305" s="429"/>
    </row>
    <row r="306" spans="1:5" x14ac:dyDescent="0.25">
      <c r="A306" s="126" t="str">
        <f t="shared" si="22"/>
        <v>2022/11/01-2022/11/30</v>
      </c>
      <c r="B306" s="93">
        <f>'monitoring results'!F14</f>
        <v>302283</v>
      </c>
      <c r="C306" s="93">
        <f>'monitoring results'!G14</f>
        <v>46416</v>
      </c>
      <c r="D306" s="422"/>
      <c r="E306" s="429"/>
    </row>
    <row r="307" spans="1:5" x14ac:dyDescent="0.25">
      <c r="A307" s="126" t="str">
        <f t="shared" si="22"/>
        <v>2022/12/01-2022/12/31</v>
      </c>
      <c r="B307" s="93">
        <f>'monitoring results'!F15</f>
        <v>302283</v>
      </c>
      <c r="C307" s="93">
        <f>'monitoring results'!G15</f>
        <v>45514</v>
      </c>
      <c r="D307" s="456"/>
      <c r="E307" s="430"/>
    </row>
    <row r="308" spans="1:5" x14ac:dyDescent="0.25">
      <c r="A308" s="212" t="s">
        <v>47</v>
      </c>
      <c r="B308" s="120">
        <v>1</v>
      </c>
      <c r="C308" s="120">
        <f>B308</f>
        <v>1</v>
      </c>
      <c r="D308" s="24" t="s">
        <v>1</v>
      </c>
      <c r="E308" s="104" t="s">
        <v>227</v>
      </c>
    </row>
    <row r="309" spans="1:5" ht="15.5" x14ac:dyDescent="0.4">
      <c r="A309" s="199" t="s">
        <v>218</v>
      </c>
      <c r="B309" s="389">
        <f>'Baseline emission'!B211</f>
        <v>265</v>
      </c>
      <c r="C309" s="389">
        <f>B309</f>
        <v>265</v>
      </c>
      <c r="D309" s="24" t="s">
        <v>230</v>
      </c>
      <c r="E309" s="108" t="s">
        <v>223</v>
      </c>
    </row>
    <row r="310" spans="1:5" ht="12.75" customHeight="1" x14ac:dyDescent="0.25">
      <c r="A310" s="126" t="str">
        <f>A296</f>
        <v>2022/01/01-2022/01/31</v>
      </c>
      <c r="B310" s="131">
        <f ca="1">$B$280*$B$281*$B$308*B248*B235</f>
        <v>1112.2357889160003</v>
      </c>
      <c r="C310" s="131">
        <f ca="1">$C$280*$C$281*$C$308*C248*C235</f>
        <v>123.30497851200002</v>
      </c>
      <c r="D310" s="403" t="s">
        <v>231</v>
      </c>
      <c r="E310" s="428" t="s">
        <v>194</v>
      </c>
    </row>
    <row r="311" spans="1:5" x14ac:dyDescent="0.25">
      <c r="A311" s="126" t="str">
        <f t="shared" ref="A311:A321" si="23">A297</f>
        <v>2022/02/01-2022/02/28</v>
      </c>
      <c r="B311" s="131">
        <f t="shared" ref="B311:B321" ca="1" si="24">$B$280*$B$281*$B$308*B249*B236</f>
        <v>993.40229595600022</v>
      </c>
      <c r="C311" s="131">
        <f t="shared" ref="C311:C321" ca="1" si="25">$C$280*$C$281*$C$308*C249*C236</f>
        <v>110.55402288000002</v>
      </c>
      <c r="D311" s="404"/>
      <c r="E311" s="429"/>
    </row>
    <row r="312" spans="1:5" x14ac:dyDescent="0.25">
      <c r="A312" s="126" t="str">
        <f t="shared" si="23"/>
        <v>2022/03/01-2022/03/31</v>
      </c>
      <c r="B312" s="131">
        <f t="shared" ca="1" si="24"/>
        <v>1110.4647128190002</v>
      </c>
      <c r="C312" s="131">
        <f t="shared" ca="1" si="25"/>
        <v>122.62250880000001</v>
      </c>
      <c r="D312" s="404"/>
      <c r="E312" s="429"/>
    </row>
    <row r="313" spans="1:5" x14ac:dyDescent="0.25">
      <c r="A313" s="126" t="str">
        <f t="shared" si="23"/>
        <v>2022/04/01-2022/04/30</v>
      </c>
      <c r="B313" s="131">
        <f t="shared" ca="1" si="24"/>
        <v>1064.3596028100003</v>
      </c>
      <c r="C313" s="131">
        <f t="shared" ca="1" si="25"/>
        <v>116.83587744</v>
      </c>
      <c r="D313" s="404"/>
      <c r="E313" s="429"/>
    </row>
    <row r="314" spans="1:5" x14ac:dyDescent="0.25">
      <c r="A314" s="126" t="str">
        <f t="shared" si="23"/>
        <v>2022/05/01-2022/05/31</v>
      </c>
      <c r="B314" s="131">
        <f t="shared" ca="1" si="24"/>
        <v>1096.2961040430002</v>
      </c>
      <c r="C314" s="131">
        <f t="shared" ca="1" si="25"/>
        <v>122.9840928</v>
      </c>
      <c r="D314" s="404"/>
      <c r="E314" s="429"/>
    </row>
    <row r="315" spans="1:5" x14ac:dyDescent="0.25">
      <c r="A315" s="126" t="str">
        <f t="shared" si="23"/>
        <v>2022/06/01-2022/06/30</v>
      </c>
      <c r="B315" s="131">
        <f t="shared" ca="1" si="24"/>
        <v>1072.9293258600003</v>
      </c>
      <c r="C315" s="131">
        <f t="shared" ca="1" si="25"/>
        <v>120.25016352</v>
      </c>
      <c r="D315" s="404"/>
      <c r="E315" s="429"/>
    </row>
    <row r="316" spans="1:5" x14ac:dyDescent="0.25">
      <c r="A316" s="126" t="str">
        <f t="shared" si="23"/>
        <v>2022/07/01-2022/07/31</v>
      </c>
      <c r="B316" s="131">
        <f t="shared" ca="1" si="24"/>
        <v>1106.9225606250002</v>
      </c>
      <c r="C316" s="131">
        <f t="shared" ca="1" si="25"/>
        <v>123.478143768</v>
      </c>
      <c r="D316" s="404"/>
      <c r="E316" s="429"/>
    </row>
    <row r="317" spans="1:5" x14ac:dyDescent="0.25">
      <c r="A317" s="126" t="str">
        <f t="shared" si="23"/>
        <v>2022/08/01-2022/08/31</v>
      </c>
      <c r="B317" s="131">
        <f t="shared" ca="1" si="24"/>
        <v>1110.4647128190002</v>
      </c>
      <c r="C317" s="131">
        <f t="shared" ca="1" si="25"/>
        <v>122.94420138</v>
      </c>
      <c r="D317" s="404"/>
      <c r="E317" s="429"/>
    </row>
    <row r="318" spans="1:5" x14ac:dyDescent="0.25">
      <c r="A318" s="126" t="str">
        <f t="shared" si="23"/>
        <v>2022/09/01-2022/09/30</v>
      </c>
      <c r="B318" s="131">
        <f t="shared" ca="1" si="24"/>
        <v>1067.7874920300003</v>
      </c>
      <c r="C318" s="131">
        <f t="shared" ca="1" si="25"/>
        <v>118.92868415999999</v>
      </c>
      <c r="D318" s="404"/>
      <c r="E318" s="429"/>
    </row>
    <row r="319" spans="1:5" x14ac:dyDescent="0.25">
      <c r="A319" s="126" t="str">
        <f t="shared" si="23"/>
        <v>2022/10/01-2022/10/31</v>
      </c>
      <c r="B319" s="131">
        <f t="shared" ca="1" si="24"/>
        <v>1099.8382562370002</v>
      </c>
      <c r="C319" s="131">
        <f t="shared" ca="1" si="25"/>
        <v>123.2894304</v>
      </c>
      <c r="D319" s="404"/>
      <c r="E319" s="429"/>
    </row>
    <row r="320" spans="1:5" x14ac:dyDescent="0.25">
      <c r="A320" s="126" t="str">
        <f t="shared" si="23"/>
        <v>2022/11/01-2022/11/30</v>
      </c>
      <c r="B320" s="131">
        <f t="shared" ca="1" si="24"/>
        <v>1066.0735474200003</v>
      </c>
      <c r="C320" s="131">
        <f t="shared" ca="1" si="25"/>
        <v>121.06221119999998</v>
      </c>
      <c r="D320" s="404"/>
      <c r="E320" s="429"/>
    </row>
    <row r="321" spans="1:5" x14ac:dyDescent="0.25">
      <c r="A321" s="126" t="str">
        <f t="shared" si="23"/>
        <v>2022/12/01-2022/12/31</v>
      </c>
      <c r="B321" s="131">
        <f t="shared" ca="1" si="24"/>
        <v>1098.0671801400003</v>
      </c>
      <c r="C321" s="131">
        <f t="shared" ca="1" si="25"/>
        <v>119.61898451999998</v>
      </c>
      <c r="D321" s="405"/>
      <c r="E321" s="430"/>
    </row>
    <row r="322" spans="1:5" ht="13" x14ac:dyDescent="0.3">
      <c r="A322" s="182" t="str">
        <f>A275</f>
        <v>01/01/2022-31/12/2022</v>
      </c>
      <c r="B322" s="416">
        <f ca="1">SUM(B310:B321)+SUM(C310:C321)</f>
        <v>14444.714879055004</v>
      </c>
      <c r="C322" s="416"/>
      <c r="D322" s="470"/>
      <c r="E322" s="429"/>
    </row>
    <row r="323" spans="1:5" ht="15.5" thickBot="1" x14ac:dyDescent="0.45">
      <c r="A323" s="132" t="s">
        <v>173</v>
      </c>
      <c r="B323" s="473">
        <f ca="1">B322</f>
        <v>14444.714879055004</v>
      </c>
      <c r="C323" s="473"/>
      <c r="D323" s="471"/>
      <c r="E323" s="472"/>
    </row>
    <row r="324" spans="1:5" ht="13" x14ac:dyDescent="0.3">
      <c r="A324" s="204"/>
      <c r="B324" s="225"/>
      <c r="C324" s="225"/>
      <c r="D324" s="16"/>
      <c r="E324" s="16"/>
    </row>
    <row r="325" spans="1:5" ht="15.5" thickBot="1" x14ac:dyDescent="0.45">
      <c r="A325" s="184" t="s">
        <v>281</v>
      </c>
      <c r="C325" s="137">
        <f ca="1">B326</f>
        <v>19383</v>
      </c>
      <c r="D325" s="1" t="s">
        <v>297</v>
      </c>
      <c r="E325" s="226"/>
    </row>
    <row r="326" spans="1:5" ht="15.5" thickBot="1" x14ac:dyDescent="0.45">
      <c r="A326" s="387" t="str">
        <f>A322</f>
        <v>01/01/2022-31/12/2022</v>
      </c>
      <c r="B326" s="462">
        <f ca="1">ROUNDUP((B261*44/28*1/1000*(B194+B224+B275+B322)),0)</f>
        <v>19383</v>
      </c>
      <c r="C326" s="463"/>
      <c r="D326" s="1" t="s">
        <v>297</v>
      </c>
      <c r="E326" s="226"/>
    </row>
    <row r="327" spans="1:5" ht="27" customHeight="1" x14ac:dyDescent="0.3">
      <c r="A327" s="226"/>
      <c r="B327" s="226"/>
      <c r="C327" s="226"/>
      <c r="D327" s="226"/>
      <c r="E327" s="226"/>
    </row>
    <row r="328" spans="1:5" x14ac:dyDescent="0.25">
      <c r="D328" s="127"/>
    </row>
    <row r="330" spans="1:5" ht="18" thickBot="1" x14ac:dyDescent="0.5">
      <c r="A330" s="10" t="s">
        <v>197</v>
      </c>
      <c r="B330" s="141">
        <f ca="1">B331</f>
        <v>37760</v>
      </c>
      <c r="C330" s="1" t="s">
        <v>297</v>
      </c>
    </row>
    <row r="331" spans="1:5" ht="15.5" thickBot="1" x14ac:dyDescent="0.45">
      <c r="A331" s="387" t="str">
        <f>A326</f>
        <v>01/01/2022-31/12/2022</v>
      </c>
      <c r="B331" s="390">
        <f ca="1">B81+B139+B326</f>
        <v>37760</v>
      </c>
      <c r="C331" s="1" t="s">
        <v>297</v>
      </c>
    </row>
    <row r="332" spans="1:5" x14ac:dyDescent="0.25">
      <c r="A332" s="7"/>
      <c r="B332" s="7"/>
      <c r="C332" s="7"/>
      <c r="D332" s="7"/>
    </row>
    <row r="335" spans="1:5" x14ac:dyDescent="0.25">
      <c r="C335" s="142"/>
    </row>
    <row r="336" spans="1:5" x14ac:dyDescent="0.25">
      <c r="C336" s="142"/>
    </row>
    <row r="337" spans="4:4" x14ac:dyDescent="0.25">
      <c r="D337" s="142"/>
    </row>
  </sheetData>
  <mergeCells count="67">
    <mergeCell ref="C14:C26"/>
    <mergeCell ref="D14:E26"/>
    <mergeCell ref="D127:D138"/>
    <mergeCell ref="E127:E138"/>
    <mergeCell ref="D13:E13"/>
    <mergeCell ref="D27:E27"/>
    <mergeCell ref="D28:E28"/>
    <mergeCell ref="D29:E29"/>
    <mergeCell ref="D30:E30"/>
    <mergeCell ref="D31:E31"/>
    <mergeCell ref="D37:E37"/>
    <mergeCell ref="D38:E38"/>
    <mergeCell ref="D39:E39"/>
    <mergeCell ref="D53:E54"/>
    <mergeCell ref="D63:E63"/>
    <mergeCell ref="E100:E112"/>
    <mergeCell ref="D113:D125"/>
    <mergeCell ref="E113:E125"/>
    <mergeCell ref="D182:D195"/>
    <mergeCell ref="E182:E195"/>
    <mergeCell ref="B194:C194"/>
    <mergeCell ref="B195:C195"/>
    <mergeCell ref="B139:C139"/>
    <mergeCell ref="B140:C140"/>
    <mergeCell ref="D154:D166"/>
    <mergeCell ref="E154:E166"/>
    <mergeCell ref="D167:D179"/>
    <mergeCell ref="E167:E179"/>
    <mergeCell ref="B224:C224"/>
    <mergeCell ref="B225:C225"/>
    <mergeCell ref="E234:E246"/>
    <mergeCell ref="D197:D209"/>
    <mergeCell ref="E197:E209"/>
    <mergeCell ref="D211:D223"/>
    <mergeCell ref="E211:E223"/>
    <mergeCell ref="B326:C326"/>
    <mergeCell ref="D62:E62"/>
    <mergeCell ref="D64:E64"/>
    <mergeCell ref="D77:E77"/>
    <mergeCell ref="D100:D112"/>
    <mergeCell ref="D322:D323"/>
    <mergeCell ref="E322:E323"/>
    <mergeCell ref="B322:C322"/>
    <mergeCell ref="B323:C323"/>
    <mergeCell ref="D275:D276"/>
    <mergeCell ref="E275:E276"/>
    <mergeCell ref="C80:C81"/>
    <mergeCell ref="D247:D259"/>
    <mergeCell ref="E247:E259"/>
    <mergeCell ref="D224:D225"/>
    <mergeCell ref="E224:E225"/>
    <mergeCell ref="E310:E321"/>
    <mergeCell ref="C40:C52"/>
    <mergeCell ref="D40:E52"/>
    <mergeCell ref="C65:C76"/>
    <mergeCell ref="D65:E76"/>
    <mergeCell ref="D78:E81"/>
    <mergeCell ref="B276:C276"/>
    <mergeCell ref="D282:D294"/>
    <mergeCell ref="E282:E294"/>
    <mergeCell ref="D295:D307"/>
    <mergeCell ref="E295:E307"/>
    <mergeCell ref="D310:D321"/>
    <mergeCell ref="D262:D272"/>
    <mergeCell ref="E262:E272"/>
    <mergeCell ref="D234:D246"/>
    <mergeCell ref="B275:C275"/>
  </mergeCells>
  <phoneticPr fontId="36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32"/>
  <sheetViews>
    <sheetView zoomScale="90" zoomScaleNormal="90" workbookViewId="0">
      <selection activeCell="E3" sqref="E3"/>
    </sheetView>
  </sheetViews>
  <sheetFormatPr defaultRowHeight="12.5" x14ac:dyDescent="0.25"/>
  <cols>
    <col min="1" max="1" width="42.81640625" customWidth="1"/>
    <col min="2" max="2" width="19.1796875" style="5" customWidth="1"/>
    <col min="3" max="3" width="17.54296875" style="5" customWidth="1"/>
    <col min="4" max="4" width="20.453125" customWidth="1"/>
    <col min="5" max="5" width="44" customWidth="1"/>
    <col min="6" max="6" width="38.81640625" bestFit="1" customWidth="1"/>
  </cols>
  <sheetData>
    <row r="1" spans="1:4" ht="15.5" x14ac:dyDescent="0.35">
      <c r="A1" s="10" t="s">
        <v>23</v>
      </c>
    </row>
    <row r="2" spans="1:4" ht="13" x14ac:dyDescent="0.3">
      <c r="A2" s="1"/>
      <c r="B2" s="23"/>
    </row>
    <row r="3" spans="1:4" ht="13" x14ac:dyDescent="0.3">
      <c r="A3" s="1"/>
    </row>
    <row r="4" spans="1:4" x14ac:dyDescent="0.25">
      <c r="A4" s="145" t="s">
        <v>50</v>
      </c>
    </row>
    <row r="5" spans="1:4" ht="13" x14ac:dyDescent="0.3">
      <c r="A5" s="1"/>
      <c r="D5" s="21"/>
    </row>
    <row r="6" spans="1:4" ht="13" x14ac:dyDescent="0.3">
      <c r="A6" s="1"/>
      <c r="D6" s="21"/>
    </row>
    <row r="7" spans="1:4" ht="13" x14ac:dyDescent="0.3">
      <c r="A7" s="1"/>
      <c r="D7" s="21"/>
    </row>
    <row r="8" spans="1:4" ht="13" x14ac:dyDescent="0.3">
      <c r="A8" s="1"/>
      <c r="D8" s="21"/>
    </row>
    <row r="9" spans="1:4" ht="13" x14ac:dyDescent="0.3">
      <c r="A9" s="1"/>
      <c r="D9" s="21"/>
    </row>
    <row r="10" spans="1:4" ht="13" x14ac:dyDescent="0.3">
      <c r="A10" s="1"/>
      <c r="D10" s="21"/>
    </row>
    <row r="11" spans="1:4" ht="13" x14ac:dyDescent="0.3">
      <c r="A11" s="1"/>
      <c r="D11" s="21"/>
    </row>
    <row r="12" spans="1:4" ht="13" x14ac:dyDescent="0.3">
      <c r="A12" s="1"/>
      <c r="D12" s="21"/>
    </row>
    <row r="13" spans="1:4" ht="13" x14ac:dyDescent="0.3">
      <c r="A13" s="1"/>
      <c r="D13" s="21"/>
    </row>
    <row r="14" spans="1:4" ht="13" x14ac:dyDescent="0.3">
      <c r="A14" s="1"/>
      <c r="D14" s="21"/>
    </row>
    <row r="15" spans="1:4" ht="13" x14ac:dyDescent="0.3">
      <c r="A15" s="1"/>
      <c r="D15" s="21"/>
    </row>
    <row r="16" spans="1:4" ht="13" x14ac:dyDescent="0.3">
      <c r="A16" s="1"/>
      <c r="D16" s="21"/>
    </row>
    <row r="17" spans="1:5" ht="13" x14ac:dyDescent="0.3">
      <c r="A17" s="1"/>
      <c r="D17" s="21"/>
    </row>
    <row r="18" spans="1:5" ht="13" x14ac:dyDescent="0.3">
      <c r="A18" s="1"/>
    </row>
    <row r="19" spans="1:5" ht="13" x14ac:dyDescent="0.3">
      <c r="A19" s="1"/>
    </row>
    <row r="20" spans="1:5" ht="13.5" thickBot="1" x14ac:dyDescent="0.35">
      <c r="A20" s="1"/>
    </row>
    <row r="21" spans="1:5" ht="13" x14ac:dyDescent="0.3">
      <c r="A21" s="30" t="s">
        <v>3</v>
      </c>
      <c r="B21" s="31" t="s">
        <v>19</v>
      </c>
      <c r="C21" s="31"/>
      <c r="D21" s="31" t="s">
        <v>2</v>
      </c>
      <c r="E21" s="32" t="s">
        <v>4</v>
      </c>
    </row>
    <row r="22" spans="1:5" ht="13" x14ac:dyDescent="0.3">
      <c r="A22" s="100"/>
      <c r="B22" s="26" t="str">
        <f>B325</f>
        <v>Market Swine</v>
      </c>
      <c r="C22" s="26" t="str">
        <f>C325</f>
        <v>Breeding Swine</v>
      </c>
      <c r="D22" s="26"/>
      <c r="E22" s="115"/>
    </row>
    <row r="23" spans="1:5" s="8" customFormat="1" ht="13" customHeight="1" x14ac:dyDescent="0.25">
      <c r="A23" s="227" t="s">
        <v>232</v>
      </c>
      <c r="B23" s="140"/>
      <c r="C23" s="140"/>
      <c r="D23" s="403" t="s">
        <v>103</v>
      </c>
      <c r="E23" s="457" t="s">
        <v>278</v>
      </c>
    </row>
    <row r="24" spans="1:5" s="8" customFormat="1" x14ac:dyDescent="0.25">
      <c r="A24" s="126" t="str">
        <f>'Baseline emission'!A19</f>
        <v>2022/01/01-2022/01/31</v>
      </c>
      <c r="B24" s="140">
        <f>'monitoring results'!F4</f>
        <v>302283</v>
      </c>
      <c r="C24" s="140">
        <f>'monitoring results'!G4</f>
        <v>45922</v>
      </c>
      <c r="D24" s="404"/>
      <c r="E24" s="458"/>
    </row>
    <row r="25" spans="1:5" s="8" customFormat="1" x14ac:dyDescent="0.25">
      <c r="A25" s="126" t="str">
        <f>'Baseline emission'!A20</f>
        <v>2022/02/01-2022/02/28</v>
      </c>
      <c r="B25" s="140">
        <f>'monitoring results'!F5</f>
        <v>302283</v>
      </c>
      <c r="C25" s="140">
        <f>'monitoring results'!G5</f>
        <v>45986</v>
      </c>
      <c r="D25" s="404"/>
      <c r="E25" s="458"/>
    </row>
    <row r="26" spans="1:5" s="8" customFormat="1" x14ac:dyDescent="0.25">
      <c r="A26" s="126" t="str">
        <f>'Baseline emission'!A21</f>
        <v>2022/03/01-2022/03/31</v>
      </c>
      <c r="B26" s="140">
        <f>'monitoring results'!F6</f>
        <v>302283</v>
      </c>
      <c r="C26" s="140">
        <f>'monitoring results'!G6</f>
        <v>45782</v>
      </c>
      <c r="D26" s="404"/>
      <c r="E26" s="458"/>
    </row>
    <row r="27" spans="1:5" s="8" customFormat="1" x14ac:dyDescent="0.25">
      <c r="A27" s="126" t="str">
        <f>'Baseline emission'!A22</f>
        <v>2022/04/01-2022/04/30</v>
      </c>
      <c r="B27" s="140">
        <f>'monitoring results'!F7</f>
        <v>302283</v>
      </c>
      <c r="C27" s="140">
        <f>'monitoring results'!G7</f>
        <v>45704</v>
      </c>
      <c r="D27" s="404"/>
      <c r="E27" s="458"/>
    </row>
    <row r="28" spans="1:5" s="8" customFormat="1" x14ac:dyDescent="0.25">
      <c r="A28" s="126" t="str">
        <f>'Baseline emission'!A23</f>
        <v>2022/05/01-2022/05/31</v>
      </c>
      <c r="B28" s="140">
        <f>'monitoring results'!F8</f>
        <v>302283</v>
      </c>
      <c r="C28" s="140">
        <f>'monitoring results'!G8</f>
        <v>45917</v>
      </c>
      <c r="D28" s="404"/>
      <c r="E28" s="458"/>
    </row>
    <row r="29" spans="1:5" s="8" customFormat="1" x14ac:dyDescent="0.25">
      <c r="A29" s="126" t="str">
        <f>'Baseline emission'!A24</f>
        <v>2022/06/01-2022/06/30</v>
      </c>
      <c r="B29" s="140">
        <f>'monitoring results'!F9</f>
        <v>302283</v>
      </c>
      <c r="C29" s="140">
        <f>'monitoring results'!G9</f>
        <v>46162</v>
      </c>
      <c r="D29" s="404"/>
      <c r="E29" s="458"/>
    </row>
    <row r="30" spans="1:5" s="8" customFormat="1" x14ac:dyDescent="0.25">
      <c r="A30" s="126" t="str">
        <f>'Baseline emission'!A25</f>
        <v>2022/07/01-2022/07/31</v>
      </c>
      <c r="B30" s="140">
        <f>'monitoring results'!F10</f>
        <v>302283</v>
      </c>
      <c r="C30" s="140">
        <f>'monitoring results'!G10</f>
        <v>46217</v>
      </c>
      <c r="D30" s="404"/>
      <c r="E30" s="458"/>
    </row>
    <row r="31" spans="1:5" s="8" customFormat="1" x14ac:dyDescent="0.25">
      <c r="A31" s="126" t="str">
        <f>'Baseline emission'!A26</f>
        <v>2022/08/01-2022/08/31</v>
      </c>
      <c r="B31" s="140">
        <f>'monitoring results'!F11</f>
        <v>302283</v>
      </c>
      <c r="C31" s="140">
        <f>'monitoring results'!G11</f>
        <v>45617</v>
      </c>
      <c r="D31" s="404"/>
      <c r="E31" s="458"/>
    </row>
    <row r="32" spans="1:5" s="8" customFormat="1" x14ac:dyDescent="0.25">
      <c r="A32" s="126" t="str">
        <f>'Baseline emission'!A27</f>
        <v>2022/09/01-2022/09/30</v>
      </c>
      <c r="B32" s="140">
        <f>'monitoring results'!F12</f>
        <v>302283</v>
      </c>
      <c r="C32" s="140">
        <f>'monitoring results'!G12</f>
        <v>46288</v>
      </c>
      <c r="D32" s="404"/>
      <c r="E32" s="458"/>
    </row>
    <row r="33" spans="1:5" s="8" customFormat="1" x14ac:dyDescent="0.25">
      <c r="A33" s="126" t="str">
        <f>'Baseline emission'!A28</f>
        <v>2022/10/01-2022/10/31</v>
      </c>
      <c r="B33" s="140">
        <f>'monitoring results'!F13</f>
        <v>302283</v>
      </c>
      <c r="C33" s="140">
        <f>'monitoring results'!G13</f>
        <v>46031</v>
      </c>
      <c r="D33" s="404"/>
      <c r="E33" s="458"/>
    </row>
    <row r="34" spans="1:5" s="8" customFormat="1" x14ac:dyDescent="0.25">
      <c r="A34" s="126" t="str">
        <f>'Baseline emission'!A29</f>
        <v>2022/11/01-2022/11/30</v>
      </c>
      <c r="B34" s="140">
        <f>'monitoring results'!F14</f>
        <v>302283</v>
      </c>
      <c r="C34" s="140">
        <f>'monitoring results'!G14</f>
        <v>46416</v>
      </c>
      <c r="D34" s="404"/>
      <c r="E34" s="458"/>
    </row>
    <row r="35" spans="1:5" s="8" customFormat="1" x14ac:dyDescent="0.25">
      <c r="A35" s="126" t="str">
        <f>'Baseline emission'!A30</f>
        <v>2022/12/01-2022/12/31</v>
      </c>
      <c r="B35" s="140">
        <f>'monitoring results'!F15</f>
        <v>302283</v>
      </c>
      <c r="C35" s="140">
        <f>'monitoring results'!G15</f>
        <v>45514</v>
      </c>
      <c r="D35" s="405"/>
      <c r="E35" s="459"/>
    </row>
    <row r="36" spans="1:5" ht="13" x14ac:dyDescent="0.25">
      <c r="A36" s="227" t="s">
        <v>233</v>
      </c>
      <c r="B36" s="228"/>
      <c r="C36" s="228"/>
      <c r="D36" s="412" t="s">
        <v>60</v>
      </c>
      <c r="E36" s="523" t="s">
        <v>29</v>
      </c>
    </row>
    <row r="37" spans="1:5" x14ac:dyDescent="0.25">
      <c r="A37" s="126" t="str">
        <f>A24</f>
        <v>2022/01/01-2022/01/31</v>
      </c>
      <c r="B37" s="228">
        <f ca="1">'Baseline emission'!B133</f>
        <v>0.81765600000000005</v>
      </c>
      <c r="C37" s="228">
        <f ca="1">'Baseline emission'!C133</f>
        <v>0.596688</v>
      </c>
      <c r="D37" s="413"/>
      <c r="E37" s="524"/>
    </row>
    <row r="38" spans="1:5" x14ac:dyDescent="0.25">
      <c r="A38" s="126" t="str">
        <f t="shared" ref="A38:A48" si="0">A25</f>
        <v>2022/02/01-2022/02/28</v>
      </c>
      <c r="B38" s="228">
        <f ca="1">'Baseline emission'!B134</f>
        <v>0.73029600000000006</v>
      </c>
      <c r="C38" s="228">
        <f ca="1">'Baseline emission'!C134</f>
        <v>0.53424000000000005</v>
      </c>
      <c r="D38" s="413"/>
      <c r="E38" s="524"/>
    </row>
    <row r="39" spans="1:5" x14ac:dyDescent="0.25">
      <c r="A39" s="126" t="str">
        <f t="shared" si="0"/>
        <v>2022/03/01-2022/03/31</v>
      </c>
      <c r="B39" s="228">
        <f ca="1">'Baseline emission'!B135</f>
        <v>0.81635400000000002</v>
      </c>
      <c r="C39" s="228">
        <f ca="1">'Baseline emission'!C135</f>
        <v>0.59519999999999995</v>
      </c>
      <c r="D39" s="413"/>
      <c r="E39" s="524"/>
    </row>
    <row r="40" spans="1:5" x14ac:dyDescent="0.25">
      <c r="A40" s="126" t="str">
        <f t="shared" si="0"/>
        <v>2022/04/01-2022/04/30</v>
      </c>
      <c r="B40" s="228">
        <f ca="1">'Baseline emission'!B136</f>
        <v>0.78246000000000004</v>
      </c>
      <c r="C40" s="228">
        <f ca="1">'Baseline emission'!C136</f>
        <v>0.56807999999999992</v>
      </c>
      <c r="D40" s="413"/>
      <c r="E40" s="524"/>
    </row>
    <row r="41" spans="1:5" x14ac:dyDescent="0.25">
      <c r="A41" s="126" t="str">
        <f t="shared" si="0"/>
        <v>2022/05/01-2022/05/31</v>
      </c>
      <c r="B41" s="228">
        <f ca="1">'Baseline emission'!B137</f>
        <v>0.80593800000000004</v>
      </c>
      <c r="C41" s="228">
        <f ca="1">'Baseline emission'!C137</f>
        <v>0.59519999999999995</v>
      </c>
      <c r="D41" s="413"/>
      <c r="E41" s="524"/>
    </row>
    <row r="42" spans="1:5" x14ac:dyDescent="0.25">
      <c r="A42" s="126" t="str">
        <f t="shared" si="0"/>
        <v>2022/06/01-2022/06/30</v>
      </c>
      <c r="B42" s="228">
        <f ca="1">'Baseline emission'!B138</f>
        <v>0.78876000000000002</v>
      </c>
      <c r="C42" s="228">
        <f ca="1">'Baseline emission'!C138</f>
        <v>0.57887999999999995</v>
      </c>
      <c r="D42" s="413"/>
      <c r="E42" s="524"/>
    </row>
    <row r="43" spans="1:5" x14ac:dyDescent="0.25">
      <c r="A43" s="126" t="str">
        <f t="shared" si="0"/>
        <v>2022/07/01-2022/07/31</v>
      </c>
      <c r="B43" s="228">
        <f ca="1">'Baseline emission'!B139</f>
        <v>0.81374999999999997</v>
      </c>
      <c r="C43" s="228">
        <f ca="1">'Baseline emission'!C139</f>
        <v>0.59371199999999991</v>
      </c>
      <c r="D43" s="413"/>
      <c r="E43" s="524"/>
    </row>
    <row r="44" spans="1:5" x14ac:dyDescent="0.25">
      <c r="A44" s="126" t="str">
        <f t="shared" si="0"/>
        <v>2022/08/01-2022/08/31</v>
      </c>
      <c r="B44" s="228">
        <f ca="1">'Baseline emission'!B140</f>
        <v>0.81635400000000002</v>
      </c>
      <c r="C44" s="228">
        <f ca="1">'Baseline emission'!C140</f>
        <v>0.5989199999999999</v>
      </c>
      <c r="D44" s="413"/>
      <c r="E44" s="524"/>
    </row>
    <row r="45" spans="1:5" x14ac:dyDescent="0.25">
      <c r="A45" s="126" t="str">
        <f t="shared" si="0"/>
        <v>2022/09/01-2022/09/30</v>
      </c>
      <c r="B45" s="228">
        <f ca="1">'Baseline emission'!B141</f>
        <v>0.78498000000000001</v>
      </c>
      <c r="C45" s="228">
        <f ca="1">'Baseline emission'!C141</f>
        <v>0.57095999999999991</v>
      </c>
      <c r="D45" s="413"/>
      <c r="E45" s="524"/>
    </row>
    <row r="46" spans="1:5" x14ac:dyDescent="0.25">
      <c r="A46" s="126" t="str">
        <f t="shared" si="0"/>
        <v>2022/10/01-2022/10/31</v>
      </c>
      <c r="B46" s="228">
        <f ca="1">'Baseline emission'!B142</f>
        <v>0.80854199999999998</v>
      </c>
      <c r="C46" s="228">
        <f ca="1">'Baseline emission'!C142</f>
        <v>0.59519999999999995</v>
      </c>
      <c r="D46" s="413"/>
      <c r="E46" s="524"/>
    </row>
    <row r="47" spans="1:5" x14ac:dyDescent="0.25">
      <c r="A47" s="126" t="str">
        <f t="shared" si="0"/>
        <v>2022/11/01-2022/11/30</v>
      </c>
      <c r="B47" s="228">
        <f ca="1">'Baseline emission'!B143</f>
        <v>0.78372000000000008</v>
      </c>
      <c r="C47" s="228">
        <f ca="1">'Baseline emission'!C143</f>
        <v>0.57959999999999989</v>
      </c>
      <c r="D47" s="413"/>
      <c r="E47" s="524"/>
    </row>
    <row r="48" spans="1:5" x14ac:dyDescent="0.25">
      <c r="A48" s="126" t="str">
        <f t="shared" si="0"/>
        <v>2022/12/01-2022/12/31</v>
      </c>
      <c r="B48" s="228">
        <f ca="1">'Baseline emission'!B144</f>
        <v>0.80724000000000007</v>
      </c>
      <c r="C48" s="228">
        <f ca="1">'Baseline emission'!C144</f>
        <v>0.58403999999999989</v>
      </c>
      <c r="D48" s="414"/>
      <c r="E48" s="525"/>
    </row>
    <row r="49" spans="1:6" s="8" customFormat="1" ht="13" x14ac:dyDescent="0.25">
      <c r="A49" s="227" t="s">
        <v>266</v>
      </c>
      <c r="B49" s="230">
        <v>0.8</v>
      </c>
      <c r="C49" s="230">
        <v>0.8</v>
      </c>
      <c r="D49" s="165" t="s">
        <v>0</v>
      </c>
      <c r="E49" s="119" t="s">
        <v>279</v>
      </c>
      <c r="F49" s="231"/>
    </row>
    <row r="50" spans="1:6" ht="15.5" x14ac:dyDescent="0.4">
      <c r="A50" s="229" t="s">
        <v>14</v>
      </c>
      <c r="B50" s="232">
        <v>0.01</v>
      </c>
      <c r="C50" s="232">
        <v>0.01</v>
      </c>
      <c r="D50" s="24" t="s">
        <v>234</v>
      </c>
      <c r="E50" s="233" t="s">
        <v>54</v>
      </c>
    </row>
    <row r="51" spans="1:6" ht="15.5" x14ac:dyDescent="0.4">
      <c r="A51" s="229" t="s">
        <v>15</v>
      </c>
      <c r="B51" s="232">
        <v>7.4999999999999997E-3</v>
      </c>
      <c r="C51" s="232">
        <v>7.4999999999999997E-3</v>
      </c>
      <c r="D51" s="24" t="s">
        <v>212</v>
      </c>
      <c r="E51" s="233" t="s">
        <v>32</v>
      </c>
    </row>
    <row r="52" spans="1:6" ht="15.5" x14ac:dyDescent="0.4">
      <c r="A52" s="229" t="s">
        <v>13</v>
      </c>
      <c r="B52" s="232">
        <v>0.01</v>
      </c>
      <c r="C52" s="232">
        <v>0.01</v>
      </c>
      <c r="D52" s="24" t="s">
        <v>235</v>
      </c>
      <c r="E52" s="233" t="s">
        <v>32</v>
      </c>
      <c r="F52" s="231"/>
    </row>
    <row r="53" spans="1:6" ht="15.5" x14ac:dyDescent="0.25">
      <c r="A53" s="227" t="s">
        <v>264</v>
      </c>
      <c r="B53" s="232">
        <v>0.3</v>
      </c>
      <c r="C53" s="232">
        <v>0.3</v>
      </c>
      <c r="D53" s="24" t="s">
        <v>149</v>
      </c>
      <c r="E53" s="233" t="s">
        <v>32</v>
      </c>
    </row>
    <row r="54" spans="1:6" ht="15.5" x14ac:dyDescent="0.25">
      <c r="A54" s="227" t="s">
        <v>265</v>
      </c>
      <c r="B54" s="232">
        <v>0.2</v>
      </c>
      <c r="C54" s="232">
        <v>0.2</v>
      </c>
      <c r="D54" s="24" t="s">
        <v>149</v>
      </c>
      <c r="E54" s="109" t="s">
        <v>97</v>
      </c>
    </row>
    <row r="55" spans="1:6" ht="15.5" x14ac:dyDescent="0.4">
      <c r="A55" s="199" t="s">
        <v>218</v>
      </c>
      <c r="B55" s="384">
        <f>'Baseline emission'!B211</f>
        <v>265</v>
      </c>
      <c r="C55" s="384">
        <f>'Baseline emission'!C211</f>
        <v>265</v>
      </c>
      <c r="D55" s="24" t="s">
        <v>236</v>
      </c>
      <c r="E55" s="119" t="s">
        <v>223</v>
      </c>
    </row>
    <row r="56" spans="1:6" ht="15.5" x14ac:dyDescent="0.25">
      <c r="A56" s="234" t="s">
        <v>237</v>
      </c>
      <c r="B56" s="235"/>
      <c r="C56" s="235"/>
      <c r="D56" s="403" t="s">
        <v>238</v>
      </c>
      <c r="E56" s="523" t="s">
        <v>30</v>
      </c>
    </row>
    <row r="57" spans="1:6" x14ac:dyDescent="0.25">
      <c r="A57" s="126" t="str">
        <f>A37</f>
        <v>2022/01/01-2022/01/31</v>
      </c>
      <c r="B57" s="228">
        <f ca="1">$B$50*(1-$B$49)*B24*B37</f>
        <v>494.32701729599995</v>
      </c>
      <c r="C57" s="228">
        <f ca="1">$C$50*(1-$C$49)*C24*C37</f>
        <v>54.802212671999989</v>
      </c>
      <c r="D57" s="404"/>
      <c r="E57" s="524"/>
    </row>
    <row r="58" spans="1:6" x14ac:dyDescent="0.25">
      <c r="A58" s="126" t="str">
        <f t="shared" ref="A58:A68" si="1">A38</f>
        <v>2022/02/01-2022/02/28</v>
      </c>
      <c r="B58" s="228">
        <f t="shared" ref="B58:B68" ca="1" si="2">$B$50*(1-$B$49)*B25*B38</f>
        <v>441.51213153599997</v>
      </c>
      <c r="C58" s="228">
        <f t="shared" ref="C58:C68" ca="1" si="3">$C$50*(1-$C$49)*C25*C38</f>
        <v>49.135121279999993</v>
      </c>
      <c r="D58" s="404"/>
      <c r="E58" s="524"/>
    </row>
    <row r="59" spans="1:6" x14ac:dyDescent="0.25">
      <c r="A59" s="126" t="str">
        <f t="shared" si="1"/>
        <v>2022/03/01-2022/03/31</v>
      </c>
      <c r="B59" s="228">
        <f t="shared" ca="1" si="2"/>
        <v>493.53987236399996</v>
      </c>
      <c r="C59" s="228">
        <f t="shared" ca="1" si="3"/>
        <v>54.498892799999986</v>
      </c>
      <c r="D59" s="404"/>
      <c r="E59" s="524"/>
    </row>
    <row r="60" spans="1:6" x14ac:dyDescent="0.25">
      <c r="A60" s="126" t="str">
        <f t="shared" si="1"/>
        <v>2022/04/01-2022/04/30</v>
      </c>
      <c r="B60" s="228">
        <f t="shared" ca="1" si="2"/>
        <v>473.04871235999997</v>
      </c>
      <c r="C60" s="228">
        <f t="shared" ca="1" si="3"/>
        <v>51.927056639999982</v>
      </c>
      <c r="D60" s="404"/>
      <c r="E60" s="524"/>
    </row>
    <row r="61" spans="1:6" x14ac:dyDescent="0.25">
      <c r="A61" s="126" t="str">
        <f t="shared" si="1"/>
        <v>2022/05/01-2022/05/31</v>
      </c>
      <c r="B61" s="228">
        <f t="shared" ca="1" si="2"/>
        <v>487.24271290799999</v>
      </c>
      <c r="C61" s="228">
        <f t="shared" ca="1" si="3"/>
        <v>54.659596799999989</v>
      </c>
      <c r="D61" s="404"/>
      <c r="E61" s="524"/>
    </row>
    <row r="62" spans="1:6" x14ac:dyDescent="0.25">
      <c r="A62" s="126" t="str">
        <f t="shared" si="1"/>
        <v>2022/06/01-2022/06/30</v>
      </c>
      <c r="B62" s="228">
        <f t="shared" ca="1" si="2"/>
        <v>476.85747815999997</v>
      </c>
      <c r="C62" s="228">
        <f t="shared" ca="1" si="3"/>
        <v>53.444517119999986</v>
      </c>
      <c r="D62" s="404"/>
      <c r="E62" s="524"/>
    </row>
    <row r="63" spans="1:6" x14ac:dyDescent="0.25">
      <c r="A63" s="126" t="str">
        <f t="shared" si="1"/>
        <v>2022/07/01-2022/07/31</v>
      </c>
      <c r="B63" s="228">
        <f t="shared" ca="1" si="2"/>
        <v>491.96558249999993</v>
      </c>
      <c r="C63" s="228">
        <f t="shared" ca="1" si="3"/>
        <v>54.879175007999983</v>
      </c>
      <c r="D63" s="404"/>
      <c r="E63" s="524"/>
    </row>
    <row r="64" spans="1:6" x14ac:dyDescent="0.25">
      <c r="A64" s="126" t="str">
        <f t="shared" si="1"/>
        <v>2022/08/01-2022/08/31</v>
      </c>
      <c r="B64" s="228">
        <f t="shared" ca="1" si="2"/>
        <v>493.53987236399996</v>
      </c>
      <c r="C64" s="228">
        <f t="shared" ca="1" si="3"/>
        <v>54.641867279999978</v>
      </c>
      <c r="D64" s="404"/>
      <c r="E64" s="524"/>
    </row>
    <row r="65" spans="1:5" x14ac:dyDescent="0.25">
      <c r="A65" s="126" t="str">
        <f t="shared" si="1"/>
        <v>2022/09/01-2022/09/30</v>
      </c>
      <c r="B65" s="228">
        <f t="shared" ca="1" si="2"/>
        <v>474.57221867999993</v>
      </c>
      <c r="C65" s="228">
        <f t="shared" ca="1" si="3"/>
        <v>52.857192959999978</v>
      </c>
      <c r="D65" s="404"/>
      <c r="E65" s="524"/>
    </row>
    <row r="66" spans="1:5" x14ac:dyDescent="0.25">
      <c r="A66" s="126" t="str">
        <f t="shared" si="1"/>
        <v>2022/10/01-2022/10/31</v>
      </c>
      <c r="B66" s="228">
        <f t="shared" ca="1" si="2"/>
        <v>488.81700277199991</v>
      </c>
      <c r="C66" s="228">
        <f t="shared" ca="1" si="3"/>
        <v>54.795302399999983</v>
      </c>
      <c r="D66" s="404"/>
      <c r="E66" s="524"/>
    </row>
    <row r="67" spans="1:5" x14ac:dyDescent="0.25">
      <c r="A67" s="126" t="str">
        <f t="shared" si="1"/>
        <v>2022/11/01-2022/11/30</v>
      </c>
      <c r="B67" s="228">
        <f t="shared" ca="1" si="2"/>
        <v>473.81046551999998</v>
      </c>
      <c r="C67" s="228">
        <f t="shared" ca="1" si="3"/>
        <v>53.805427199999976</v>
      </c>
      <c r="D67" s="404"/>
      <c r="E67" s="524"/>
    </row>
    <row r="68" spans="1:5" x14ac:dyDescent="0.25">
      <c r="A68" s="126" t="str">
        <f t="shared" si="1"/>
        <v>2022/12/01-2022/12/31</v>
      </c>
      <c r="B68" s="228">
        <f t="shared" ca="1" si="2"/>
        <v>488.02985783999998</v>
      </c>
      <c r="C68" s="228">
        <f t="shared" ca="1" si="3"/>
        <v>53.163993119999979</v>
      </c>
      <c r="D68" s="404"/>
      <c r="E68" s="524"/>
    </row>
    <row r="69" spans="1:5" ht="13" x14ac:dyDescent="0.3">
      <c r="A69" s="182" t="str">
        <f>'Project emission'!A30</f>
        <v>01/01/2022-31/12/2022</v>
      </c>
      <c r="B69" s="532">
        <f ca="1">SUM(B57:B68)+SUM(C57:C68)</f>
        <v>6419.8732795799988</v>
      </c>
      <c r="C69" s="533"/>
      <c r="D69" s="404"/>
      <c r="E69" s="524"/>
    </row>
    <row r="70" spans="1:5" ht="15.5" x14ac:dyDescent="0.25">
      <c r="A70" s="234" t="s">
        <v>239</v>
      </c>
      <c r="B70" s="236"/>
      <c r="C70" s="236"/>
      <c r="D70" s="403" t="s">
        <v>240</v>
      </c>
      <c r="E70" s="523" t="s">
        <v>30</v>
      </c>
    </row>
    <row r="71" spans="1:5" x14ac:dyDescent="0.25">
      <c r="A71" s="126" t="str">
        <f t="shared" ref="A71:A83" si="4">A57</f>
        <v>2022/01/01-2022/01/31</v>
      </c>
      <c r="B71" s="236">
        <f t="shared" ref="B71:B82" ca="1" si="5">$B$51*$B$53*(1-$B$49)*B24*B37</f>
        <v>111.22357889159997</v>
      </c>
      <c r="C71" s="236">
        <f t="shared" ref="C71:C82" ca="1" si="6">$C$51*$C$53*(1-$C$49)*C24*C37</f>
        <v>12.330497851199997</v>
      </c>
      <c r="D71" s="404"/>
      <c r="E71" s="524"/>
    </row>
    <row r="72" spans="1:5" x14ac:dyDescent="0.25">
      <c r="A72" s="126" t="str">
        <f t="shared" si="4"/>
        <v>2022/02/01-2022/02/28</v>
      </c>
      <c r="B72" s="236">
        <f t="shared" ca="1" si="5"/>
        <v>99.340229595599979</v>
      </c>
      <c r="C72" s="236">
        <f t="shared" ca="1" si="6"/>
        <v>11.055402288</v>
      </c>
      <c r="D72" s="404"/>
      <c r="E72" s="524"/>
    </row>
    <row r="73" spans="1:5" x14ac:dyDescent="0.25">
      <c r="A73" s="126" t="str">
        <f t="shared" si="4"/>
        <v>2022/03/01-2022/03/31</v>
      </c>
      <c r="B73" s="236">
        <f t="shared" ca="1" si="5"/>
        <v>111.04647128189997</v>
      </c>
      <c r="C73" s="236">
        <f t="shared" ca="1" si="6"/>
        <v>12.262250879999995</v>
      </c>
      <c r="D73" s="404"/>
      <c r="E73" s="524"/>
    </row>
    <row r="74" spans="1:5" x14ac:dyDescent="0.25">
      <c r="A74" s="126" t="str">
        <f t="shared" si="4"/>
        <v>2022/04/01-2022/04/30</v>
      </c>
      <c r="B74" s="236">
        <f t="shared" ca="1" si="5"/>
        <v>106.43596028099998</v>
      </c>
      <c r="C74" s="236">
        <f t="shared" ca="1" si="6"/>
        <v>11.683587743999995</v>
      </c>
      <c r="D74" s="404"/>
      <c r="E74" s="524"/>
    </row>
    <row r="75" spans="1:5" x14ac:dyDescent="0.25">
      <c r="A75" s="126" t="str">
        <f t="shared" si="4"/>
        <v>2022/05/01-2022/05/31</v>
      </c>
      <c r="B75" s="236">
        <f t="shared" ca="1" si="5"/>
        <v>109.62961040429997</v>
      </c>
      <c r="C75" s="236">
        <f t="shared" ca="1" si="6"/>
        <v>12.298409279999996</v>
      </c>
      <c r="D75" s="404"/>
      <c r="E75" s="524"/>
    </row>
    <row r="76" spans="1:5" x14ac:dyDescent="0.25">
      <c r="A76" s="126" t="str">
        <f t="shared" si="4"/>
        <v>2022/06/01-2022/06/30</v>
      </c>
      <c r="B76" s="236">
        <f t="shared" ca="1" si="5"/>
        <v>107.29293258599996</v>
      </c>
      <c r="C76" s="236">
        <f t="shared" ca="1" si="6"/>
        <v>12.025016351999994</v>
      </c>
      <c r="D76" s="404"/>
      <c r="E76" s="524"/>
    </row>
    <row r="77" spans="1:5" x14ac:dyDescent="0.25">
      <c r="A77" s="126" t="str">
        <f t="shared" si="4"/>
        <v>2022/07/01-2022/07/31</v>
      </c>
      <c r="B77" s="236">
        <f t="shared" ca="1" si="5"/>
        <v>110.69225606249996</v>
      </c>
      <c r="C77" s="236">
        <f t="shared" ca="1" si="6"/>
        <v>12.347814376799993</v>
      </c>
      <c r="D77" s="404"/>
      <c r="E77" s="524"/>
    </row>
    <row r="78" spans="1:5" x14ac:dyDescent="0.25">
      <c r="A78" s="126" t="str">
        <f t="shared" si="4"/>
        <v>2022/08/01-2022/08/31</v>
      </c>
      <c r="B78" s="236">
        <f t="shared" ca="1" si="5"/>
        <v>111.04647128189997</v>
      </c>
      <c r="C78" s="236">
        <f t="shared" ca="1" si="6"/>
        <v>12.294420137999994</v>
      </c>
      <c r="D78" s="404"/>
      <c r="E78" s="524"/>
    </row>
    <row r="79" spans="1:5" x14ac:dyDescent="0.25">
      <c r="A79" s="126" t="str">
        <f t="shared" si="4"/>
        <v>2022/09/01-2022/09/30</v>
      </c>
      <c r="B79" s="236">
        <f t="shared" ca="1" si="5"/>
        <v>106.77874920299996</v>
      </c>
      <c r="C79" s="236">
        <f t="shared" ca="1" si="6"/>
        <v>11.892868415999995</v>
      </c>
      <c r="D79" s="404"/>
      <c r="E79" s="524"/>
    </row>
    <row r="80" spans="1:5" x14ac:dyDescent="0.25">
      <c r="A80" s="126" t="str">
        <f t="shared" si="4"/>
        <v>2022/10/01-2022/10/31</v>
      </c>
      <c r="B80" s="236">
        <f t="shared" ca="1" si="5"/>
        <v>109.98382562369996</v>
      </c>
      <c r="C80" s="236">
        <f t="shared" ca="1" si="6"/>
        <v>12.328943039999995</v>
      </c>
      <c r="D80" s="404"/>
      <c r="E80" s="524"/>
    </row>
    <row r="81" spans="1:5" x14ac:dyDescent="0.25">
      <c r="A81" s="126" t="str">
        <f t="shared" si="4"/>
        <v>2022/11/01-2022/11/30</v>
      </c>
      <c r="B81" s="236">
        <f t="shared" ca="1" si="5"/>
        <v>106.60735474199997</v>
      </c>
      <c r="C81" s="236">
        <f t="shared" ca="1" si="6"/>
        <v>12.106221119999994</v>
      </c>
      <c r="D81" s="404"/>
      <c r="E81" s="524"/>
    </row>
    <row r="82" spans="1:5" x14ac:dyDescent="0.25">
      <c r="A82" s="126" t="str">
        <f t="shared" si="4"/>
        <v>2022/12/01-2022/12/31</v>
      </c>
      <c r="B82" s="236">
        <f t="shared" ca="1" si="5"/>
        <v>109.80671801399997</v>
      </c>
      <c r="C82" s="236">
        <f t="shared" ca="1" si="6"/>
        <v>11.961898451999994</v>
      </c>
      <c r="D82" s="404"/>
      <c r="E82" s="524"/>
    </row>
    <row r="83" spans="1:5" ht="13" x14ac:dyDescent="0.3">
      <c r="A83" s="182" t="str">
        <f t="shared" si="4"/>
        <v>01/01/2022-31/12/2022</v>
      </c>
      <c r="B83" s="532">
        <f ca="1">SUM(B71:B82)+SUM(C71:C82)</f>
        <v>1444.4714879054991</v>
      </c>
      <c r="C83" s="533"/>
      <c r="D83" s="404"/>
      <c r="E83" s="524"/>
    </row>
    <row r="84" spans="1:5" ht="15.5" x14ac:dyDescent="0.25">
      <c r="A84" s="234" t="s">
        <v>241</v>
      </c>
      <c r="B84" s="235"/>
      <c r="C84" s="235"/>
      <c r="D84" s="403" t="s">
        <v>240</v>
      </c>
      <c r="E84" s="523" t="s">
        <v>30</v>
      </c>
    </row>
    <row r="85" spans="1:5" x14ac:dyDescent="0.25">
      <c r="A85" s="126" t="str">
        <f t="shared" ref="A85:A97" si="7">A71</f>
        <v>2022/01/01-2022/01/31</v>
      </c>
      <c r="B85" s="235">
        <f t="shared" ref="B85:B96" ca="1" si="8">$B$52*(1-$B$49)*$B$54*B24*B37</f>
        <v>98.865403459199996</v>
      </c>
      <c r="C85" s="235">
        <f t="shared" ref="C85:C96" ca="1" si="9">$C$52*(1-$C$49)*$C$54*C24*C37</f>
        <v>10.960442534399998</v>
      </c>
      <c r="D85" s="404"/>
      <c r="E85" s="524"/>
    </row>
    <row r="86" spans="1:5" x14ac:dyDescent="0.25">
      <c r="A86" s="126" t="str">
        <f t="shared" si="7"/>
        <v>2022/02/01-2022/02/28</v>
      </c>
      <c r="B86" s="235">
        <f t="shared" ca="1" si="8"/>
        <v>88.302426307199994</v>
      </c>
      <c r="C86" s="235">
        <f t="shared" ca="1" si="9"/>
        <v>9.8270242559999996</v>
      </c>
      <c r="D86" s="404"/>
      <c r="E86" s="524"/>
    </row>
    <row r="87" spans="1:5" x14ac:dyDescent="0.25">
      <c r="A87" s="126" t="str">
        <f t="shared" si="7"/>
        <v>2022/03/01-2022/03/31</v>
      </c>
      <c r="B87" s="235">
        <f t="shared" ca="1" si="8"/>
        <v>98.707974472799989</v>
      </c>
      <c r="C87" s="235">
        <f t="shared" ca="1" si="9"/>
        <v>10.899778559999998</v>
      </c>
      <c r="D87" s="404"/>
      <c r="E87" s="524"/>
    </row>
    <row r="88" spans="1:5" x14ac:dyDescent="0.25">
      <c r="A88" s="126" t="str">
        <f t="shared" si="7"/>
        <v>2022/04/01-2022/04/30</v>
      </c>
      <c r="B88" s="235">
        <f t="shared" ca="1" si="8"/>
        <v>94.609742471999994</v>
      </c>
      <c r="C88" s="235">
        <f t="shared" ca="1" si="9"/>
        <v>10.385411327999996</v>
      </c>
      <c r="D88" s="404"/>
      <c r="E88" s="524"/>
    </row>
    <row r="89" spans="1:5" x14ac:dyDescent="0.25">
      <c r="A89" s="126" t="str">
        <f t="shared" si="7"/>
        <v>2022/05/01-2022/05/31</v>
      </c>
      <c r="B89" s="235">
        <f t="shared" ca="1" si="8"/>
        <v>97.448542581599995</v>
      </c>
      <c r="C89" s="235">
        <f t="shared" ca="1" si="9"/>
        <v>10.931919359999998</v>
      </c>
      <c r="D89" s="404"/>
      <c r="E89" s="524"/>
    </row>
    <row r="90" spans="1:5" x14ac:dyDescent="0.25">
      <c r="A90" s="126" t="str">
        <f t="shared" si="7"/>
        <v>2022/06/01-2022/06/30</v>
      </c>
      <c r="B90" s="235">
        <f t="shared" ca="1" si="8"/>
        <v>95.371495631999991</v>
      </c>
      <c r="C90" s="235">
        <f t="shared" ca="1" si="9"/>
        <v>10.688903423999998</v>
      </c>
      <c r="D90" s="404"/>
      <c r="E90" s="524"/>
    </row>
    <row r="91" spans="1:5" x14ac:dyDescent="0.25">
      <c r="A91" s="126" t="str">
        <f t="shared" si="7"/>
        <v>2022/07/01-2022/07/31</v>
      </c>
      <c r="B91" s="235">
        <f t="shared" ca="1" si="8"/>
        <v>98.393116499999991</v>
      </c>
      <c r="C91" s="235">
        <f t="shared" ca="1" si="9"/>
        <v>10.975835001599998</v>
      </c>
      <c r="D91" s="404"/>
      <c r="E91" s="524"/>
    </row>
    <row r="92" spans="1:5" x14ac:dyDescent="0.25">
      <c r="A92" s="126" t="str">
        <f t="shared" si="7"/>
        <v>2022/08/01-2022/08/31</v>
      </c>
      <c r="B92" s="235">
        <f t="shared" ca="1" si="8"/>
        <v>98.707974472799989</v>
      </c>
      <c r="C92" s="235">
        <f t="shared" ca="1" si="9"/>
        <v>10.928373455999996</v>
      </c>
      <c r="D92" s="404"/>
      <c r="E92" s="524"/>
    </row>
    <row r="93" spans="1:5" x14ac:dyDescent="0.25">
      <c r="A93" s="126" t="str">
        <f t="shared" si="7"/>
        <v>2022/09/01-2022/09/30</v>
      </c>
      <c r="B93" s="235">
        <f t="shared" ca="1" si="8"/>
        <v>94.914443735999996</v>
      </c>
      <c r="C93" s="235">
        <f t="shared" ca="1" si="9"/>
        <v>10.571438591999998</v>
      </c>
      <c r="D93" s="404"/>
      <c r="E93" s="524"/>
    </row>
    <row r="94" spans="1:5" x14ac:dyDescent="0.25">
      <c r="A94" s="126" t="str">
        <f t="shared" si="7"/>
        <v>2022/10/01-2022/10/31</v>
      </c>
      <c r="B94" s="235">
        <f t="shared" ca="1" si="8"/>
        <v>97.763400554399993</v>
      </c>
      <c r="C94" s="235">
        <f t="shared" ca="1" si="9"/>
        <v>10.959060479999998</v>
      </c>
      <c r="D94" s="404"/>
      <c r="E94" s="524"/>
    </row>
    <row r="95" spans="1:5" x14ac:dyDescent="0.25">
      <c r="A95" s="126" t="str">
        <f t="shared" si="7"/>
        <v>2022/11/01-2022/11/30</v>
      </c>
      <c r="B95" s="235">
        <f t="shared" ca="1" si="8"/>
        <v>94.762093104000002</v>
      </c>
      <c r="C95" s="235">
        <f t="shared" ca="1" si="9"/>
        <v>10.761085439999997</v>
      </c>
      <c r="D95" s="404"/>
      <c r="E95" s="524"/>
    </row>
    <row r="96" spans="1:5" x14ac:dyDescent="0.25">
      <c r="A96" s="126" t="str">
        <f t="shared" si="7"/>
        <v>2022/12/01-2022/12/31</v>
      </c>
      <c r="B96" s="235">
        <f t="shared" ca="1" si="8"/>
        <v>97.605971568000001</v>
      </c>
      <c r="C96" s="235">
        <f t="shared" ca="1" si="9"/>
        <v>10.632798623999996</v>
      </c>
      <c r="D96" s="404"/>
      <c r="E96" s="524"/>
    </row>
    <row r="97" spans="1:5" ht="13" x14ac:dyDescent="0.3">
      <c r="A97" s="182" t="str">
        <f t="shared" si="7"/>
        <v>01/01/2022-31/12/2022</v>
      </c>
      <c r="B97" s="532">
        <f ca="1">SUM(B85:B96)+SUM(C85:C96)</f>
        <v>1283.9746559160001</v>
      </c>
      <c r="C97" s="533"/>
      <c r="D97" s="404"/>
      <c r="E97" s="524"/>
    </row>
    <row r="98" spans="1:5" ht="13" x14ac:dyDescent="0.3">
      <c r="A98" s="182" t="str">
        <f>A83</f>
        <v>01/01/2022-31/12/2022</v>
      </c>
      <c r="B98" s="532">
        <f ca="1">ROUNDDOWN(B55*44/28*1/1000*(B69+B83+B97),0)</f>
        <v>3809</v>
      </c>
      <c r="C98" s="533"/>
      <c r="D98" s="404"/>
      <c r="E98" s="524"/>
    </row>
    <row r="99" spans="1:5" ht="15.5" thickBot="1" x14ac:dyDescent="0.3">
      <c r="A99" s="248" t="s">
        <v>242</v>
      </c>
      <c r="B99" s="534">
        <f ca="1">B98</f>
        <v>3809</v>
      </c>
      <c r="C99" s="535"/>
      <c r="D99" s="474"/>
      <c r="E99" s="530"/>
    </row>
    <row r="100" spans="1:5" ht="13" x14ac:dyDescent="0.25">
      <c r="A100" s="237"/>
      <c r="B100" s="238"/>
      <c r="C100" s="238"/>
      <c r="D100" s="145"/>
      <c r="E100" s="145"/>
    </row>
    <row r="101" spans="1:5" ht="13" x14ac:dyDescent="0.25">
      <c r="A101" s="237"/>
      <c r="B101" s="238"/>
      <c r="C101" s="238"/>
      <c r="D101" s="145"/>
      <c r="E101" s="145"/>
    </row>
    <row r="102" spans="1:5" ht="13" x14ac:dyDescent="0.25">
      <c r="A102" s="237"/>
      <c r="B102" s="238"/>
      <c r="C102" s="238"/>
      <c r="D102" s="21"/>
      <c r="E102" s="145"/>
    </row>
    <row r="103" spans="1:5" ht="13" x14ac:dyDescent="0.25">
      <c r="A103" s="237"/>
      <c r="B103" s="238"/>
      <c r="C103" s="238"/>
      <c r="D103" s="21"/>
      <c r="E103" s="145"/>
    </row>
    <row r="104" spans="1:5" ht="13" x14ac:dyDescent="0.25">
      <c r="A104" s="237"/>
      <c r="B104" s="238"/>
      <c r="C104" s="238"/>
      <c r="D104" s="21"/>
      <c r="E104" s="145"/>
    </row>
    <row r="105" spans="1:5" ht="13" x14ac:dyDescent="0.25">
      <c r="A105" s="237"/>
      <c r="B105" s="238"/>
      <c r="C105" s="238"/>
      <c r="D105" s="21"/>
      <c r="E105" s="145"/>
    </row>
    <row r="106" spans="1:5" ht="13" x14ac:dyDescent="0.25">
      <c r="A106" s="237"/>
      <c r="B106" s="238"/>
      <c r="C106" s="238"/>
      <c r="D106" s="21"/>
      <c r="E106" s="145"/>
    </row>
    <row r="107" spans="1:5" ht="13" x14ac:dyDescent="0.25">
      <c r="A107" s="237"/>
      <c r="B107" s="238"/>
      <c r="C107" s="238"/>
      <c r="D107" s="21"/>
      <c r="E107" s="145"/>
    </row>
    <row r="108" spans="1:5" ht="13" x14ac:dyDescent="0.25">
      <c r="A108" s="237"/>
      <c r="B108" s="238"/>
      <c r="C108" s="238"/>
      <c r="D108" s="21"/>
      <c r="E108" s="145"/>
    </row>
    <row r="109" spans="1:5" ht="13" x14ac:dyDescent="0.25">
      <c r="A109" s="237"/>
      <c r="B109" s="238"/>
      <c r="C109" s="238"/>
      <c r="D109" s="21"/>
      <c r="E109" s="145"/>
    </row>
    <row r="110" spans="1:5" ht="13" x14ac:dyDescent="0.25">
      <c r="A110" s="237"/>
      <c r="B110" s="238"/>
      <c r="C110" s="238"/>
      <c r="D110" s="21"/>
      <c r="E110" s="145"/>
    </row>
    <row r="111" spans="1:5" ht="13" x14ac:dyDescent="0.25">
      <c r="A111" s="237"/>
      <c r="B111" s="238"/>
      <c r="C111" s="238"/>
      <c r="D111" s="21"/>
      <c r="E111" s="145"/>
    </row>
    <row r="112" spans="1:5" ht="13" x14ac:dyDescent="0.25">
      <c r="A112" s="237"/>
      <c r="B112" s="238"/>
      <c r="C112" s="238"/>
      <c r="D112" s="21"/>
      <c r="E112" s="145"/>
    </row>
    <row r="113" spans="1:6" ht="13" x14ac:dyDescent="0.25">
      <c r="A113" s="237"/>
      <c r="B113" s="238"/>
      <c r="C113" s="238"/>
      <c r="D113" s="21"/>
      <c r="E113" s="145"/>
    </row>
    <row r="114" spans="1:6" ht="13" x14ac:dyDescent="0.25">
      <c r="A114" s="237"/>
      <c r="B114" s="238"/>
      <c r="C114" s="238"/>
      <c r="D114" s="21"/>
      <c r="E114" s="145"/>
    </row>
    <row r="115" spans="1:6" ht="13.5" thickBot="1" x14ac:dyDescent="0.3">
      <c r="A115" s="237"/>
      <c r="B115" s="238"/>
      <c r="C115" s="238"/>
      <c r="D115" s="145"/>
      <c r="E115" s="145"/>
    </row>
    <row r="116" spans="1:6" ht="13" x14ac:dyDescent="0.3">
      <c r="A116" s="30" t="s">
        <v>3</v>
      </c>
      <c r="B116" s="31" t="s">
        <v>19</v>
      </c>
      <c r="C116" s="31"/>
      <c r="D116" s="31" t="s">
        <v>2</v>
      </c>
      <c r="E116" s="32" t="s">
        <v>4</v>
      </c>
    </row>
    <row r="117" spans="1:6" ht="15.5" x14ac:dyDescent="0.4">
      <c r="A117" s="135" t="s">
        <v>158</v>
      </c>
      <c r="B117" s="26" t="str">
        <f>'[3]Project Emission'!B195</f>
        <v>Market Swine</v>
      </c>
      <c r="C117" s="26" t="str">
        <f>'[3]Project Emission'!C195</f>
        <v>Breeding Swine</v>
      </c>
      <c r="D117" s="26"/>
      <c r="E117" s="239"/>
      <c r="F117" s="240"/>
    </row>
    <row r="118" spans="1:6" ht="12.75" customHeight="1" x14ac:dyDescent="0.25">
      <c r="A118" s="126" t="str">
        <f t="shared" ref="A118:A129" si="10">A85</f>
        <v>2022/01/01-2022/01/31</v>
      </c>
      <c r="B118" s="140">
        <f>'monitoring results'!F4</f>
        <v>302283</v>
      </c>
      <c r="C118" s="140">
        <f>'monitoring results'!G4</f>
        <v>45922</v>
      </c>
      <c r="D118" s="403" t="s">
        <v>103</v>
      </c>
      <c r="E118" s="523" t="str">
        <f>E23</f>
        <v>calculated as equatoin 5 in MR, of which NLT for marke swine and breeding swine is sourced from "market and Breeding Pig stock record"</v>
      </c>
      <c r="F118" s="240"/>
    </row>
    <row r="119" spans="1:6" x14ac:dyDescent="0.25">
      <c r="A119" s="126" t="str">
        <f t="shared" si="10"/>
        <v>2022/02/01-2022/02/28</v>
      </c>
      <c r="B119" s="140">
        <f>'monitoring results'!F5</f>
        <v>302283</v>
      </c>
      <c r="C119" s="140">
        <f>'monitoring results'!G5</f>
        <v>45986</v>
      </c>
      <c r="D119" s="404"/>
      <c r="E119" s="524"/>
      <c r="F119" s="240"/>
    </row>
    <row r="120" spans="1:6" x14ac:dyDescent="0.25">
      <c r="A120" s="126" t="str">
        <f t="shared" si="10"/>
        <v>2022/03/01-2022/03/31</v>
      </c>
      <c r="B120" s="140">
        <f>'monitoring results'!F6</f>
        <v>302283</v>
      </c>
      <c r="C120" s="140">
        <f>'monitoring results'!G6</f>
        <v>45782</v>
      </c>
      <c r="D120" s="404"/>
      <c r="E120" s="524"/>
      <c r="F120" s="240"/>
    </row>
    <row r="121" spans="1:6" x14ac:dyDescent="0.25">
      <c r="A121" s="126" t="str">
        <f t="shared" si="10"/>
        <v>2022/04/01-2022/04/30</v>
      </c>
      <c r="B121" s="140">
        <f>'monitoring results'!F7</f>
        <v>302283</v>
      </c>
      <c r="C121" s="140">
        <f>'monitoring results'!G7</f>
        <v>45704</v>
      </c>
      <c r="D121" s="404"/>
      <c r="E121" s="524"/>
      <c r="F121" s="240"/>
    </row>
    <row r="122" spans="1:6" x14ac:dyDescent="0.25">
      <c r="A122" s="126" t="str">
        <f t="shared" si="10"/>
        <v>2022/05/01-2022/05/31</v>
      </c>
      <c r="B122" s="140">
        <f>'monitoring results'!F8</f>
        <v>302283</v>
      </c>
      <c r="C122" s="140">
        <f>'monitoring results'!G8</f>
        <v>45917</v>
      </c>
      <c r="D122" s="404"/>
      <c r="E122" s="524"/>
      <c r="F122" s="240"/>
    </row>
    <row r="123" spans="1:6" x14ac:dyDescent="0.25">
      <c r="A123" s="126" t="str">
        <f t="shared" si="10"/>
        <v>2022/06/01-2022/06/30</v>
      </c>
      <c r="B123" s="140">
        <f>'monitoring results'!F9</f>
        <v>302283</v>
      </c>
      <c r="C123" s="140">
        <f>'monitoring results'!G9</f>
        <v>46162</v>
      </c>
      <c r="D123" s="404"/>
      <c r="E123" s="524"/>
      <c r="F123" s="240"/>
    </row>
    <row r="124" spans="1:6" x14ac:dyDescent="0.25">
      <c r="A124" s="126" t="str">
        <f t="shared" si="10"/>
        <v>2022/07/01-2022/07/31</v>
      </c>
      <c r="B124" s="140">
        <f>'monitoring results'!F10</f>
        <v>302283</v>
      </c>
      <c r="C124" s="140">
        <f>'monitoring results'!G10</f>
        <v>46217</v>
      </c>
      <c r="D124" s="404"/>
      <c r="E124" s="524"/>
      <c r="F124" s="240"/>
    </row>
    <row r="125" spans="1:6" x14ac:dyDescent="0.25">
      <c r="A125" s="126" t="str">
        <f t="shared" si="10"/>
        <v>2022/08/01-2022/08/31</v>
      </c>
      <c r="B125" s="140">
        <f>'monitoring results'!F11</f>
        <v>302283</v>
      </c>
      <c r="C125" s="140">
        <f>'monitoring results'!G11</f>
        <v>45617</v>
      </c>
      <c r="D125" s="404"/>
      <c r="E125" s="524"/>
      <c r="F125" s="240"/>
    </row>
    <row r="126" spans="1:6" x14ac:dyDescent="0.25">
      <c r="A126" s="126" t="str">
        <f t="shared" si="10"/>
        <v>2022/09/01-2022/09/30</v>
      </c>
      <c r="B126" s="140">
        <f>'monitoring results'!F12</f>
        <v>302283</v>
      </c>
      <c r="C126" s="140">
        <f>'monitoring results'!G12</f>
        <v>46288</v>
      </c>
      <c r="D126" s="404"/>
      <c r="E126" s="524"/>
      <c r="F126" s="240"/>
    </row>
    <row r="127" spans="1:6" x14ac:dyDescent="0.25">
      <c r="A127" s="126" t="str">
        <f t="shared" si="10"/>
        <v>2022/10/01-2022/10/31</v>
      </c>
      <c r="B127" s="140">
        <f>'monitoring results'!F13</f>
        <v>302283</v>
      </c>
      <c r="C127" s="140">
        <f>'monitoring results'!G13</f>
        <v>46031</v>
      </c>
      <c r="D127" s="404"/>
      <c r="E127" s="524"/>
      <c r="F127" s="240"/>
    </row>
    <row r="128" spans="1:6" x14ac:dyDescent="0.25">
      <c r="A128" s="126" t="str">
        <f t="shared" si="10"/>
        <v>2022/11/01-2022/11/30</v>
      </c>
      <c r="B128" s="140">
        <f>'monitoring results'!F14</f>
        <v>302283</v>
      </c>
      <c r="C128" s="140">
        <f>'monitoring results'!G14</f>
        <v>46416</v>
      </c>
      <c r="D128" s="404"/>
      <c r="E128" s="524"/>
      <c r="F128" s="240"/>
    </row>
    <row r="129" spans="1:6" x14ac:dyDescent="0.25">
      <c r="A129" s="126" t="str">
        <f t="shared" si="10"/>
        <v>2022/12/01-2022/12/31</v>
      </c>
      <c r="B129" s="140">
        <f>'monitoring results'!F15</f>
        <v>302283</v>
      </c>
      <c r="C129" s="140">
        <f>'monitoring results'!G15</f>
        <v>45514</v>
      </c>
      <c r="D129" s="405"/>
      <c r="E129" s="525"/>
      <c r="F129" s="240"/>
    </row>
    <row r="130" spans="1:6" ht="15.5" x14ac:dyDescent="0.25">
      <c r="A130" s="227" t="s">
        <v>216</v>
      </c>
      <c r="B130" s="241"/>
      <c r="C130" s="241"/>
      <c r="D130" s="412" t="s">
        <v>101</v>
      </c>
      <c r="E130" s="523" t="s">
        <v>29</v>
      </c>
      <c r="F130" s="240"/>
    </row>
    <row r="131" spans="1:6" x14ac:dyDescent="0.25">
      <c r="A131" s="126" t="str">
        <f>A118</f>
        <v>2022/01/01-2022/01/31</v>
      </c>
      <c r="B131" s="241">
        <f ca="1">'Baseline emission'!B133</f>
        <v>0.81765600000000005</v>
      </c>
      <c r="C131" s="241">
        <f ca="1">'Baseline emission'!C133</f>
        <v>0.596688</v>
      </c>
      <c r="D131" s="413"/>
      <c r="E131" s="524"/>
      <c r="F131" s="240"/>
    </row>
    <row r="132" spans="1:6" x14ac:dyDescent="0.25">
      <c r="A132" s="126" t="str">
        <f t="shared" ref="A132:A142" si="11">A119</f>
        <v>2022/02/01-2022/02/28</v>
      </c>
      <c r="B132" s="241">
        <f ca="1">'Baseline emission'!B134</f>
        <v>0.73029600000000006</v>
      </c>
      <c r="C132" s="241">
        <f ca="1">'Baseline emission'!C134</f>
        <v>0.53424000000000005</v>
      </c>
      <c r="D132" s="413"/>
      <c r="E132" s="524"/>
      <c r="F132" s="240"/>
    </row>
    <row r="133" spans="1:6" x14ac:dyDescent="0.25">
      <c r="A133" s="126" t="str">
        <f t="shared" si="11"/>
        <v>2022/03/01-2022/03/31</v>
      </c>
      <c r="B133" s="241">
        <f ca="1">'Baseline emission'!B135</f>
        <v>0.81635400000000002</v>
      </c>
      <c r="C133" s="241">
        <f ca="1">'Baseline emission'!C135</f>
        <v>0.59519999999999995</v>
      </c>
      <c r="D133" s="413"/>
      <c r="E133" s="524"/>
      <c r="F133" s="240"/>
    </row>
    <row r="134" spans="1:6" x14ac:dyDescent="0.25">
      <c r="A134" s="126" t="str">
        <f t="shared" si="11"/>
        <v>2022/04/01-2022/04/30</v>
      </c>
      <c r="B134" s="241">
        <f ca="1">'Baseline emission'!B136</f>
        <v>0.78246000000000004</v>
      </c>
      <c r="C134" s="241">
        <f ca="1">'Baseline emission'!C136</f>
        <v>0.56807999999999992</v>
      </c>
      <c r="D134" s="413"/>
      <c r="E134" s="524"/>
      <c r="F134" s="240"/>
    </row>
    <row r="135" spans="1:6" x14ac:dyDescent="0.25">
      <c r="A135" s="126" t="str">
        <f t="shared" si="11"/>
        <v>2022/05/01-2022/05/31</v>
      </c>
      <c r="B135" s="241">
        <f ca="1">'Baseline emission'!B137</f>
        <v>0.80593800000000004</v>
      </c>
      <c r="C135" s="241">
        <f ca="1">'Baseline emission'!C137</f>
        <v>0.59519999999999995</v>
      </c>
      <c r="D135" s="413"/>
      <c r="E135" s="524"/>
      <c r="F135" s="240"/>
    </row>
    <row r="136" spans="1:6" x14ac:dyDescent="0.25">
      <c r="A136" s="126" t="str">
        <f t="shared" si="11"/>
        <v>2022/06/01-2022/06/30</v>
      </c>
      <c r="B136" s="241">
        <f ca="1">'Baseline emission'!B138</f>
        <v>0.78876000000000002</v>
      </c>
      <c r="C136" s="241">
        <f ca="1">'Baseline emission'!C138</f>
        <v>0.57887999999999995</v>
      </c>
      <c r="D136" s="413"/>
      <c r="E136" s="524"/>
      <c r="F136" s="240"/>
    </row>
    <row r="137" spans="1:6" x14ac:dyDescent="0.25">
      <c r="A137" s="126" t="str">
        <f t="shared" si="11"/>
        <v>2022/07/01-2022/07/31</v>
      </c>
      <c r="B137" s="241">
        <f ca="1">'Baseline emission'!B139</f>
        <v>0.81374999999999997</v>
      </c>
      <c r="C137" s="241">
        <f ca="1">'Baseline emission'!C139</f>
        <v>0.59371199999999991</v>
      </c>
      <c r="D137" s="413"/>
      <c r="E137" s="524"/>
      <c r="F137" s="240"/>
    </row>
    <row r="138" spans="1:6" x14ac:dyDescent="0.25">
      <c r="A138" s="126" t="str">
        <f t="shared" si="11"/>
        <v>2022/08/01-2022/08/31</v>
      </c>
      <c r="B138" s="241">
        <f ca="1">'Baseline emission'!B140</f>
        <v>0.81635400000000002</v>
      </c>
      <c r="C138" s="241">
        <f ca="1">'Baseline emission'!C140</f>
        <v>0.5989199999999999</v>
      </c>
      <c r="D138" s="413"/>
      <c r="E138" s="524"/>
      <c r="F138" s="240"/>
    </row>
    <row r="139" spans="1:6" x14ac:dyDescent="0.25">
      <c r="A139" s="126" t="str">
        <f t="shared" si="11"/>
        <v>2022/09/01-2022/09/30</v>
      </c>
      <c r="B139" s="241">
        <f ca="1">'Baseline emission'!B141</f>
        <v>0.78498000000000001</v>
      </c>
      <c r="C139" s="241">
        <f ca="1">'Baseline emission'!C141</f>
        <v>0.57095999999999991</v>
      </c>
      <c r="D139" s="413"/>
      <c r="E139" s="524"/>
      <c r="F139" s="240"/>
    </row>
    <row r="140" spans="1:6" x14ac:dyDescent="0.25">
      <c r="A140" s="126" t="str">
        <f t="shared" si="11"/>
        <v>2022/10/01-2022/10/31</v>
      </c>
      <c r="B140" s="241">
        <f ca="1">'Baseline emission'!B142</f>
        <v>0.80854199999999998</v>
      </c>
      <c r="C140" s="241">
        <f ca="1">'Baseline emission'!C142</f>
        <v>0.59519999999999995</v>
      </c>
      <c r="D140" s="413"/>
      <c r="E140" s="524"/>
      <c r="F140" s="240"/>
    </row>
    <row r="141" spans="1:6" x14ac:dyDescent="0.25">
      <c r="A141" s="126" t="str">
        <f t="shared" si="11"/>
        <v>2022/11/01-2022/11/30</v>
      </c>
      <c r="B141" s="241">
        <f ca="1">'Baseline emission'!B143</f>
        <v>0.78372000000000008</v>
      </c>
      <c r="C141" s="241">
        <f ca="1">'Baseline emission'!C143</f>
        <v>0.57959999999999989</v>
      </c>
      <c r="D141" s="413"/>
      <c r="E141" s="524"/>
      <c r="F141" s="240"/>
    </row>
    <row r="142" spans="1:6" x14ac:dyDescent="0.25">
      <c r="A142" s="126" t="str">
        <f t="shared" si="11"/>
        <v>2022/12/01-2022/12/31</v>
      </c>
      <c r="B142" s="241">
        <f ca="1">'Baseline emission'!B144</f>
        <v>0.80724000000000007</v>
      </c>
      <c r="C142" s="241">
        <f ca="1">'Baseline emission'!C144</f>
        <v>0.58403999999999989</v>
      </c>
      <c r="D142" s="414"/>
      <c r="E142" s="525"/>
      <c r="F142" s="240"/>
    </row>
    <row r="143" spans="1:6" x14ac:dyDescent="0.25">
      <c r="A143" s="229" t="s">
        <v>243</v>
      </c>
      <c r="B143" s="242">
        <v>0.25</v>
      </c>
      <c r="C143" s="242">
        <f>B143</f>
        <v>0.25</v>
      </c>
      <c r="D143" s="165" t="s">
        <v>0</v>
      </c>
      <c r="E143" s="109" t="s">
        <v>279</v>
      </c>
      <c r="F143" s="240"/>
    </row>
    <row r="144" spans="1:6" x14ac:dyDescent="0.25">
      <c r="A144" s="229" t="s">
        <v>243</v>
      </c>
      <c r="B144" s="242">
        <v>0.05</v>
      </c>
      <c r="C144" s="242">
        <v>0.05</v>
      </c>
      <c r="D144" s="165"/>
      <c r="E144" s="109" t="s">
        <v>280</v>
      </c>
      <c r="F144" s="240"/>
    </row>
    <row r="145" spans="1:6" ht="15.5" x14ac:dyDescent="0.4">
      <c r="A145" s="229" t="s">
        <v>14</v>
      </c>
      <c r="B145" s="243">
        <v>0.01</v>
      </c>
      <c r="C145" s="243">
        <v>0.01</v>
      </c>
      <c r="D145" s="24" t="s">
        <v>267</v>
      </c>
      <c r="E145" s="109" t="s">
        <v>54</v>
      </c>
      <c r="F145" s="240"/>
    </row>
    <row r="146" spans="1:6" ht="15.5" x14ac:dyDescent="0.4">
      <c r="A146" s="229" t="s">
        <v>15</v>
      </c>
      <c r="B146" s="243">
        <v>7.4999999999999997E-3</v>
      </c>
      <c r="C146" s="243">
        <v>7.4999999999999997E-3</v>
      </c>
      <c r="D146" s="24" t="s">
        <v>267</v>
      </c>
      <c r="E146" s="109" t="s">
        <v>32</v>
      </c>
      <c r="F146" s="240"/>
    </row>
    <row r="147" spans="1:6" ht="15.5" x14ac:dyDescent="0.4">
      <c r="A147" s="229" t="s">
        <v>13</v>
      </c>
      <c r="B147" s="243">
        <v>0.01</v>
      </c>
      <c r="C147" s="243">
        <v>0.01</v>
      </c>
      <c r="D147" s="24" t="s">
        <v>235</v>
      </c>
      <c r="E147" s="109" t="s">
        <v>32</v>
      </c>
      <c r="F147" s="240"/>
    </row>
    <row r="148" spans="1:6" ht="15.5" x14ac:dyDescent="0.25">
      <c r="A148" s="227" t="s">
        <v>264</v>
      </c>
      <c r="B148" s="243">
        <v>0.3</v>
      </c>
      <c r="C148" s="243">
        <v>0.3</v>
      </c>
      <c r="D148" s="24" t="s">
        <v>149</v>
      </c>
      <c r="E148" s="233" t="s">
        <v>32</v>
      </c>
      <c r="F148" s="240"/>
    </row>
    <row r="149" spans="1:6" ht="48.75" customHeight="1" x14ac:dyDescent="0.25">
      <c r="A149" s="227" t="s">
        <v>265</v>
      </c>
      <c r="B149" s="243">
        <v>0.2</v>
      </c>
      <c r="C149" s="243">
        <v>0.2</v>
      </c>
      <c r="D149" s="164" t="s">
        <v>149</v>
      </c>
      <c r="E149" s="109" t="s">
        <v>80</v>
      </c>
      <c r="F149" s="240"/>
    </row>
    <row r="150" spans="1:6" x14ac:dyDescent="0.25">
      <c r="A150" s="229"/>
      <c r="B150" s="243"/>
      <c r="C150" s="243"/>
      <c r="D150" s="189"/>
      <c r="E150" s="233"/>
      <c r="F150" s="240"/>
    </row>
    <row r="151" spans="1:6" x14ac:dyDescent="0.25">
      <c r="A151" s="126" t="str">
        <f>A131</f>
        <v>2022/01/01-2022/01/31</v>
      </c>
      <c r="B151" s="310">
        <f ca="1">$B$145*(1-$B$143)*(1-$B$144)*B118*B131</f>
        <v>1761.0399991169998</v>
      </c>
      <c r="C151" s="310">
        <f ca="1">$C$145*(1-$C$143)*(1-$C$144)*C118*C131</f>
        <v>195.23288264399997</v>
      </c>
      <c r="D151" s="470" t="s">
        <v>268</v>
      </c>
      <c r="E151" s="523" t="s">
        <v>30</v>
      </c>
      <c r="F151" s="240"/>
    </row>
    <row r="152" spans="1:6" x14ac:dyDescent="0.25">
      <c r="A152" s="126" t="str">
        <f t="shared" ref="A152:A162" si="12">A132</f>
        <v>2022/02/01-2022/02/28</v>
      </c>
      <c r="B152" s="310">
        <f t="shared" ref="B152:B160" ca="1" si="13">$B$145*(1-$B$143)*(1-$B$144)*B119*B132</f>
        <v>1572.8869685969998</v>
      </c>
      <c r="C152" s="310">
        <f t="shared" ref="C152:C160" ca="1" si="14">$C$145*(1-$C$143)*(1-$C$144)*C119*C132</f>
        <v>175.04386955999999</v>
      </c>
      <c r="D152" s="470"/>
      <c r="E152" s="524"/>
      <c r="F152" s="240"/>
    </row>
    <row r="153" spans="1:6" x14ac:dyDescent="0.25">
      <c r="A153" s="126" t="str">
        <f t="shared" si="12"/>
        <v>2022/03/01-2022/03/31</v>
      </c>
      <c r="B153" s="310">
        <f t="shared" ca="1" si="13"/>
        <v>1758.2357952967498</v>
      </c>
      <c r="C153" s="310">
        <f t="shared" ca="1" si="14"/>
        <v>194.15230559999995</v>
      </c>
      <c r="D153" s="470"/>
      <c r="E153" s="524"/>
      <c r="F153" s="240"/>
    </row>
    <row r="154" spans="1:6" x14ac:dyDescent="0.25">
      <c r="A154" s="126" t="str">
        <f t="shared" si="12"/>
        <v>2022/04/01-2022/04/30</v>
      </c>
      <c r="B154" s="310">
        <f t="shared" ca="1" si="13"/>
        <v>1685.2360377824998</v>
      </c>
      <c r="C154" s="310">
        <f t="shared" ca="1" si="14"/>
        <v>184.99013927999997</v>
      </c>
      <c r="D154" s="470"/>
      <c r="E154" s="524"/>
      <c r="F154" s="240"/>
    </row>
    <row r="155" spans="1:6" x14ac:dyDescent="0.25">
      <c r="A155" s="126" t="str">
        <f t="shared" si="12"/>
        <v>2022/05/01-2022/05/31</v>
      </c>
      <c r="B155" s="310">
        <f t="shared" ca="1" si="13"/>
        <v>1735.8021647347498</v>
      </c>
      <c r="C155" s="310">
        <f t="shared" ca="1" si="14"/>
        <v>194.72481359999998</v>
      </c>
      <c r="D155" s="470"/>
      <c r="E155" s="524"/>
      <c r="F155" s="240"/>
    </row>
    <row r="156" spans="1:6" x14ac:dyDescent="0.25">
      <c r="A156" s="126" t="str">
        <f t="shared" si="12"/>
        <v>2022/06/01-2022/06/30</v>
      </c>
      <c r="B156" s="310">
        <f t="shared" ca="1" si="13"/>
        <v>1698.8047659449999</v>
      </c>
      <c r="C156" s="310">
        <f t="shared" ca="1" si="14"/>
        <v>190.39609223999997</v>
      </c>
      <c r="D156" s="470"/>
      <c r="E156" s="524"/>
      <c r="F156" s="240"/>
    </row>
    <row r="157" spans="1:6" x14ac:dyDescent="0.25">
      <c r="A157" s="126" t="str">
        <f t="shared" si="12"/>
        <v>2022/07/01-2022/07/31</v>
      </c>
      <c r="B157" s="310">
        <f t="shared" ca="1" si="13"/>
        <v>1752.6273876562498</v>
      </c>
      <c r="C157" s="310">
        <f t="shared" ca="1" si="14"/>
        <v>195.50706096599995</v>
      </c>
      <c r="D157" s="470"/>
      <c r="E157" s="524"/>
      <c r="F157" s="240"/>
    </row>
    <row r="158" spans="1:6" x14ac:dyDescent="0.25">
      <c r="A158" s="126" t="str">
        <f t="shared" si="12"/>
        <v>2022/08/01-2022/08/31</v>
      </c>
      <c r="B158" s="310">
        <f t="shared" ca="1" si="13"/>
        <v>1758.2357952967498</v>
      </c>
      <c r="C158" s="310">
        <f t="shared" ca="1" si="14"/>
        <v>194.66165218499995</v>
      </c>
      <c r="D158" s="470"/>
      <c r="E158" s="524"/>
      <c r="F158" s="240"/>
    </row>
    <row r="159" spans="1:6" x14ac:dyDescent="0.25">
      <c r="A159" s="126" t="str">
        <f t="shared" si="12"/>
        <v>2022/09/01-2022/09/30</v>
      </c>
      <c r="B159" s="310">
        <f t="shared" ca="1" si="13"/>
        <v>1690.6635290474999</v>
      </c>
      <c r="C159" s="310">
        <f t="shared" ca="1" si="14"/>
        <v>188.30374991999994</v>
      </c>
      <c r="D159" s="470"/>
      <c r="E159" s="524"/>
      <c r="F159" s="240"/>
    </row>
    <row r="160" spans="1:6" x14ac:dyDescent="0.25">
      <c r="A160" s="126" t="str">
        <f t="shared" si="12"/>
        <v>2022/10/01-2022/10/31</v>
      </c>
      <c r="B160" s="310">
        <f t="shared" ca="1" si="13"/>
        <v>1741.4105723752498</v>
      </c>
      <c r="C160" s="310">
        <f t="shared" ca="1" si="14"/>
        <v>195.20826479999997</v>
      </c>
      <c r="D160" s="470"/>
      <c r="E160" s="524"/>
      <c r="F160" s="240"/>
    </row>
    <row r="161" spans="1:6" x14ac:dyDescent="0.25">
      <c r="A161" s="126" t="str">
        <f t="shared" si="12"/>
        <v>2022/11/01-2022/11/30</v>
      </c>
      <c r="B161" s="310">
        <f ca="1">$B$145*(1-$B$143)*(1-$B$144)*B128*B141</f>
        <v>1687.949783415</v>
      </c>
      <c r="C161" s="310">
        <f ca="1">$C$145*(1-$C$143)*(1-$C$144)*C128*C141</f>
        <v>191.68183439999996</v>
      </c>
      <c r="D161" s="470"/>
      <c r="E161" s="524"/>
      <c r="F161" s="240"/>
    </row>
    <row r="162" spans="1:6" x14ac:dyDescent="0.25">
      <c r="A162" s="126" t="str">
        <f t="shared" si="12"/>
        <v>2022/12/01-2022/12/31</v>
      </c>
      <c r="B162" s="310">
        <f ca="1">$B$145*(1-$B$143)*(1-$B$144)*B129*B142</f>
        <v>1738.606368555</v>
      </c>
      <c r="C162" s="310">
        <f ca="1">$C$145*(1-$C$143)*(1-$C$144)*C129*C142</f>
        <v>189.39672548999994</v>
      </c>
      <c r="D162" s="470"/>
      <c r="E162" s="524"/>
      <c r="F162" s="240"/>
    </row>
    <row r="163" spans="1:6" ht="13" x14ac:dyDescent="0.3">
      <c r="A163" s="182" t="str">
        <f>A97</f>
        <v>01/01/2022-31/12/2022</v>
      </c>
      <c r="B163" s="531">
        <f ca="1">SUM(B151:B162)+SUM(C151:C162)</f>
        <v>22870.79855850375</v>
      </c>
      <c r="C163" s="531"/>
      <c r="D163" s="470"/>
      <c r="E163" s="524"/>
      <c r="F163" s="240"/>
    </row>
    <row r="164" spans="1:6" ht="15" x14ac:dyDescent="0.25">
      <c r="A164" s="234" t="s">
        <v>244</v>
      </c>
      <c r="B164" s="531">
        <f ca="1">B163</f>
        <v>22870.79855850375</v>
      </c>
      <c r="C164" s="531"/>
      <c r="D164" s="470"/>
      <c r="E164" s="524"/>
      <c r="F164" s="240"/>
    </row>
    <row r="165" spans="1:6" x14ac:dyDescent="0.25">
      <c r="A165" s="126" t="str">
        <f t="shared" ref="A165:A177" si="15">A151</f>
        <v>2022/01/01-2022/01/31</v>
      </c>
      <c r="B165" s="244">
        <f t="shared" ref="B165:B176" ca="1" si="16">$B$146*$B$148*(1-$B$143)*(1-$B$144)*B118*B131</f>
        <v>396.23399980132496</v>
      </c>
      <c r="C165" s="244">
        <f t="shared" ref="C165:C176" ca="1" si="17">$C$146*$C$148*(1-$C$143)*(1-$C$144)*C118*C131</f>
        <v>43.927398594899991</v>
      </c>
      <c r="D165" s="470"/>
      <c r="E165" s="524"/>
      <c r="F165" s="245"/>
    </row>
    <row r="166" spans="1:6" x14ac:dyDescent="0.25">
      <c r="A166" s="126" t="str">
        <f t="shared" si="15"/>
        <v>2022/02/01-2022/02/28</v>
      </c>
      <c r="B166" s="244">
        <f t="shared" ca="1" si="16"/>
        <v>353.89956793432498</v>
      </c>
      <c r="C166" s="244">
        <f t="shared" ca="1" si="17"/>
        <v>39.384870650999993</v>
      </c>
      <c r="D166" s="470"/>
      <c r="E166" s="524"/>
      <c r="F166" s="245"/>
    </row>
    <row r="167" spans="1:6" x14ac:dyDescent="0.25">
      <c r="A167" s="126" t="str">
        <f t="shared" si="15"/>
        <v>2022/03/01-2022/03/31</v>
      </c>
      <c r="B167" s="244">
        <f t="shared" ca="1" si="16"/>
        <v>395.60305394176868</v>
      </c>
      <c r="C167" s="244">
        <f t="shared" ca="1" si="17"/>
        <v>43.684268759999995</v>
      </c>
      <c r="D167" s="470"/>
      <c r="E167" s="524"/>
      <c r="F167" s="245"/>
    </row>
    <row r="168" spans="1:6" x14ac:dyDescent="0.25">
      <c r="A168" s="126" t="str">
        <f t="shared" si="15"/>
        <v>2022/04/01-2022/04/30</v>
      </c>
      <c r="B168" s="244">
        <f t="shared" ca="1" si="16"/>
        <v>379.17810850106247</v>
      </c>
      <c r="C168" s="244">
        <f t="shared" ca="1" si="17"/>
        <v>41.622781337999989</v>
      </c>
      <c r="D168" s="470"/>
      <c r="E168" s="524"/>
      <c r="F168" s="245"/>
    </row>
    <row r="169" spans="1:6" x14ac:dyDescent="0.25">
      <c r="A169" s="126" t="str">
        <f t="shared" si="15"/>
        <v>2022/05/01-2022/05/31</v>
      </c>
      <c r="B169" s="244">
        <f t="shared" ca="1" si="16"/>
        <v>390.55548706531869</v>
      </c>
      <c r="C169" s="244">
        <f t="shared" ca="1" si="17"/>
        <v>43.81308305999999</v>
      </c>
      <c r="D169" s="470"/>
      <c r="E169" s="524"/>
      <c r="F169" s="245"/>
    </row>
    <row r="170" spans="1:6" x14ac:dyDescent="0.25">
      <c r="A170" s="126" t="str">
        <f t="shared" si="15"/>
        <v>2022/06/01-2022/06/30</v>
      </c>
      <c r="B170" s="244">
        <f t="shared" ca="1" si="16"/>
        <v>382.23107233762494</v>
      </c>
      <c r="C170" s="244">
        <f t="shared" ca="1" si="17"/>
        <v>42.839120753999985</v>
      </c>
      <c r="D170" s="470"/>
      <c r="E170" s="524"/>
      <c r="F170" s="245"/>
    </row>
    <row r="171" spans="1:6" x14ac:dyDescent="0.25">
      <c r="A171" s="126" t="str">
        <f t="shared" si="15"/>
        <v>2022/07/01-2022/07/31</v>
      </c>
      <c r="B171" s="244">
        <f t="shared" ca="1" si="16"/>
        <v>394.34116222265618</v>
      </c>
      <c r="C171" s="244">
        <f t="shared" ca="1" si="17"/>
        <v>43.989088717349986</v>
      </c>
      <c r="D171" s="470"/>
      <c r="E171" s="524"/>
      <c r="F171" s="245"/>
    </row>
    <row r="172" spans="1:6" x14ac:dyDescent="0.25">
      <c r="A172" s="126" t="str">
        <f t="shared" si="15"/>
        <v>2022/08/01-2022/08/31</v>
      </c>
      <c r="B172" s="244">
        <f t="shared" ca="1" si="16"/>
        <v>395.60305394176868</v>
      </c>
      <c r="C172" s="244">
        <f t="shared" ca="1" si="17"/>
        <v>43.798871741624986</v>
      </c>
      <c r="D172" s="470"/>
      <c r="E172" s="524"/>
      <c r="F172" s="245"/>
    </row>
    <row r="173" spans="1:6" x14ac:dyDescent="0.25">
      <c r="A173" s="126" t="str">
        <f t="shared" si="15"/>
        <v>2022/09/01-2022/09/30</v>
      </c>
      <c r="B173" s="244">
        <f t="shared" ca="1" si="16"/>
        <v>380.39929403568743</v>
      </c>
      <c r="C173" s="244">
        <f t="shared" ca="1" si="17"/>
        <v>42.368343731999985</v>
      </c>
      <c r="D173" s="470"/>
      <c r="E173" s="524"/>
      <c r="F173" s="245"/>
    </row>
    <row r="174" spans="1:6" x14ac:dyDescent="0.25">
      <c r="A174" s="126" t="str">
        <f t="shared" si="15"/>
        <v>2022/10/01-2022/10/31</v>
      </c>
      <c r="B174" s="244">
        <f t="shared" ca="1" si="16"/>
        <v>391.81737878443118</v>
      </c>
      <c r="C174" s="244">
        <f t="shared" ca="1" si="17"/>
        <v>43.921859579999989</v>
      </c>
      <c r="D174" s="470"/>
      <c r="E174" s="524"/>
      <c r="F174" s="245"/>
    </row>
    <row r="175" spans="1:6" x14ac:dyDescent="0.25">
      <c r="A175" s="126" t="str">
        <f t="shared" si="15"/>
        <v>2022/11/01-2022/11/30</v>
      </c>
      <c r="B175" s="244">
        <f t="shared" ca="1" si="16"/>
        <v>379.78870126837495</v>
      </c>
      <c r="C175" s="244">
        <f t="shared" ca="1" si="17"/>
        <v>43.128412739999987</v>
      </c>
      <c r="D175" s="470"/>
      <c r="E175" s="524"/>
      <c r="F175" s="245"/>
    </row>
    <row r="176" spans="1:6" x14ac:dyDescent="0.25">
      <c r="A176" s="126" t="str">
        <f t="shared" si="15"/>
        <v>2022/12/01-2022/12/31</v>
      </c>
      <c r="B176" s="244">
        <f t="shared" ca="1" si="16"/>
        <v>391.18643292487496</v>
      </c>
      <c r="C176" s="244">
        <f t="shared" ca="1" si="17"/>
        <v>42.614263235249979</v>
      </c>
      <c r="D176" s="470"/>
      <c r="E176" s="524"/>
      <c r="F176" s="245"/>
    </row>
    <row r="177" spans="1:6" ht="13" x14ac:dyDescent="0.3">
      <c r="A177" s="182" t="str">
        <f t="shared" si="15"/>
        <v>01/01/2022-31/12/2022</v>
      </c>
      <c r="B177" s="531">
        <f ca="1">SUM(B165:B176)+SUM(C165:C176)</f>
        <v>5145.9296756633421</v>
      </c>
      <c r="C177" s="531"/>
      <c r="D177" s="470"/>
      <c r="E177" s="524"/>
      <c r="F177" s="245"/>
    </row>
    <row r="178" spans="1:6" ht="15" x14ac:dyDescent="0.4">
      <c r="A178" s="246" t="s">
        <v>245</v>
      </c>
      <c r="B178" s="531">
        <f ca="1">B177</f>
        <v>5145.9296756633421</v>
      </c>
      <c r="C178" s="531"/>
      <c r="D178" s="470"/>
      <c r="E178" s="524"/>
      <c r="F178" s="245"/>
    </row>
    <row r="179" spans="1:6" x14ac:dyDescent="0.25">
      <c r="A179" s="126" t="str">
        <f t="shared" ref="A179:A191" si="18">A165</f>
        <v>2022/01/01-2022/01/31</v>
      </c>
      <c r="B179" s="247">
        <f t="shared" ref="B179:B190" ca="1" si="19">$B$147*(1-$B$143)*(1-$B$144)*$B$149*B118*B131</f>
        <v>352.20799982340003</v>
      </c>
      <c r="C179" s="247">
        <f t="shared" ref="C179:C190" ca="1" si="20">$C$147*(1-$C$143)*(1-$C$144)*$C$149*C118*C131</f>
        <v>39.046576528800003</v>
      </c>
      <c r="D179" s="470"/>
      <c r="E179" s="524"/>
      <c r="F179" s="245"/>
    </row>
    <row r="180" spans="1:6" x14ac:dyDescent="0.25">
      <c r="A180" s="126" t="str">
        <f t="shared" si="18"/>
        <v>2022/02/01-2022/02/28</v>
      </c>
      <c r="B180" s="247">
        <f t="shared" ca="1" si="19"/>
        <v>314.57739371940005</v>
      </c>
      <c r="C180" s="247">
        <f t="shared" ca="1" si="20"/>
        <v>35.008773912000002</v>
      </c>
      <c r="D180" s="470"/>
      <c r="E180" s="524"/>
      <c r="F180" s="245"/>
    </row>
    <row r="181" spans="1:6" x14ac:dyDescent="0.25">
      <c r="A181" s="126" t="str">
        <f t="shared" si="18"/>
        <v>2022/03/01-2022/03/31</v>
      </c>
      <c r="B181" s="247">
        <f t="shared" ca="1" si="19"/>
        <v>351.64715905935003</v>
      </c>
      <c r="C181" s="247">
        <f t="shared" ca="1" si="20"/>
        <v>38.830461119999995</v>
      </c>
      <c r="D181" s="470"/>
      <c r="E181" s="524"/>
      <c r="F181" s="245"/>
    </row>
    <row r="182" spans="1:6" x14ac:dyDescent="0.25">
      <c r="A182" s="126" t="str">
        <f t="shared" si="18"/>
        <v>2022/04/01-2022/04/30</v>
      </c>
      <c r="B182" s="247">
        <f t="shared" ca="1" si="19"/>
        <v>337.04720755650004</v>
      </c>
      <c r="C182" s="247">
        <f t="shared" ca="1" si="20"/>
        <v>36.998027856</v>
      </c>
      <c r="D182" s="470"/>
      <c r="E182" s="524"/>
      <c r="F182" s="245"/>
    </row>
    <row r="183" spans="1:6" x14ac:dyDescent="0.25">
      <c r="A183" s="126" t="str">
        <f t="shared" si="18"/>
        <v>2022/05/01-2022/05/31</v>
      </c>
      <c r="B183" s="247">
        <f t="shared" ca="1" si="19"/>
        <v>347.16043294695004</v>
      </c>
      <c r="C183" s="247">
        <f t="shared" ca="1" si="20"/>
        <v>38.944962719999999</v>
      </c>
      <c r="D183" s="470"/>
      <c r="E183" s="524"/>
      <c r="F183" s="245"/>
    </row>
    <row r="184" spans="1:6" x14ac:dyDescent="0.25">
      <c r="A184" s="126" t="str">
        <f t="shared" si="18"/>
        <v>2022/06/01-2022/06/30</v>
      </c>
      <c r="B184" s="247">
        <f t="shared" ca="1" si="19"/>
        <v>339.76095318900002</v>
      </c>
      <c r="C184" s="247">
        <f t="shared" ca="1" si="20"/>
        <v>38.079218447999999</v>
      </c>
      <c r="D184" s="470"/>
      <c r="E184" s="524"/>
      <c r="F184" s="245"/>
    </row>
    <row r="185" spans="1:6" x14ac:dyDescent="0.25">
      <c r="A185" s="126" t="str">
        <f t="shared" si="18"/>
        <v>2022/07/01-2022/07/31</v>
      </c>
      <c r="B185" s="247">
        <f t="shared" ca="1" si="19"/>
        <v>350.52547753125003</v>
      </c>
      <c r="C185" s="247">
        <f t="shared" ca="1" si="20"/>
        <v>39.101412193199998</v>
      </c>
      <c r="D185" s="470"/>
      <c r="E185" s="524"/>
      <c r="F185" s="245"/>
    </row>
    <row r="186" spans="1:6" x14ac:dyDescent="0.25">
      <c r="A186" s="126" t="str">
        <f t="shared" si="18"/>
        <v>2022/08/01-2022/08/31</v>
      </c>
      <c r="B186" s="247">
        <f t="shared" ca="1" si="19"/>
        <v>351.64715905935003</v>
      </c>
      <c r="C186" s="247">
        <f t="shared" ca="1" si="20"/>
        <v>38.932330436999997</v>
      </c>
      <c r="D186" s="470"/>
      <c r="E186" s="524"/>
      <c r="F186" s="245"/>
    </row>
    <row r="187" spans="1:6" x14ac:dyDescent="0.25">
      <c r="A187" s="126" t="str">
        <f t="shared" si="18"/>
        <v>2022/09/01-2022/09/30</v>
      </c>
      <c r="B187" s="247">
        <f t="shared" ca="1" si="19"/>
        <v>338.13270580950001</v>
      </c>
      <c r="C187" s="247">
        <f t="shared" ca="1" si="20"/>
        <v>37.660749983999999</v>
      </c>
      <c r="D187" s="470"/>
      <c r="E187" s="524"/>
      <c r="F187" s="245"/>
    </row>
    <row r="188" spans="1:6" x14ac:dyDescent="0.25">
      <c r="A188" s="126" t="str">
        <f t="shared" si="18"/>
        <v>2022/10/01-2022/10/31</v>
      </c>
      <c r="B188" s="247">
        <f t="shared" ca="1" si="19"/>
        <v>348.28211447505004</v>
      </c>
      <c r="C188" s="247">
        <f t="shared" ca="1" si="20"/>
        <v>39.04165296</v>
      </c>
      <c r="D188" s="470"/>
      <c r="E188" s="524"/>
      <c r="F188" s="245"/>
    </row>
    <row r="189" spans="1:6" x14ac:dyDescent="0.25">
      <c r="A189" s="126" t="str">
        <f t="shared" si="18"/>
        <v>2022/11/01-2022/11/30</v>
      </c>
      <c r="B189" s="247">
        <f t="shared" ca="1" si="19"/>
        <v>337.58995668300008</v>
      </c>
      <c r="C189" s="247">
        <f t="shared" ca="1" si="20"/>
        <v>38.33636688</v>
      </c>
      <c r="D189" s="470"/>
      <c r="E189" s="524"/>
      <c r="F189" s="245"/>
    </row>
    <row r="190" spans="1:6" x14ac:dyDescent="0.25">
      <c r="A190" s="126" t="str">
        <f t="shared" si="18"/>
        <v>2022/12/01-2022/12/31</v>
      </c>
      <c r="B190" s="247">
        <f t="shared" ca="1" si="19"/>
        <v>347.72127371100004</v>
      </c>
      <c r="C190" s="247">
        <f t="shared" ca="1" si="20"/>
        <v>37.879345097999995</v>
      </c>
      <c r="D190" s="470"/>
      <c r="E190" s="524"/>
      <c r="F190" s="245"/>
    </row>
    <row r="191" spans="1:6" ht="13" x14ac:dyDescent="0.3">
      <c r="A191" s="182" t="str">
        <f t="shared" si="18"/>
        <v>01/01/2022-31/12/2022</v>
      </c>
      <c r="B191" s="531">
        <f ca="1">SUM(B179:B190)+SUM(C179:C190)</f>
        <v>4574.1597117007504</v>
      </c>
      <c r="C191" s="531"/>
      <c r="D191" s="470"/>
      <c r="E191" s="524"/>
      <c r="F191" s="245"/>
    </row>
    <row r="192" spans="1:6" ht="15" x14ac:dyDescent="0.25">
      <c r="A192" s="234" t="s">
        <v>301</v>
      </c>
      <c r="B192" s="531">
        <f ca="1">B191</f>
        <v>4574.1597117007504</v>
      </c>
      <c r="C192" s="531"/>
      <c r="D192" s="470"/>
      <c r="E192" s="524"/>
      <c r="F192" s="245"/>
    </row>
    <row r="193" spans="1:6" ht="13" x14ac:dyDescent="0.3">
      <c r="A193" s="182" t="str">
        <f>A191</f>
        <v>01/01/2022-31/12/2022</v>
      </c>
      <c r="B193" s="531">
        <f ca="1">ROUNDUP(B55*44/28*1/1000*(B163+B177+B191),0)</f>
        <v>13572</v>
      </c>
      <c r="C193" s="531"/>
      <c r="D193" s="424"/>
      <c r="E193" s="524"/>
      <c r="F193" s="245"/>
    </row>
    <row r="194" spans="1:6" ht="15.5" thickBot="1" x14ac:dyDescent="0.3">
      <c r="A194" s="248" t="s">
        <v>269</v>
      </c>
      <c r="B194" s="520">
        <f ca="1">B193</f>
        <v>13572</v>
      </c>
      <c r="C194" s="520"/>
      <c r="D194" s="529"/>
      <c r="E194" s="530"/>
      <c r="F194" s="245"/>
    </row>
    <row r="195" spans="1:6" ht="13" x14ac:dyDescent="0.25">
      <c r="A195" s="237"/>
      <c r="B195" s="238"/>
      <c r="C195" s="238"/>
      <c r="D195" s="145"/>
      <c r="E195" s="145"/>
    </row>
    <row r="196" spans="1:6" ht="13" x14ac:dyDescent="0.25">
      <c r="A196" s="237"/>
      <c r="B196" s="238"/>
      <c r="C196" s="238"/>
      <c r="D196" s="145"/>
      <c r="E196" s="145"/>
    </row>
    <row r="198" spans="1:6" x14ac:dyDescent="0.25">
      <c r="A198" t="s">
        <v>51</v>
      </c>
    </row>
    <row r="200" spans="1:6" x14ac:dyDescent="0.25">
      <c r="E200" s="21"/>
    </row>
    <row r="201" spans="1:6" x14ac:dyDescent="0.25">
      <c r="E201" s="21"/>
    </row>
    <row r="202" spans="1:6" x14ac:dyDescent="0.25">
      <c r="E202" s="21"/>
    </row>
    <row r="203" spans="1:6" x14ac:dyDescent="0.25">
      <c r="E203" s="21"/>
    </row>
    <row r="204" spans="1:6" x14ac:dyDescent="0.25">
      <c r="E204" s="21"/>
    </row>
    <row r="205" spans="1:6" x14ac:dyDescent="0.25">
      <c r="E205" s="21"/>
    </row>
    <row r="206" spans="1:6" ht="13" x14ac:dyDescent="0.3">
      <c r="A206" s="1"/>
    </row>
    <row r="207" spans="1:6" ht="13.5" thickBot="1" x14ac:dyDescent="0.35">
      <c r="A207" s="1"/>
    </row>
    <row r="208" spans="1:6" ht="13" x14ac:dyDescent="0.3">
      <c r="A208" s="30" t="s">
        <v>3</v>
      </c>
      <c r="B208" s="31" t="s">
        <v>19</v>
      </c>
      <c r="C208" s="31"/>
      <c r="D208" s="31" t="s">
        <v>2</v>
      </c>
      <c r="E208" s="32" t="s">
        <v>4</v>
      </c>
    </row>
    <row r="209" spans="1:5" ht="13" x14ac:dyDescent="0.3">
      <c r="A209" s="100"/>
      <c r="B209" s="26" t="str">
        <f>B117</f>
        <v>Market Swine</v>
      </c>
      <c r="C209" s="26" t="str">
        <f>C117</f>
        <v>Breeding Swine</v>
      </c>
      <c r="D209" s="26"/>
      <c r="E209" s="239"/>
    </row>
    <row r="210" spans="1:5" ht="15.5" x14ac:dyDescent="0.4">
      <c r="A210" s="249" t="s">
        <v>52</v>
      </c>
      <c r="B210" s="24">
        <f>'Baseline emission'!B12</f>
        <v>28</v>
      </c>
      <c r="C210" s="24">
        <f>B210</f>
        <v>28</v>
      </c>
      <c r="D210" s="24" t="s">
        <v>246</v>
      </c>
      <c r="E210" s="109" t="s">
        <v>223</v>
      </c>
    </row>
    <row r="211" spans="1:5" ht="14.5" x14ac:dyDescent="0.25">
      <c r="A211" s="249" t="s">
        <v>53</v>
      </c>
      <c r="B211" s="24">
        <f>'[3]Baseline Emission'!B13</f>
        <v>6.7000000000000002E-4</v>
      </c>
      <c r="C211" s="24">
        <f>'[3]Baseline Emission'!C13</f>
        <v>6.7000000000000002E-4</v>
      </c>
      <c r="D211" s="24" t="s">
        <v>226</v>
      </c>
      <c r="E211" s="109" t="s">
        <v>72</v>
      </c>
    </row>
    <row r="212" spans="1:5" x14ac:dyDescent="0.25">
      <c r="A212" s="250" t="s">
        <v>24</v>
      </c>
      <c r="B212" s="243">
        <v>1</v>
      </c>
      <c r="C212" s="243">
        <v>1</v>
      </c>
      <c r="D212" s="24" t="s">
        <v>149</v>
      </c>
      <c r="E212" s="109" t="s">
        <v>72</v>
      </c>
    </row>
    <row r="213" spans="1:5" x14ac:dyDescent="0.25">
      <c r="A213" s="229" t="s">
        <v>62</v>
      </c>
      <c r="B213" s="251"/>
      <c r="C213" s="251"/>
      <c r="D213" s="526" t="s">
        <v>247</v>
      </c>
      <c r="E213" s="508" t="s">
        <v>194</v>
      </c>
    </row>
    <row r="214" spans="1:5" x14ac:dyDescent="0.25">
      <c r="A214" s="126" t="str">
        <f t="shared" ref="A214:A225" si="21">A179</f>
        <v>2022/01/01-2022/01/31</v>
      </c>
      <c r="B214" s="251">
        <f ca="1">'Baseline emission'!B47</f>
        <v>20.858571428571427</v>
      </c>
      <c r="C214" s="251">
        <f ca="1">'Baseline emission'!C47</f>
        <v>26.637857142857143</v>
      </c>
      <c r="D214" s="527"/>
      <c r="E214" s="509"/>
    </row>
    <row r="215" spans="1:5" x14ac:dyDescent="0.25">
      <c r="A215" s="126" t="str">
        <f t="shared" si="21"/>
        <v>2022/02/01-2022/02/28</v>
      </c>
      <c r="B215" s="251">
        <f ca="1">'Baseline emission'!B48</f>
        <v>18.63</v>
      </c>
      <c r="C215" s="251">
        <f ca="1">'Baseline emission'!C48</f>
        <v>23.849999999999998</v>
      </c>
      <c r="D215" s="527"/>
      <c r="E215" s="509"/>
    </row>
    <row r="216" spans="1:5" x14ac:dyDescent="0.25">
      <c r="A216" s="126" t="str">
        <f t="shared" si="21"/>
        <v>2022/03/01-2022/03/31</v>
      </c>
      <c r="B216" s="251">
        <f ca="1">'Baseline emission'!B49</f>
        <v>20.825357142857143</v>
      </c>
      <c r="C216" s="251">
        <f ca="1">'Baseline emission'!C49</f>
        <v>26.571428571428569</v>
      </c>
      <c r="D216" s="527"/>
      <c r="E216" s="509"/>
    </row>
    <row r="217" spans="1:5" x14ac:dyDescent="0.25">
      <c r="A217" s="126" t="str">
        <f t="shared" si="21"/>
        <v>2022/04/01-2022/04/30</v>
      </c>
      <c r="B217" s="251">
        <f ca="1">'Baseline emission'!B50</f>
        <v>19.960714285714285</v>
      </c>
      <c r="C217" s="251">
        <f ca="1">'Baseline emission'!C50</f>
        <v>25.360714285714288</v>
      </c>
      <c r="D217" s="527"/>
      <c r="E217" s="509"/>
    </row>
    <row r="218" spans="1:5" x14ac:dyDescent="0.25">
      <c r="A218" s="126" t="str">
        <f t="shared" si="21"/>
        <v>2022/05/01-2022/05/31</v>
      </c>
      <c r="B218" s="251">
        <f ca="1">'Baseline emission'!B51</f>
        <v>20.559642857142858</v>
      </c>
      <c r="C218" s="251">
        <f ca="1">'Baseline emission'!C51</f>
        <v>26.571428571428569</v>
      </c>
      <c r="D218" s="527"/>
      <c r="E218" s="509"/>
    </row>
    <row r="219" spans="1:5" x14ac:dyDescent="0.25">
      <c r="A219" s="126" t="str">
        <f t="shared" si="21"/>
        <v>2022/06/01-2022/06/30</v>
      </c>
      <c r="B219" s="251">
        <f ca="1">'Baseline emission'!B52</f>
        <v>20.12142857142857</v>
      </c>
      <c r="C219" s="251">
        <f ca="1">'Baseline emission'!C52</f>
        <v>25.842857142857142</v>
      </c>
      <c r="D219" s="527"/>
      <c r="E219" s="509"/>
    </row>
    <row r="220" spans="1:5" x14ac:dyDescent="0.25">
      <c r="A220" s="126" t="str">
        <f t="shared" si="21"/>
        <v>2022/07/01-2022/07/31</v>
      </c>
      <c r="B220" s="251">
        <f ca="1">'Baseline emission'!B53</f>
        <v>20.758928571428569</v>
      </c>
      <c r="C220" s="251">
        <f ca="1">'Baseline emission'!C53</f>
        <v>26.504999999999999</v>
      </c>
      <c r="D220" s="527"/>
      <c r="E220" s="509"/>
    </row>
    <row r="221" spans="1:5" x14ac:dyDescent="0.25">
      <c r="A221" s="126" t="str">
        <f t="shared" si="21"/>
        <v>2022/08/01-2022/08/31</v>
      </c>
      <c r="B221" s="251">
        <f ca="1">'Baseline emission'!B54</f>
        <v>20.825357142857143</v>
      </c>
      <c r="C221" s="251">
        <f ca="1">'Baseline emission'!C54</f>
        <v>26.737499999999997</v>
      </c>
      <c r="D221" s="527"/>
      <c r="E221" s="509"/>
    </row>
    <row r="222" spans="1:5" x14ac:dyDescent="0.25">
      <c r="A222" s="126" t="str">
        <f t="shared" si="21"/>
        <v>2022/09/01-2022/09/30</v>
      </c>
      <c r="B222" s="251">
        <f ca="1">'Baseline emission'!B55</f>
        <v>20.024999999999999</v>
      </c>
      <c r="C222" s="251">
        <f ca="1">'Baseline emission'!C55</f>
        <v>25.48928571428571</v>
      </c>
      <c r="D222" s="527"/>
      <c r="E222" s="509"/>
    </row>
    <row r="223" spans="1:5" x14ac:dyDescent="0.25">
      <c r="A223" s="126" t="str">
        <f t="shared" si="21"/>
        <v>2022/10/01-2022/10/31</v>
      </c>
      <c r="B223" s="251">
        <f ca="1">'Baseline emission'!B56</f>
        <v>20.626071428571429</v>
      </c>
      <c r="C223" s="251">
        <f ca="1">'Baseline emission'!C56</f>
        <v>26.571428571428569</v>
      </c>
      <c r="D223" s="527"/>
      <c r="E223" s="509"/>
    </row>
    <row r="224" spans="1:5" x14ac:dyDescent="0.25">
      <c r="A224" s="126" t="str">
        <f t="shared" si="21"/>
        <v>2022/11/01-2022/11/30</v>
      </c>
      <c r="B224" s="251">
        <f ca="1">'Baseline emission'!B57</f>
        <v>19.992857142857144</v>
      </c>
      <c r="C224" s="251">
        <f ca="1">'Baseline emission'!C57</f>
        <v>25.874999999999996</v>
      </c>
      <c r="D224" s="527"/>
      <c r="E224" s="509"/>
    </row>
    <row r="225" spans="1:5" x14ac:dyDescent="0.25">
      <c r="A225" s="126" t="str">
        <f t="shared" si="21"/>
        <v>2022/12/01-2022/12/31</v>
      </c>
      <c r="B225" s="251">
        <f ca="1">'Baseline emission'!B58</f>
        <v>20.592857142857142</v>
      </c>
      <c r="C225" s="251">
        <f ca="1">'Baseline emission'!C58</f>
        <v>26.073214285714283</v>
      </c>
      <c r="D225" s="528"/>
      <c r="E225" s="510"/>
    </row>
    <row r="226" spans="1:5" ht="12.75" customHeight="1" x14ac:dyDescent="0.25">
      <c r="A226" s="229" t="s">
        <v>63</v>
      </c>
      <c r="B226" s="140"/>
      <c r="C226" s="140"/>
      <c r="D226" s="511" t="s">
        <v>103</v>
      </c>
      <c r="E226" s="508" t="str">
        <f>E118</f>
        <v>calculated as equatoin 5 in MR, of which NLT for marke swine and breeding swine is sourced from "market and Breeding Pig stock record"</v>
      </c>
    </row>
    <row r="227" spans="1:5" x14ac:dyDescent="0.25">
      <c r="A227" s="126" t="str">
        <f>A214</f>
        <v>2022/01/01-2022/01/31</v>
      </c>
      <c r="B227" s="140">
        <f>'monitoring results'!F4</f>
        <v>302283</v>
      </c>
      <c r="C227" s="140">
        <f>'monitoring results'!G4</f>
        <v>45922</v>
      </c>
      <c r="D227" s="512"/>
      <c r="E227" s="509"/>
    </row>
    <row r="228" spans="1:5" x14ac:dyDescent="0.25">
      <c r="A228" s="126" t="str">
        <f t="shared" ref="A228:A238" si="22">A215</f>
        <v>2022/02/01-2022/02/28</v>
      </c>
      <c r="B228" s="140">
        <f>'monitoring results'!F5</f>
        <v>302283</v>
      </c>
      <c r="C228" s="140">
        <f>'monitoring results'!G5</f>
        <v>45986</v>
      </c>
      <c r="D228" s="512"/>
      <c r="E228" s="509"/>
    </row>
    <row r="229" spans="1:5" x14ac:dyDescent="0.25">
      <c r="A229" s="126" t="str">
        <f t="shared" si="22"/>
        <v>2022/03/01-2022/03/31</v>
      </c>
      <c r="B229" s="140">
        <f>'monitoring results'!F6</f>
        <v>302283</v>
      </c>
      <c r="C229" s="140">
        <f>'monitoring results'!G6</f>
        <v>45782</v>
      </c>
      <c r="D229" s="512"/>
      <c r="E229" s="509"/>
    </row>
    <row r="230" spans="1:5" x14ac:dyDescent="0.25">
      <c r="A230" s="126" t="str">
        <f t="shared" si="22"/>
        <v>2022/04/01-2022/04/30</v>
      </c>
      <c r="B230" s="140">
        <f>'monitoring results'!F7</f>
        <v>302283</v>
      </c>
      <c r="C230" s="140">
        <f>'monitoring results'!G7</f>
        <v>45704</v>
      </c>
      <c r="D230" s="512"/>
      <c r="E230" s="509"/>
    </row>
    <row r="231" spans="1:5" x14ac:dyDescent="0.25">
      <c r="A231" s="126" t="str">
        <f t="shared" si="22"/>
        <v>2022/05/01-2022/05/31</v>
      </c>
      <c r="B231" s="140">
        <f>'monitoring results'!F8</f>
        <v>302283</v>
      </c>
      <c r="C231" s="140">
        <f>'monitoring results'!G8</f>
        <v>45917</v>
      </c>
      <c r="D231" s="512"/>
      <c r="E231" s="509"/>
    </row>
    <row r="232" spans="1:5" x14ac:dyDescent="0.25">
      <c r="A232" s="126" t="str">
        <f t="shared" si="22"/>
        <v>2022/06/01-2022/06/30</v>
      </c>
      <c r="B232" s="140">
        <f>'monitoring results'!F9</f>
        <v>302283</v>
      </c>
      <c r="C232" s="140">
        <f>'monitoring results'!G9</f>
        <v>46162</v>
      </c>
      <c r="D232" s="512"/>
      <c r="E232" s="509"/>
    </row>
    <row r="233" spans="1:5" x14ac:dyDescent="0.25">
      <c r="A233" s="126" t="str">
        <f t="shared" si="22"/>
        <v>2022/07/01-2022/07/31</v>
      </c>
      <c r="B233" s="140">
        <f>'monitoring results'!F10</f>
        <v>302283</v>
      </c>
      <c r="C233" s="140">
        <f>'monitoring results'!G10</f>
        <v>46217</v>
      </c>
      <c r="D233" s="512"/>
      <c r="E233" s="509"/>
    </row>
    <row r="234" spans="1:5" x14ac:dyDescent="0.25">
      <c r="A234" s="126" t="str">
        <f t="shared" si="22"/>
        <v>2022/08/01-2022/08/31</v>
      </c>
      <c r="B234" s="140">
        <f>'monitoring results'!F11</f>
        <v>302283</v>
      </c>
      <c r="C234" s="140">
        <f>'monitoring results'!G11</f>
        <v>45617</v>
      </c>
      <c r="D234" s="512"/>
      <c r="E234" s="509"/>
    </row>
    <row r="235" spans="1:5" x14ac:dyDescent="0.25">
      <c r="A235" s="126" t="str">
        <f t="shared" si="22"/>
        <v>2022/09/01-2022/09/30</v>
      </c>
      <c r="B235" s="140">
        <f>'monitoring results'!F12</f>
        <v>302283</v>
      </c>
      <c r="C235" s="140">
        <f>'monitoring results'!G12</f>
        <v>46288</v>
      </c>
      <c r="D235" s="512"/>
      <c r="E235" s="509"/>
    </row>
    <row r="236" spans="1:5" x14ac:dyDescent="0.25">
      <c r="A236" s="126" t="str">
        <f t="shared" si="22"/>
        <v>2022/10/01-2022/10/31</v>
      </c>
      <c r="B236" s="140">
        <f>'monitoring results'!F13</f>
        <v>302283</v>
      </c>
      <c r="C236" s="140">
        <f>'monitoring results'!G13</f>
        <v>46031</v>
      </c>
      <c r="D236" s="512"/>
      <c r="E236" s="509"/>
    </row>
    <row r="237" spans="1:5" x14ac:dyDescent="0.25">
      <c r="A237" s="126" t="str">
        <f t="shared" si="22"/>
        <v>2022/11/01-2022/11/30</v>
      </c>
      <c r="B237" s="140">
        <f>'monitoring results'!F14</f>
        <v>302283</v>
      </c>
      <c r="C237" s="140">
        <f>'monitoring results'!G14</f>
        <v>46416</v>
      </c>
      <c r="D237" s="512"/>
      <c r="E237" s="509"/>
    </row>
    <row r="238" spans="1:5" x14ac:dyDescent="0.25">
      <c r="A238" s="126" t="str">
        <f t="shared" si="22"/>
        <v>2022/12/01-2022/12/31</v>
      </c>
      <c r="B238" s="140">
        <f>'monitoring results'!F15</f>
        <v>302283</v>
      </c>
      <c r="C238" s="140">
        <f>'monitoring results'!G15</f>
        <v>45514</v>
      </c>
      <c r="D238" s="513"/>
      <c r="E238" s="510"/>
    </row>
    <row r="239" spans="1:5" ht="15.5" x14ac:dyDescent="0.25">
      <c r="A239" s="227" t="s">
        <v>254</v>
      </c>
      <c r="B239" s="193">
        <v>0.28999999999999998</v>
      </c>
      <c r="C239" s="243">
        <v>0.28999999999999998</v>
      </c>
      <c r="D239" s="24" t="s">
        <v>277</v>
      </c>
      <c r="E239" s="233" t="s">
        <v>7</v>
      </c>
    </row>
    <row r="240" spans="1:5" s="8" customFormat="1" ht="15.5" x14ac:dyDescent="0.25">
      <c r="A240" s="268" t="s">
        <v>253</v>
      </c>
      <c r="B240" s="230">
        <v>0.85</v>
      </c>
      <c r="C240" s="230">
        <v>0.85</v>
      </c>
      <c r="D240" s="252" t="s">
        <v>149</v>
      </c>
      <c r="E240" s="109" t="s">
        <v>279</v>
      </c>
    </row>
    <row r="241" spans="1:5" ht="15.75" customHeight="1" x14ac:dyDescent="0.25">
      <c r="A241" s="250" t="s">
        <v>47</v>
      </c>
      <c r="B241" s="253">
        <v>1</v>
      </c>
      <c r="C241" s="253">
        <f>B241</f>
        <v>1</v>
      </c>
      <c r="D241" s="243" t="s">
        <v>149</v>
      </c>
      <c r="E241" s="105" t="s">
        <v>227</v>
      </c>
    </row>
    <row r="242" spans="1:5" ht="15.75" customHeight="1" x14ac:dyDescent="0.25">
      <c r="A242" s="126" t="str">
        <f>A227</f>
        <v>2022/01/01-2022/01/31</v>
      </c>
      <c r="B242" s="140">
        <f ca="1">$B$210*$B$211*$B$212*(1-$B$240)*($B$239*B214*B227*$B$241)</f>
        <v>5145.4146139613995</v>
      </c>
      <c r="C242" s="140">
        <f ca="1">$C$210*$C$211*$C$212*(1-$C$240)*($C$239*C214*C227*$C$241)</f>
        <v>998.2565552033999</v>
      </c>
      <c r="D242" s="470" t="s">
        <v>175</v>
      </c>
      <c r="E242" s="521" t="s">
        <v>29</v>
      </c>
    </row>
    <row r="243" spans="1:5" x14ac:dyDescent="0.25">
      <c r="A243" s="126" t="str">
        <f t="shared" ref="A243:A253" si="23">A228</f>
        <v>2022/02/01-2022/02/28</v>
      </c>
      <c r="B243" s="140">
        <f t="shared" ref="B243:B251" ca="1" si="24">$B$210*$B$211*$B$212*(1-$B$240)*($B$239*B215*B228*$B$241)</f>
        <v>4595.6682405774</v>
      </c>
      <c r="C243" s="140">
        <f t="shared" ref="C243:C253" ca="1" si="25">$C$210*$C$211*$C$212*(1-$C$240)*($C$239*C215*C228*$C$241)</f>
        <v>895.02694356599989</v>
      </c>
      <c r="D243" s="470"/>
      <c r="E243" s="521"/>
    </row>
    <row r="244" spans="1:5" x14ac:dyDescent="0.25">
      <c r="A244" s="126" t="str">
        <f t="shared" si="23"/>
        <v>2022/03/01-2022/03/31</v>
      </c>
      <c r="B244" s="140">
        <f t="shared" ca="1" si="24"/>
        <v>5137.2212785888505</v>
      </c>
      <c r="C244" s="140">
        <f t="shared" ca="1" si="25"/>
        <v>992.73139415999981</v>
      </c>
      <c r="D244" s="470"/>
      <c r="E244" s="521"/>
    </row>
    <row r="245" spans="1:5" x14ac:dyDescent="0.25">
      <c r="A245" s="126" t="str">
        <f t="shared" si="23"/>
        <v>2022/04/01-2022/04/30</v>
      </c>
      <c r="B245" s="140">
        <f t="shared" ca="1" si="24"/>
        <v>4923.9302577614999</v>
      </c>
      <c r="C245" s="140">
        <f t="shared" ca="1" si="25"/>
        <v>945.88379110799997</v>
      </c>
      <c r="D245" s="470"/>
      <c r="E245" s="521"/>
    </row>
    <row r="246" spans="1:5" x14ac:dyDescent="0.25">
      <c r="A246" s="126" t="str">
        <f t="shared" si="23"/>
        <v>2022/05/01-2022/05/31</v>
      </c>
      <c r="B246" s="140">
        <f t="shared" ca="1" si="24"/>
        <v>5071.6745956084505</v>
      </c>
      <c r="C246" s="140">
        <f t="shared" ca="1" si="25"/>
        <v>995.65871795999988</v>
      </c>
      <c r="D246" s="470"/>
      <c r="E246" s="521"/>
    </row>
    <row r="247" spans="1:5" x14ac:dyDescent="0.25">
      <c r="A247" s="126" t="str">
        <f t="shared" si="23"/>
        <v>2022/06/01-2022/06/30</v>
      </c>
      <c r="B247" s="140">
        <f t="shared" ca="1" si="24"/>
        <v>4963.575428918999</v>
      </c>
      <c r="C247" s="140">
        <f t="shared" ca="1" si="25"/>
        <v>973.5252821639998</v>
      </c>
      <c r="D247" s="470"/>
      <c r="E247" s="521"/>
    </row>
    <row r="248" spans="1:5" x14ac:dyDescent="0.25">
      <c r="A248" s="126" t="str">
        <f t="shared" si="23"/>
        <v>2022/07/01-2022/07/31</v>
      </c>
      <c r="B248" s="140">
        <f t="shared" ca="1" si="24"/>
        <v>5120.8346078437489</v>
      </c>
      <c r="C248" s="140">
        <f t="shared" ca="1" si="25"/>
        <v>999.65847225509981</v>
      </c>
      <c r="D248" s="470"/>
      <c r="E248" s="521"/>
    </row>
    <row r="249" spans="1:5" x14ac:dyDescent="0.25">
      <c r="A249" s="126" t="str">
        <f t="shared" si="23"/>
        <v>2022/08/01-2022/08/31</v>
      </c>
      <c r="B249" s="140">
        <f t="shared" ca="1" si="24"/>
        <v>5137.2212785888505</v>
      </c>
      <c r="C249" s="140">
        <f t="shared" ca="1" si="25"/>
        <v>995.33576367224987</v>
      </c>
      <c r="D249" s="470"/>
      <c r="E249" s="521"/>
    </row>
    <row r="250" spans="1:5" x14ac:dyDescent="0.25">
      <c r="A250" s="126" t="str">
        <f t="shared" si="23"/>
        <v>2022/09/01-2022/09/30</v>
      </c>
      <c r="B250" s="140">
        <f t="shared" ca="1" si="24"/>
        <v>4939.7883262244995</v>
      </c>
      <c r="C250" s="140">
        <f t="shared" ca="1" si="25"/>
        <v>962.82680551199985</v>
      </c>
      <c r="D250" s="470"/>
      <c r="E250" s="521"/>
    </row>
    <row r="251" spans="1:5" x14ac:dyDescent="0.25">
      <c r="A251" s="126" t="str">
        <f t="shared" si="23"/>
        <v>2022/10/01-2022/10/31</v>
      </c>
      <c r="B251" s="140">
        <f t="shared" ca="1" si="24"/>
        <v>5088.0612663535503</v>
      </c>
      <c r="C251" s="140">
        <f t="shared" ca="1" si="25"/>
        <v>998.13068027999986</v>
      </c>
      <c r="D251" s="470"/>
      <c r="E251" s="521"/>
    </row>
    <row r="252" spans="1:5" x14ac:dyDescent="0.25">
      <c r="A252" s="126" t="str">
        <f t="shared" si="23"/>
        <v>2022/11/01-2022/11/30</v>
      </c>
      <c r="B252" s="140">
        <f ca="1">$B$210*$B$211*$B$212*(1-$B$240)*($B$239*B224*B237*$B$241)</f>
        <v>4931.8592919929997</v>
      </c>
      <c r="C252" s="140">
        <f t="shared" ca="1" si="25"/>
        <v>980.09948483999983</v>
      </c>
      <c r="D252" s="470"/>
      <c r="E252" s="521"/>
    </row>
    <row r="253" spans="1:5" x14ac:dyDescent="0.25">
      <c r="A253" s="126" t="str">
        <f t="shared" si="23"/>
        <v>2022/12/01-2022/12/31</v>
      </c>
      <c r="B253" s="140">
        <f ca="1">$B$210*$B$211*$B$212*(1-$B$240)*($B$239*B225*B238*$B$241)</f>
        <v>5079.8679309809995</v>
      </c>
      <c r="C253" s="140">
        <f t="shared" ca="1" si="25"/>
        <v>968.41536217649991</v>
      </c>
      <c r="D253" s="470"/>
      <c r="E253" s="521"/>
    </row>
    <row r="254" spans="1:5" ht="13" x14ac:dyDescent="0.3">
      <c r="A254" s="182" t="str">
        <f>A193</f>
        <v>01/01/2022-31/12/2022</v>
      </c>
      <c r="B254" s="519">
        <f ca="1">ROUNDDOWN(SUM(B242:B253)+SUM(C242:C253),0)</f>
        <v>71840</v>
      </c>
      <c r="C254" s="519"/>
      <c r="D254" s="470"/>
      <c r="E254" s="521"/>
    </row>
    <row r="255" spans="1:5" ht="15.5" thickBot="1" x14ac:dyDescent="0.45">
      <c r="A255" s="170" t="s">
        <v>248</v>
      </c>
      <c r="B255" s="520">
        <f ca="1">B254</f>
        <v>71840</v>
      </c>
      <c r="C255" s="520"/>
      <c r="D255" s="471"/>
      <c r="E255" s="522"/>
    </row>
    <row r="256" spans="1:5" ht="13" x14ac:dyDescent="0.3">
      <c r="A256" s="1"/>
    </row>
    <row r="257" spans="1:5" ht="13.5" thickBot="1" x14ac:dyDescent="0.35">
      <c r="A257" s="1"/>
    </row>
    <row r="258" spans="1:5" ht="13" x14ac:dyDescent="0.3">
      <c r="A258" s="30" t="s">
        <v>3</v>
      </c>
      <c r="B258" s="31" t="s">
        <v>19</v>
      </c>
      <c r="C258" s="31"/>
      <c r="D258" s="31" t="s">
        <v>2</v>
      </c>
      <c r="E258" s="32" t="s">
        <v>4</v>
      </c>
    </row>
    <row r="259" spans="1:5" ht="13" x14ac:dyDescent="0.3">
      <c r="A259" s="100"/>
      <c r="B259" s="26" t="str">
        <f>B209</f>
        <v>Market Swine</v>
      </c>
      <c r="C259" s="26" t="str">
        <f>C209</f>
        <v>Breeding Swine</v>
      </c>
      <c r="D259" s="26"/>
      <c r="E259" s="115"/>
    </row>
    <row r="260" spans="1:5" ht="15.5" x14ac:dyDescent="0.4">
      <c r="A260" s="249" t="s">
        <v>52</v>
      </c>
      <c r="B260" s="24">
        <f>B210</f>
        <v>28</v>
      </c>
      <c r="C260" s="24">
        <f>C210</f>
        <v>28</v>
      </c>
      <c r="D260" s="24" t="s">
        <v>222</v>
      </c>
      <c r="E260" s="103" t="s">
        <v>223</v>
      </c>
    </row>
    <row r="261" spans="1:5" ht="14.5" x14ac:dyDescent="0.25">
      <c r="A261" s="249" t="s">
        <v>53</v>
      </c>
      <c r="B261" s="24">
        <f>'[3]Baseline Emission'!B13</f>
        <v>6.7000000000000002E-4</v>
      </c>
      <c r="C261" s="24">
        <f>'[3]Baseline Emission'!C13</f>
        <v>6.7000000000000002E-4</v>
      </c>
      <c r="D261" s="24" t="s">
        <v>226</v>
      </c>
      <c r="E261" s="103" t="s">
        <v>72</v>
      </c>
    </row>
    <row r="262" spans="1:5" x14ac:dyDescent="0.25">
      <c r="A262" s="250" t="s">
        <v>24</v>
      </c>
      <c r="B262" s="243">
        <v>1</v>
      </c>
      <c r="C262" s="243">
        <v>1</v>
      </c>
      <c r="D262" s="24" t="s">
        <v>149</v>
      </c>
      <c r="E262" s="103" t="s">
        <v>72</v>
      </c>
    </row>
    <row r="263" spans="1:5" x14ac:dyDescent="0.25">
      <c r="A263" s="229" t="s">
        <v>62</v>
      </c>
      <c r="B263" s="251"/>
      <c r="C263" s="251"/>
      <c r="D263" s="514" t="s">
        <v>247</v>
      </c>
      <c r="E263" s="517" t="s">
        <v>194</v>
      </c>
    </row>
    <row r="264" spans="1:5" x14ac:dyDescent="0.25">
      <c r="A264" s="126" t="str">
        <f t="shared" ref="A264:A275" si="26">A242</f>
        <v>2022/01/01-2022/01/31</v>
      </c>
      <c r="B264" s="251">
        <f ca="1">'Baseline emission'!B47</f>
        <v>20.858571428571427</v>
      </c>
      <c r="C264" s="251">
        <f ca="1">'Baseline emission'!C47</f>
        <v>26.637857142857143</v>
      </c>
      <c r="D264" s="515"/>
      <c r="E264" s="517"/>
    </row>
    <row r="265" spans="1:5" x14ac:dyDescent="0.25">
      <c r="A265" s="126" t="str">
        <f t="shared" si="26"/>
        <v>2022/02/01-2022/02/28</v>
      </c>
      <c r="B265" s="251">
        <f ca="1">'Baseline emission'!B48</f>
        <v>18.63</v>
      </c>
      <c r="C265" s="251">
        <f ca="1">'Baseline emission'!C48</f>
        <v>23.849999999999998</v>
      </c>
      <c r="D265" s="515"/>
      <c r="E265" s="517"/>
    </row>
    <row r="266" spans="1:5" x14ac:dyDescent="0.25">
      <c r="A266" s="126" t="str">
        <f t="shared" si="26"/>
        <v>2022/03/01-2022/03/31</v>
      </c>
      <c r="B266" s="251">
        <f ca="1">'Baseline emission'!B49</f>
        <v>20.825357142857143</v>
      </c>
      <c r="C266" s="251">
        <f ca="1">'Baseline emission'!C49</f>
        <v>26.571428571428569</v>
      </c>
      <c r="D266" s="515"/>
      <c r="E266" s="517"/>
    </row>
    <row r="267" spans="1:5" x14ac:dyDescent="0.25">
      <c r="A267" s="126" t="str">
        <f t="shared" si="26"/>
        <v>2022/04/01-2022/04/30</v>
      </c>
      <c r="B267" s="251">
        <f ca="1">'Baseline emission'!B50</f>
        <v>19.960714285714285</v>
      </c>
      <c r="C267" s="251">
        <f ca="1">'Baseline emission'!C50</f>
        <v>25.360714285714288</v>
      </c>
      <c r="D267" s="515"/>
      <c r="E267" s="517"/>
    </row>
    <row r="268" spans="1:5" x14ac:dyDescent="0.25">
      <c r="A268" s="126" t="str">
        <f t="shared" si="26"/>
        <v>2022/05/01-2022/05/31</v>
      </c>
      <c r="B268" s="251">
        <f ca="1">'Baseline emission'!B51</f>
        <v>20.559642857142858</v>
      </c>
      <c r="C268" s="251">
        <f ca="1">'Baseline emission'!C51</f>
        <v>26.571428571428569</v>
      </c>
      <c r="D268" s="515"/>
      <c r="E268" s="517"/>
    </row>
    <row r="269" spans="1:5" x14ac:dyDescent="0.25">
      <c r="A269" s="126" t="str">
        <f t="shared" si="26"/>
        <v>2022/06/01-2022/06/30</v>
      </c>
      <c r="B269" s="251">
        <f ca="1">'Baseline emission'!B52</f>
        <v>20.12142857142857</v>
      </c>
      <c r="C269" s="251">
        <f ca="1">'Baseline emission'!C52</f>
        <v>25.842857142857142</v>
      </c>
      <c r="D269" s="515"/>
      <c r="E269" s="517"/>
    </row>
    <row r="270" spans="1:5" x14ac:dyDescent="0.25">
      <c r="A270" s="126" t="str">
        <f t="shared" si="26"/>
        <v>2022/07/01-2022/07/31</v>
      </c>
      <c r="B270" s="251">
        <f ca="1">'Baseline emission'!B53</f>
        <v>20.758928571428569</v>
      </c>
      <c r="C270" s="251">
        <f ca="1">'Baseline emission'!C53</f>
        <v>26.504999999999999</v>
      </c>
      <c r="D270" s="515"/>
      <c r="E270" s="517"/>
    </row>
    <row r="271" spans="1:5" x14ac:dyDescent="0.25">
      <c r="A271" s="126" t="str">
        <f t="shared" si="26"/>
        <v>2022/08/01-2022/08/31</v>
      </c>
      <c r="B271" s="251">
        <f ca="1">'Baseline emission'!B54</f>
        <v>20.825357142857143</v>
      </c>
      <c r="C271" s="251">
        <f ca="1">'Baseline emission'!C54</f>
        <v>26.737499999999997</v>
      </c>
      <c r="D271" s="515"/>
      <c r="E271" s="517"/>
    </row>
    <row r="272" spans="1:5" x14ac:dyDescent="0.25">
      <c r="A272" s="126" t="str">
        <f t="shared" si="26"/>
        <v>2022/09/01-2022/09/30</v>
      </c>
      <c r="B272" s="251">
        <f ca="1">'Baseline emission'!B55</f>
        <v>20.024999999999999</v>
      </c>
      <c r="C272" s="251">
        <f ca="1">'Baseline emission'!C55</f>
        <v>25.48928571428571</v>
      </c>
      <c r="D272" s="515"/>
      <c r="E272" s="517"/>
    </row>
    <row r="273" spans="1:5" x14ac:dyDescent="0.25">
      <c r="A273" s="126" t="str">
        <f t="shared" si="26"/>
        <v>2022/10/01-2022/10/31</v>
      </c>
      <c r="B273" s="251">
        <f ca="1">'Baseline emission'!B56</f>
        <v>20.626071428571429</v>
      </c>
      <c r="C273" s="251">
        <f ca="1">'Baseline emission'!C56</f>
        <v>26.571428571428569</v>
      </c>
      <c r="D273" s="515"/>
      <c r="E273" s="517"/>
    </row>
    <row r="274" spans="1:5" x14ac:dyDescent="0.25">
      <c r="A274" s="126" t="str">
        <f t="shared" si="26"/>
        <v>2022/11/01-2022/11/30</v>
      </c>
      <c r="B274" s="251">
        <f ca="1">'Baseline emission'!B57</f>
        <v>19.992857142857144</v>
      </c>
      <c r="C274" s="251">
        <f ca="1">'Baseline emission'!C57</f>
        <v>25.874999999999996</v>
      </c>
      <c r="D274" s="232"/>
      <c r="E274" s="300"/>
    </row>
    <row r="275" spans="1:5" x14ac:dyDescent="0.25">
      <c r="A275" s="126" t="str">
        <f t="shared" si="26"/>
        <v>2022/12/01-2022/12/31</v>
      </c>
      <c r="B275" s="251">
        <f ca="1">'Baseline emission'!B58</f>
        <v>20.592857142857142</v>
      </c>
      <c r="C275" s="251">
        <f ca="1">'Baseline emission'!C58</f>
        <v>26.073214285714283</v>
      </c>
      <c r="D275" s="232"/>
      <c r="E275" s="300"/>
    </row>
    <row r="276" spans="1:5" ht="12.75" customHeight="1" x14ac:dyDescent="0.25">
      <c r="A276" s="229" t="s">
        <v>63</v>
      </c>
      <c r="B276" s="140"/>
      <c r="C276" s="140"/>
      <c r="D276" s="511" t="s">
        <v>103</v>
      </c>
      <c r="E276" s="508" t="str">
        <f>E226</f>
        <v>calculated as equatoin 5 in MR, of which NLT for marke swine and breeding swine is sourced from "market and Breeding Pig stock record"</v>
      </c>
    </row>
    <row r="277" spans="1:5" x14ac:dyDescent="0.25">
      <c r="A277" s="126" t="str">
        <f>A264</f>
        <v>2022/01/01-2022/01/31</v>
      </c>
      <c r="B277" s="140">
        <f>'monitoring results'!F4</f>
        <v>302283</v>
      </c>
      <c r="C277" s="140">
        <f>'monitoring results'!G4</f>
        <v>45922</v>
      </c>
      <c r="D277" s="512"/>
      <c r="E277" s="509"/>
    </row>
    <row r="278" spans="1:5" x14ac:dyDescent="0.25">
      <c r="A278" s="126" t="str">
        <f t="shared" ref="A278:A288" si="27">A265</f>
        <v>2022/02/01-2022/02/28</v>
      </c>
      <c r="B278" s="140">
        <f>'monitoring results'!F5</f>
        <v>302283</v>
      </c>
      <c r="C278" s="140">
        <f>'monitoring results'!G5</f>
        <v>45986</v>
      </c>
      <c r="D278" s="512"/>
      <c r="E278" s="509"/>
    </row>
    <row r="279" spans="1:5" x14ac:dyDescent="0.25">
      <c r="A279" s="126" t="str">
        <f t="shared" si="27"/>
        <v>2022/03/01-2022/03/31</v>
      </c>
      <c r="B279" s="140">
        <f>'monitoring results'!F6</f>
        <v>302283</v>
      </c>
      <c r="C279" s="140">
        <f>'monitoring results'!G6</f>
        <v>45782</v>
      </c>
      <c r="D279" s="512"/>
      <c r="E279" s="509"/>
    </row>
    <row r="280" spans="1:5" x14ac:dyDescent="0.25">
      <c r="A280" s="126" t="str">
        <f t="shared" si="27"/>
        <v>2022/04/01-2022/04/30</v>
      </c>
      <c r="B280" s="140">
        <f>'monitoring results'!F7</f>
        <v>302283</v>
      </c>
      <c r="C280" s="140">
        <f>'monitoring results'!G7</f>
        <v>45704</v>
      </c>
      <c r="D280" s="512"/>
      <c r="E280" s="509"/>
    </row>
    <row r="281" spans="1:5" x14ac:dyDescent="0.25">
      <c r="A281" s="126" t="str">
        <f t="shared" si="27"/>
        <v>2022/05/01-2022/05/31</v>
      </c>
      <c r="B281" s="140">
        <f>'monitoring results'!F8</f>
        <v>302283</v>
      </c>
      <c r="C281" s="140">
        <f>'monitoring results'!G8</f>
        <v>45917</v>
      </c>
      <c r="D281" s="512"/>
      <c r="E281" s="509"/>
    </row>
    <row r="282" spans="1:5" x14ac:dyDescent="0.25">
      <c r="A282" s="126" t="str">
        <f t="shared" si="27"/>
        <v>2022/06/01-2022/06/30</v>
      </c>
      <c r="B282" s="140">
        <f>'monitoring results'!F9</f>
        <v>302283</v>
      </c>
      <c r="C282" s="140">
        <f>'monitoring results'!G9</f>
        <v>46162</v>
      </c>
      <c r="D282" s="512"/>
      <c r="E282" s="509"/>
    </row>
    <row r="283" spans="1:5" x14ac:dyDescent="0.25">
      <c r="A283" s="126" t="str">
        <f t="shared" si="27"/>
        <v>2022/07/01-2022/07/31</v>
      </c>
      <c r="B283" s="140">
        <f>'monitoring results'!F10</f>
        <v>302283</v>
      </c>
      <c r="C283" s="140">
        <f>'monitoring results'!G10</f>
        <v>46217</v>
      </c>
      <c r="D283" s="512"/>
      <c r="E283" s="509"/>
    </row>
    <row r="284" spans="1:5" x14ac:dyDescent="0.25">
      <c r="A284" s="126" t="str">
        <f t="shared" si="27"/>
        <v>2022/08/01-2022/08/31</v>
      </c>
      <c r="B284" s="140">
        <f>'monitoring results'!F11</f>
        <v>302283</v>
      </c>
      <c r="C284" s="140">
        <f>'monitoring results'!G11</f>
        <v>45617</v>
      </c>
      <c r="D284" s="512"/>
      <c r="E284" s="509"/>
    </row>
    <row r="285" spans="1:5" x14ac:dyDescent="0.25">
      <c r="A285" s="126" t="str">
        <f t="shared" si="27"/>
        <v>2022/09/01-2022/09/30</v>
      </c>
      <c r="B285" s="140">
        <f>'monitoring results'!F12</f>
        <v>302283</v>
      </c>
      <c r="C285" s="140">
        <f>'monitoring results'!G12</f>
        <v>46288</v>
      </c>
      <c r="D285" s="512"/>
      <c r="E285" s="509"/>
    </row>
    <row r="286" spans="1:5" x14ac:dyDescent="0.25">
      <c r="A286" s="126" t="str">
        <f t="shared" si="27"/>
        <v>2022/10/01-2022/10/31</v>
      </c>
      <c r="B286" s="140">
        <f>'monitoring results'!F13</f>
        <v>302283</v>
      </c>
      <c r="C286" s="140">
        <f>'monitoring results'!G13</f>
        <v>46031</v>
      </c>
      <c r="D286" s="512"/>
      <c r="E286" s="509"/>
    </row>
    <row r="287" spans="1:5" x14ac:dyDescent="0.25">
      <c r="A287" s="126" t="str">
        <f t="shared" si="27"/>
        <v>2022/11/01-2022/11/30</v>
      </c>
      <c r="B287" s="140">
        <f>'monitoring results'!F14</f>
        <v>302283</v>
      </c>
      <c r="C287" s="140">
        <f>'monitoring results'!G14</f>
        <v>46416</v>
      </c>
      <c r="D287" s="512"/>
      <c r="E287" s="509"/>
    </row>
    <row r="288" spans="1:5" x14ac:dyDescent="0.25">
      <c r="A288" s="126" t="str">
        <f t="shared" si="27"/>
        <v>2022/12/01-2022/12/31</v>
      </c>
      <c r="B288" s="140">
        <f>'monitoring results'!F15</f>
        <v>302283</v>
      </c>
      <c r="C288" s="140">
        <f>'monitoring results'!G15</f>
        <v>45514</v>
      </c>
      <c r="D288" s="513"/>
      <c r="E288" s="510"/>
    </row>
    <row r="289" spans="1:5" ht="15.5" x14ac:dyDescent="0.25">
      <c r="A289" s="227" t="s">
        <v>249</v>
      </c>
      <c r="B289" s="193">
        <v>0.28999999999999998</v>
      </c>
      <c r="C289" s="243">
        <v>0.28999999999999998</v>
      </c>
      <c r="D289" s="24" t="s">
        <v>277</v>
      </c>
      <c r="E289" s="152" t="s">
        <v>7</v>
      </c>
    </row>
    <row r="290" spans="1:5" x14ac:dyDescent="0.25">
      <c r="A290" s="250" t="s">
        <v>61</v>
      </c>
      <c r="B290" s="242">
        <v>0.8</v>
      </c>
      <c r="C290" s="254">
        <v>0.8</v>
      </c>
      <c r="D290" s="24" t="s">
        <v>149</v>
      </c>
      <c r="E290" s="103" t="s">
        <v>279</v>
      </c>
    </row>
    <row r="291" spans="1:5" x14ac:dyDescent="0.25">
      <c r="A291" s="250" t="s">
        <v>61</v>
      </c>
      <c r="B291" s="242">
        <v>0.2</v>
      </c>
      <c r="C291" s="242">
        <v>0.2</v>
      </c>
      <c r="D291" s="243" t="s">
        <v>149</v>
      </c>
      <c r="E291" s="103" t="s">
        <v>279</v>
      </c>
    </row>
    <row r="292" spans="1:5" x14ac:dyDescent="0.25">
      <c r="A292" s="250" t="s">
        <v>47</v>
      </c>
      <c r="B292" s="242">
        <v>1</v>
      </c>
      <c r="C292" s="242">
        <v>1</v>
      </c>
      <c r="D292" s="243" t="s">
        <v>149</v>
      </c>
      <c r="E292" s="103" t="s">
        <v>227</v>
      </c>
    </row>
    <row r="293" spans="1:5" x14ac:dyDescent="0.25">
      <c r="A293" s="250"/>
      <c r="B293" s="242"/>
      <c r="C293" s="242"/>
      <c r="D293" s="232"/>
      <c r="E293" s="103"/>
    </row>
    <row r="294" spans="1:5" ht="15.75" customHeight="1" x14ac:dyDescent="0.25">
      <c r="A294" s="126" t="str">
        <f>A277</f>
        <v>2022/01/01-2022/01/31</v>
      </c>
      <c r="B294" s="140">
        <f ca="1">$B$260*$B$261*$B$262*(1-$B$291)*(1-$B$290)*$B$289*$B$292*B264*B277</f>
        <v>5488.4422548921575</v>
      </c>
      <c r="C294" s="140">
        <f ca="1">$C$260*$C$261*$C$262*(1-$C$291)*(1-$C$290)*$C$289*$C$292*C264*C277</f>
        <v>1064.8069922169598</v>
      </c>
      <c r="D294" s="514" t="s">
        <v>174</v>
      </c>
      <c r="E294" s="517" t="s">
        <v>194</v>
      </c>
    </row>
    <row r="295" spans="1:5" ht="12.75" customHeight="1" x14ac:dyDescent="0.25">
      <c r="A295" s="126" t="str">
        <f t="shared" ref="A295:A305" si="28">A278</f>
        <v>2022/02/01-2022/02/28</v>
      </c>
      <c r="B295" s="140">
        <f t="shared" ref="B295:B305" ca="1" si="29">$B$260*$B$261*$B$262*(1-$B$291)*(1-$B$290)*$B$289*$B$292*B265*B278</f>
        <v>4902.0461232825583</v>
      </c>
      <c r="C295" s="140">
        <f t="shared" ref="C295:C305" ca="1" si="30">$C$260*$C$261*$C$262*(1-$C$291)*(1-$C$290)*$C$289*$C$292*C265*C278</f>
        <v>954.69540647039969</v>
      </c>
      <c r="D295" s="515"/>
      <c r="E295" s="517"/>
    </row>
    <row r="296" spans="1:5" ht="12.75" customHeight="1" x14ac:dyDescent="0.25">
      <c r="A296" s="126" t="str">
        <f t="shared" si="28"/>
        <v>2022/03/01-2022/03/31</v>
      </c>
      <c r="B296" s="140">
        <f t="shared" ca="1" si="29"/>
        <v>5479.7026971614387</v>
      </c>
      <c r="C296" s="140">
        <f t="shared" ca="1" si="30"/>
        <v>1058.9134871039996</v>
      </c>
      <c r="D296" s="515"/>
      <c r="E296" s="517"/>
    </row>
    <row r="297" spans="1:5" ht="12.75" customHeight="1" x14ac:dyDescent="0.25">
      <c r="A297" s="126" t="str">
        <f t="shared" si="28"/>
        <v>2022/04/01-2022/04/30</v>
      </c>
      <c r="B297" s="140">
        <f t="shared" ca="1" si="29"/>
        <v>5252.1922749455989</v>
      </c>
      <c r="C297" s="140">
        <f t="shared" ca="1" si="30"/>
        <v>1008.9427105151997</v>
      </c>
      <c r="D297" s="515"/>
      <c r="E297" s="517"/>
    </row>
    <row r="298" spans="1:5" ht="12.75" customHeight="1" x14ac:dyDescent="0.25">
      <c r="A298" s="126" t="str">
        <f t="shared" si="28"/>
        <v>2022/05/01-2022/05/31</v>
      </c>
      <c r="B298" s="140">
        <f t="shared" ca="1" si="29"/>
        <v>5409.7862353156788</v>
      </c>
      <c r="C298" s="140">
        <f t="shared" ca="1" si="30"/>
        <v>1062.0359658239995</v>
      </c>
      <c r="D298" s="515"/>
      <c r="E298" s="517"/>
    </row>
    <row r="299" spans="1:5" ht="12.75" customHeight="1" x14ac:dyDescent="0.25">
      <c r="A299" s="126" t="str">
        <f t="shared" si="28"/>
        <v>2022/06/01-2022/06/30</v>
      </c>
      <c r="B299" s="140">
        <f t="shared" ca="1" si="29"/>
        <v>5294.4804575135977</v>
      </c>
      <c r="C299" s="140">
        <f t="shared" ca="1" si="30"/>
        <v>1038.4269676415995</v>
      </c>
      <c r="D299" s="515"/>
      <c r="E299" s="517"/>
    </row>
    <row r="300" spans="1:5" ht="12.75" customHeight="1" x14ac:dyDescent="0.25">
      <c r="A300" s="126" t="str">
        <f t="shared" si="28"/>
        <v>2022/07/01-2022/07/31</v>
      </c>
      <c r="B300" s="140">
        <f t="shared" ca="1" si="29"/>
        <v>5462.2235816999982</v>
      </c>
      <c r="C300" s="140">
        <f t="shared" ca="1" si="30"/>
        <v>1066.3023704054397</v>
      </c>
      <c r="D300" s="515"/>
      <c r="E300" s="517"/>
    </row>
    <row r="301" spans="1:5" ht="12.75" customHeight="1" x14ac:dyDescent="0.25">
      <c r="A301" s="126" t="str">
        <f t="shared" si="28"/>
        <v>2022/08/01-2022/08/31</v>
      </c>
      <c r="B301" s="140">
        <f t="shared" ca="1" si="29"/>
        <v>5479.7026971614387</v>
      </c>
      <c r="C301" s="140">
        <f t="shared" ca="1" si="30"/>
        <v>1061.6914812503994</v>
      </c>
      <c r="D301" s="515"/>
      <c r="E301" s="517"/>
    </row>
    <row r="302" spans="1:5" ht="12.75" customHeight="1" x14ac:dyDescent="0.25">
      <c r="A302" s="126" t="str">
        <f t="shared" si="28"/>
        <v>2022/09/01-2022/09/30</v>
      </c>
      <c r="B302" s="140">
        <f t="shared" ca="1" si="29"/>
        <v>5269.1075479727979</v>
      </c>
      <c r="C302" s="140">
        <f t="shared" ca="1" si="30"/>
        <v>1027.0152592127995</v>
      </c>
      <c r="D302" s="515"/>
      <c r="E302" s="517"/>
    </row>
    <row r="303" spans="1:5" ht="12.75" customHeight="1" x14ac:dyDescent="0.25">
      <c r="A303" s="126" t="str">
        <f t="shared" si="28"/>
        <v>2022/10/01-2022/10/31</v>
      </c>
      <c r="B303" s="140">
        <f t="shared" ca="1" si="29"/>
        <v>5427.2653507771183</v>
      </c>
      <c r="C303" s="140">
        <f t="shared" ca="1" si="30"/>
        <v>1064.6727256319996</v>
      </c>
      <c r="D303" s="515"/>
      <c r="E303" s="517"/>
    </row>
    <row r="304" spans="1:5" ht="12.75" customHeight="1" x14ac:dyDescent="0.25">
      <c r="A304" s="126" t="str">
        <f t="shared" si="28"/>
        <v>2022/11/01-2022/11/30</v>
      </c>
      <c r="B304" s="140">
        <f t="shared" ca="1" si="29"/>
        <v>5260.6499114591988</v>
      </c>
      <c r="C304" s="140">
        <f t="shared" ca="1" si="30"/>
        <v>1045.4394504959994</v>
      </c>
      <c r="D304" s="515"/>
      <c r="E304" s="517"/>
    </row>
    <row r="305" spans="1:6" ht="12.75" customHeight="1" x14ac:dyDescent="0.25">
      <c r="A305" s="126" t="str">
        <f t="shared" si="28"/>
        <v>2022/12/01-2022/12/31</v>
      </c>
      <c r="B305" s="140">
        <f t="shared" ca="1" si="29"/>
        <v>5418.5257930463986</v>
      </c>
      <c r="C305" s="140">
        <f t="shared" ca="1" si="30"/>
        <v>1032.9763863215994</v>
      </c>
      <c r="D305" s="515"/>
      <c r="E305" s="517"/>
    </row>
    <row r="306" spans="1:6" ht="12.75" customHeight="1" x14ac:dyDescent="0.3">
      <c r="A306" s="182" t="str">
        <f>A254</f>
        <v>01/01/2022-31/12/2022</v>
      </c>
      <c r="B306" s="519">
        <f ca="1">ROUNDUP(SUM(B294:B305)+SUM(C294:C305),0)</f>
        <v>76631</v>
      </c>
      <c r="C306" s="519"/>
      <c r="D306" s="515"/>
      <c r="E306" s="517"/>
    </row>
    <row r="307" spans="1:6" ht="15.5" thickBot="1" x14ac:dyDescent="0.45">
      <c r="A307" s="170" t="s">
        <v>250</v>
      </c>
      <c r="B307" s="520">
        <f ca="1">B306</f>
        <v>76631</v>
      </c>
      <c r="C307" s="520"/>
      <c r="D307" s="516"/>
      <c r="E307" s="518"/>
    </row>
    <row r="308" spans="1:6" ht="13" x14ac:dyDescent="0.3">
      <c r="A308" s="1"/>
    </row>
    <row r="309" spans="1:6" ht="13" thickBot="1" x14ac:dyDescent="0.3"/>
    <row r="310" spans="1:6" ht="15" x14ac:dyDescent="0.4">
      <c r="A310" s="144" t="s">
        <v>248</v>
      </c>
      <c r="B310" s="305">
        <f ca="1">B254</f>
        <v>71840</v>
      </c>
      <c r="C310" s="506" t="s">
        <v>296</v>
      </c>
      <c r="D310" s="146"/>
    </row>
    <row r="311" spans="1:6" ht="15" x14ac:dyDescent="0.4">
      <c r="A311" s="168" t="s">
        <v>251</v>
      </c>
      <c r="B311" s="306">
        <f ca="1">B306</f>
        <v>76631</v>
      </c>
      <c r="C311" s="483"/>
      <c r="D311" s="146"/>
      <c r="F311" s="143"/>
    </row>
    <row r="312" spans="1:6" ht="15" x14ac:dyDescent="0.4">
      <c r="A312" s="168" t="s">
        <v>242</v>
      </c>
      <c r="B312" s="306">
        <f ca="1">B98</f>
        <v>3809</v>
      </c>
      <c r="C312" s="483"/>
      <c r="D312" s="146"/>
      <c r="E312" s="255"/>
    </row>
    <row r="313" spans="1:6" ht="15" x14ac:dyDescent="0.4">
      <c r="A313" s="168" t="s">
        <v>269</v>
      </c>
      <c r="B313" s="306">
        <f ca="1">B193</f>
        <v>13572</v>
      </c>
      <c r="C313" s="483"/>
    </row>
    <row r="314" spans="1:6" ht="13.5" thickBot="1" x14ac:dyDescent="0.35">
      <c r="A314" s="170" t="s">
        <v>196</v>
      </c>
      <c r="B314" s="307">
        <f ca="1">ROUNDUP(B311-B310+B313-B312,0)</f>
        <v>14554</v>
      </c>
      <c r="C314" s="507"/>
    </row>
    <row r="315" spans="1:6" ht="13" x14ac:dyDescent="0.3">
      <c r="A315" s="1"/>
      <c r="B315" s="256"/>
    </row>
    <row r="316" spans="1:6" ht="13" x14ac:dyDescent="0.3">
      <c r="A316" s="1"/>
      <c r="B316" s="256"/>
    </row>
    <row r="317" spans="1:6" ht="13" x14ac:dyDescent="0.3">
      <c r="A317" s="1"/>
      <c r="B317" s="256"/>
    </row>
    <row r="318" spans="1:6" x14ac:dyDescent="0.25">
      <c r="C318" s="6"/>
    </row>
    <row r="323" spans="1:5" ht="13" x14ac:dyDescent="0.3">
      <c r="A323" s="17" t="s">
        <v>55</v>
      </c>
      <c r="B323" s="257"/>
      <c r="C323" s="257"/>
      <c r="D323" s="16"/>
      <c r="E323" s="16"/>
    </row>
    <row r="324" spans="1:5" ht="13" x14ac:dyDescent="0.3">
      <c r="A324" s="226" t="s">
        <v>3</v>
      </c>
      <c r="B324" s="226" t="s">
        <v>19</v>
      </c>
      <c r="C324" s="226"/>
      <c r="D324" s="226" t="s">
        <v>2</v>
      </c>
      <c r="E324" s="226" t="s">
        <v>4</v>
      </c>
    </row>
    <row r="325" spans="1:5" ht="13" x14ac:dyDescent="0.3">
      <c r="A325" s="226"/>
      <c r="B325" s="226" t="str">
        <f>'[3]Baseline Emission'!B10</f>
        <v>Market Swine</v>
      </c>
      <c r="C325" s="226" t="str">
        <f>'[3]Baseline Emission'!C10</f>
        <v>Breeding Swine</v>
      </c>
      <c r="D325" s="226"/>
      <c r="E325" s="226"/>
    </row>
    <row r="326" spans="1:5" x14ac:dyDescent="0.25">
      <c r="A326" s="258" t="s">
        <v>56</v>
      </c>
      <c r="B326" s="259">
        <v>0.01</v>
      </c>
      <c r="C326" s="260">
        <v>0.02</v>
      </c>
      <c r="D326" s="257" t="s">
        <v>16</v>
      </c>
      <c r="E326" s="261" t="s">
        <v>7</v>
      </c>
    </row>
    <row r="327" spans="1:5" ht="15" x14ac:dyDescent="0.25">
      <c r="A327" s="258" t="s">
        <v>57</v>
      </c>
      <c r="B327" s="22"/>
      <c r="C327" s="22"/>
      <c r="D327" s="257" t="s">
        <v>17</v>
      </c>
      <c r="E327" s="16" t="s">
        <v>27</v>
      </c>
    </row>
    <row r="328" spans="1:5" x14ac:dyDescent="0.25">
      <c r="A328" s="262" t="s">
        <v>24</v>
      </c>
      <c r="B328" s="22"/>
      <c r="C328" s="22"/>
      <c r="D328" s="257"/>
      <c r="E328" s="16" t="s">
        <v>7</v>
      </c>
    </row>
    <row r="329" spans="1:5" x14ac:dyDescent="0.25">
      <c r="A329" s="262" t="s">
        <v>58</v>
      </c>
      <c r="B329" s="263"/>
      <c r="C329" s="260"/>
      <c r="D329" s="257" t="s">
        <v>18</v>
      </c>
      <c r="E329" s="16" t="s">
        <v>7</v>
      </c>
    </row>
    <row r="330" spans="1:5" x14ac:dyDescent="0.25">
      <c r="A330" s="262" t="s">
        <v>25</v>
      </c>
      <c r="B330" s="264"/>
      <c r="C330" s="264"/>
      <c r="D330" s="257"/>
      <c r="E330" s="16" t="s">
        <v>31</v>
      </c>
    </row>
    <row r="331" spans="1:5" ht="13" x14ac:dyDescent="0.3">
      <c r="A331" s="265" t="s">
        <v>21</v>
      </c>
      <c r="B331" s="266"/>
      <c r="C331" s="266"/>
      <c r="D331" s="17"/>
      <c r="E331" s="17" t="s">
        <v>29</v>
      </c>
    </row>
    <row r="332" spans="1:5" ht="13" x14ac:dyDescent="0.3">
      <c r="A332" s="17" t="s">
        <v>26</v>
      </c>
      <c r="B332" s="267"/>
      <c r="C332" s="226"/>
      <c r="D332" s="17"/>
      <c r="E332" s="17"/>
    </row>
  </sheetData>
  <mergeCells count="49">
    <mergeCell ref="D23:D35"/>
    <mergeCell ref="E23:E35"/>
    <mergeCell ref="D36:D48"/>
    <mergeCell ref="E36:E48"/>
    <mergeCell ref="B69:C69"/>
    <mergeCell ref="D70:D83"/>
    <mergeCell ref="E70:E83"/>
    <mergeCell ref="B83:C83"/>
    <mergeCell ref="D56:D69"/>
    <mergeCell ref="E56:E69"/>
    <mergeCell ref="D84:D97"/>
    <mergeCell ref="E84:E97"/>
    <mergeCell ref="B97:C97"/>
    <mergeCell ref="D98:D99"/>
    <mergeCell ref="E98:E99"/>
    <mergeCell ref="B98:C98"/>
    <mergeCell ref="B99:C99"/>
    <mergeCell ref="B192:C192"/>
    <mergeCell ref="B193:C193"/>
    <mergeCell ref="B194:C194"/>
    <mergeCell ref="D118:D129"/>
    <mergeCell ref="B164:C164"/>
    <mergeCell ref="B177:C177"/>
    <mergeCell ref="B191:C191"/>
    <mergeCell ref="B178:C178"/>
    <mergeCell ref="D151:D192"/>
    <mergeCell ref="B163:C163"/>
    <mergeCell ref="E118:E129"/>
    <mergeCell ref="D130:D142"/>
    <mergeCell ref="E130:E142"/>
    <mergeCell ref="D213:D225"/>
    <mergeCell ref="E213:E225"/>
    <mergeCell ref="D193:D194"/>
    <mergeCell ref="E151:E194"/>
    <mergeCell ref="C310:C314"/>
    <mergeCell ref="E226:E238"/>
    <mergeCell ref="D276:D288"/>
    <mergeCell ref="E276:E288"/>
    <mergeCell ref="D294:D307"/>
    <mergeCell ref="E294:E307"/>
    <mergeCell ref="B306:C306"/>
    <mergeCell ref="B307:C307"/>
    <mergeCell ref="D263:D273"/>
    <mergeCell ref="E263:E273"/>
    <mergeCell ref="D242:D255"/>
    <mergeCell ref="E242:E255"/>
    <mergeCell ref="B254:C254"/>
    <mergeCell ref="B255:C255"/>
    <mergeCell ref="D226:D238"/>
  </mergeCells>
  <phoneticPr fontId="36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BD00B-E315-42E3-811C-CB718B67F4D8}">
  <dimension ref="D3:M14"/>
  <sheetViews>
    <sheetView topLeftCell="B1" workbookViewId="0">
      <selection activeCell="G30" sqref="G30"/>
    </sheetView>
  </sheetViews>
  <sheetFormatPr defaultColWidth="8.81640625" defaultRowHeight="12.5" x14ac:dyDescent="0.25"/>
  <cols>
    <col min="4" max="4" width="27.6328125" bestFit="1" customWidth="1"/>
    <col min="5" max="5" width="29.36328125" bestFit="1" customWidth="1"/>
    <col min="6" max="6" width="26.54296875" bestFit="1" customWidth="1"/>
    <col min="7" max="7" width="28.36328125" bestFit="1" customWidth="1"/>
    <col min="8" max="8" width="31.1796875" bestFit="1" customWidth="1"/>
    <col min="9" max="9" width="17.90625" customWidth="1"/>
    <col min="10" max="10" width="12.1796875" customWidth="1"/>
    <col min="11" max="11" width="10.81640625" customWidth="1"/>
    <col min="12" max="12" width="9.1796875" bestFit="1" customWidth="1"/>
  </cols>
  <sheetData>
    <row r="3" spans="4:13" ht="13" thickBot="1" x14ac:dyDescent="0.3"/>
    <row r="4" spans="4:13" ht="22.5" customHeight="1" x14ac:dyDescent="0.25">
      <c r="D4" s="351" t="s">
        <v>203</v>
      </c>
      <c r="E4" s="352" t="s">
        <v>339</v>
      </c>
      <c r="F4" s="352" t="s">
        <v>340</v>
      </c>
      <c r="G4" s="352" t="s">
        <v>341</v>
      </c>
      <c r="H4" s="353" t="s">
        <v>342</v>
      </c>
    </row>
    <row r="5" spans="4:13" ht="69.5" customHeight="1" thickBot="1" x14ac:dyDescent="0.3">
      <c r="D5" s="391" t="str">
        <f>'SDG Outcomes'!C4</f>
        <v>01/01/2022-31/12/2022</v>
      </c>
      <c r="E5" s="354">
        <f ca="1">'Baseline emission'!B235</f>
        <v>342997</v>
      </c>
      <c r="F5" s="392">
        <f ca="1">'Project emission'!B331</f>
        <v>37760</v>
      </c>
      <c r="G5" s="393">
        <f ca="1">Leakage!B314</f>
        <v>14554</v>
      </c>
      <c r="H5" s="355">
        <f ca="1">E5-F5-G5</f>
        <v>290683</v>
      </c>
    </row>
    <row r="8" spans="4:13" ht="13" x14ac:dyDescent="0.25">
      <c r="E8" s="356"/>
      <c r="F8" s="356"/>
      <c r="G8" s="356"/>
      <c r="H8" s="357"/>
      <c r="I8" s="356"/>
      <c r="J8" s="356"/>
      <c r="K8" s="356"/>
      <c r="L8" s="356"/>
      <c r="M8" s="356"/>
    </row>
    <row r="9" spans="4:13" x14ac:dyDescent="0.25">
      <c r="G9" s="358"/>
      <c r="K9" s="359"/>
    </row>
    <row r="10" spans="4:13" x14ac:dyDescent="0.25">
      <c r="K10" s="359"/>
    </row>
    <row r="11" spans="4:13" x14ac:dyDescent="0.25">
      <c r="H11" s="289"/>
      <c r="K11" s="359"/>
      <c r="L11" s="149"/>
    </row>
    <row r="12" spans="4:13" x14ac:dyDescent="0.25">
      <c r="I12" s="360"/>
    </row>
    <row r="14" spans="4:13" x14ac:dyDescent="0.25">
      <c r="H14" s="359"/>
    </row>
  </sheetData>
  <phoneticPr fontId="3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89"/>
  <sheetViews>
    <sheetView zoomScale="80" zoomScaleNormal="80" workbookViewId="0">
      <selection activeCell="G34" sqref="G34"/>
    </sheetView>
  </sheetViews>
  <sheetFormatPr defaultRowHeight="12.5" x14ac:dyDescent="0.25"/>
  <cols>
    <col min="1" max="1" width="20.81640625" customWidth="1"/>
    <col min="2" max="2" width="18.81640625" customWidth="1"/>
    <col min="3" max="3" width="17.1796875" customWidth="1"/>
    <col min="4" max="4" width="16" customWidth="1"/>
    <col min="5" max="5" width="24.1796875" customWidth="1"/>
    <col min="6" max="6" width="21.54296875" customWidth="1"/>
    <col min="7" max="7" width="21.1796875" customWidth="1"/>
    <col min="8" max="8" width="12.1796875" customWidth="1"/>
    <col min="9" max="9" width="13.1796875" customWidth="1"/>
    <col min="10" max="10" width="20.81640625" customWidth="1"/>
    <col min="14" max="14" width="16.1796875" customWidth="1"/>
    <col min="15" max="15" width="17.54296875" customWidth="1"/>
    <col min="16" max="16" width="12.1796875" customWidth="1"/>
    <col min="17" max="17" width="9" customWidth="1"/>
    <col min="18" max="18" width="16.1796875" customWidth="1"/>
    <col min="19" max="19" width="15.453125" customWidth="1"/>
    <col min="20" max="20" width="14.1796875" customWidth="1"/>
    <col min="21" max="21" width="12.81640625" bestFit="1" customWidth="1"/>
    <col min="22" max="22" width="11.81640625" bestFit="1" customWidth="1"/>
    <col min="23" max="23" width="12.453125" bestFit="1" customWidth="1"/>
  </cols>
  <sheetData>
    <row r="1" spans="5:12" ht="33.75" customHeight="1" x14ac:dyDescent="0.4">
      <c r="E1" s="537" t="s">
        <v>271</v>
      </c>
      <c r="F1" s="538"/>
      <c r="G1" s="538"/>
      <c r="H1" s="538"/>
      <c r="I1" s="539"/>
    </row>
    <row r="2" spans="5:12" ht="15.5" x14ac:dyDescent="0.4">
      <c r="E2" s="101" t="s">
        <v>104</v>
      </c>
      <c r="F2" s="424" t="s">
        <v>184</v>
      </c>
      <c r="G2" s="424"/>
      <c r="H2" s="424" t="s">
        <v>183</v>
      </c>
      <c r="I2" s="536"/>
    </row>
    <row r="3" spans="5:12" x14ac:dyDescent="0.25">
      <c r="E3" s="101"/>
      <c r="F3" s="24" t="s">
        <v>33</v>
      </c>
      <c r="G3" s="24" t="s">
        <v>182</v>
      </c>
      <c r="H3" s="24" t="s">
        <v>33</v>
      </c>
      <c r="I3" s="103" t="s">
        <v>182</v>
      </c>
    </row>
    <row r="4" spans="5:12" x14ac:dyDescent="0.25">
      <c r="E4" s="335" t="str">
        <f>'Baseline emission'!A19</f>
        <v>2022/01/01-2022/01/31</v>
      </c>
      <c r="F4" s="24">
        <v>302283</v>
      </c>
      <c r="G4" s="24">
        <v>45922</v>
      </c>
      <c r="H4" s="394" cm="1">
        <f t="array" aca="1" ref="H4" ca="1">INDIRECT('Reliability Check'!A4&amp;"!$C$165")</f>
        <v>62.8</v>
      </c>
      <c r="I4" s="395" cm="1">
        <f t="array" aca="1" ref="I4" ca="1">INDIRECT('Reliability Check'!A4&amp;"!$D$165")</f>
        <v>80.2</v>
      </c>
      <c r="K4" s="290"/>
      <c r="L4" s="290"/>
    </row>
    <row r="5" spans="5:12" x14ac:dyDescent="0.25">
      <c r="E5" s="335" t="str">
        <f>'Baseline emission'!A20</f>
        <v>2022/02/01-2022/02/28</v>
      </c>
      <c r="F5" s="24">
        <v>302283</v>
      </c>
      <c r="G5" s="24">
        <v>45986</v>
      </c>
      <c r="H5" s="394" cm="1">
        <f t="array" aca="1" ref="H5" ca="1">INDIRECT('Reliability Check'!A5&amp;"!$C$165")</f>
        <v>62.1</v>
      </c>
      <c r="I5" s="395" cm="1">
        <f t="array" aca="1" ref="I5" ca="1">INDIRECT('Reliability Check'!A5&amp;"!$D$165")</f>
        <v>79.5</v>
      </c>
      <c r="K5" s="290"/>
      <c r="L5" s="290"/>
    </row>
    <row r="6" spans="5:12" x14ac:dyDescent="0.25">
      <c r="E6" s="335" t="str">
        <f>'Baseline emission'!A21</f>
        <v>2022/03/01-2022/03/31</v>
      </c>
      <c r="F6" s="24">
        <v>302283</v>
      </c>
      <c r="G6" s="24">
        <v>45782</v>
      </c>
      <c r="H6" s="394" cm="1">
        <f t="array" aca="1" ref="H6" ca="1">INDIRECT('Reliability Check'!A6&amp;"!$C$165")</f>
        <v>62.7</v>
      </c>
      <c r="I6" s="395" cm="1">
        <f t="array" aca="1" ref="I6" ca="1">INDIRECT('Reliability Check'!A6&amp;"!$D$165")</f>
        <v>80</v>
      </c>
      <c r="K6" s="290"/>
      <c r="L6" s="290"/>
    </row>
    <row r="7" spans="5:12" x14ac:dyDescent="0.25">
      <c r="E7" s="335" t="str">
        <f>'Baseline emission'!A22</f>
        <v>2022/04/01-2022/04/30</v>
      </c>
      <c r="F7" s="24">
        <v>302283</v>
      </c>
      <c r="G7" s="24">
        <v>45704</v>
      </c>
      <c r="H7" s="394" cm="1">
        <f t="array" aca="1" ref="H7" ca="1">INDIRECT('Reliability Check'!A7&amp;"!$C$165")</f>
        <v>62.1</v>
      </c>
      <c r="I7" s="395" cm="1">
        <f t="array" aca="1" ref="I7" ca="1">INDIRECT('Reliability Check'!A7&amp;"!$D$165")</f>
        <v>78.900000000000006</v>
      </c>
      <c r="K7" s="290"/>
      <c r="L7" s="290"/>
    </row>
    <row r="8" spans="5:12" x14ac:dyDescent="0.25">
      <c r="E8" s="335" t="str">
        <f>'Baseline emission'!A23</f>
        <v>2022/05/01-2022/05/31</v>
      </c>
      <c r="F8" s="24">
        <v>302283</v>
      </c>
      <c r="G8" s="24">
        <v>45917</v>
      </c>
      <c r="H8" s="394" cm="1">
        <f t="array" aca="1" ref="H8" ca="1">INDIRECT('Reliability Check'!A8&amp;"!$C$165")</f>
        <v>61.9</v>
      </c>
      <c r="I8" s="395" cm="1">
        <f t="array" aca="1" ref="I8" ca="1">INDIRECT('Reliability Check'!A8&amp;"!$D$165")</f>
        <v>80</v>
      </c>
      <c r="K8" s="290"/>
      <c r="L8" s="290"/>
    </row>
    <row r="9" spans="5:12" x14ac:dyDescent="0.25">
      <c r="E9" s="335" t="str">
        <f>'Baseline emission'!A24</f>
        <v>2022/06/01-2022/06/30</v>
      </c>
      <c r="F9" s="24">
        <v>302283</v>
      </c>
      <c r="G9" s="24">
        <v>46162</v>
      </c>
      <c r="H9" s="394" cm="1">
        <f t="array" aca="1" ref="H9" ca="1">INDIRECT('Reliability Check'!A9&amp;"!$C$165")</f>
        <v>62.6</v>
      </c>
      <c r="I9" s="395" cm="1">
        <f t="array" aca="1" ref="I9" ca="1">INDIRECT('Reliability Check'!A9&amp;"!$D$165")</f>
        <v>80.400000000000006</v>
      </c>
      <c r="K9" s="290"/>
      <c r="L9" s="290"/>
    </row>
    <row r="10" spans="5:12" x14ac:dyDescent="0.25">
      <c r="E10" s="335" t="str">
        <f>'Baseline emission'!A25</f>
        <v>2022/07/01-2022/07/31</v>
      </c>
      <c r="F10" s="24">
        <v>302283</v>
      </c>
      <c r="G10" s="24">
        <v>46217</v>
      </c>
      <c r="H10" s="394" cm="1">
        <f t="array" aca="1" ref="H10" ca="1">INDIRECT('Reliability Check'!A10&amp;"!$C$165")</f>
        <v>62.5</v>
      </c>
      <c r="I10" s="395" cm="1">
        <f t="array" aca="1" ref="I10" ca="1">INDIRECT('Reliability Check'!A10&amp;"!$D$165")</f>
        <v>79.8</v>
      </c>
      <c r="K10" s="290"/>
      <c r="L10" s="290"/>
    </row>
    <row r="11" spans="5:12" x14ac:dyDescent="0.25">
      <c r="E11" s="335" t="str">
        <f>'Baseline emission'!A26</f>
        <v>2022/08/01-2022/08/31</v>
      </c>
      <c r="F11" s="24">
        <v>302283</v>
      </c>
      <c r="G11" s="24">
        <v>45617</v>
      </c>
      <c r="H11" s="394" cm="1">
        <f t="array" aca="1" ref="H11" ca="1">INDIRECT('Reliability Check'!A11&amp;"!$C$165")</f>
        <v>62.7</v>
      </c>
      <c r="I11" s="395" cm="1">
        <f t="array" aca="1" ref="I11" ca="1">INDIRECT('Reliability Check'!A11&amp;"!$D$165")</f>
        <v>80.5</v>
      </c>
      <c r="K11" s="290"/>
      <c r="L11" s="290"/>
    </row>
    <row r="12" spans="5:12" x14ac:dyDescent="0.25">
      <c r="E12" s="335" t="str">
        <f>'Baseline emission'!A27</f>
        <v>2022/09/01-2022/09/30</v>
      </c>
      <c r="F12" s="24">
        <v>302283</v>
      </c>
      <c r="G12" s="24">
        <v>46288</v>
      </c>
      <c r="H12" s="394" cm="1">
        <f t="array" aca="1" ref="H12" ca="1">INDIRECT('Reliability Check'!A12&amp;"!$C$165")</f>
        <v>62.3</v>
      </c>
      <c r="I12" s="395" cm="1">
        <f t="array" aca="1" ref="I12" ca="1">INDIRECT('Reliability Check'!A12&amp;"!$D$165")</f>
        <v>79.3</v>
      </c>
      <c r="K12" s="290"/>
      <c r="L12" s="290"/>
    </row>
    <row r="13" spans="5:12" x14ac:dyDescent="0.25">
      <c r="E13" s="335" t="str">
        <f>'Baseline emission'!A28</f>
        <v>2022/10/01-2022/10/31</v>
      </c>
      <c r="F13" s="24">
        <v>302283</v>
      </c>
      <c r="G13" s="24">
        <v>46031</v>
      </c>
      <c r="H13" s="394" cm="1">
        <f t="array" aca="1" ref="H13" ca="1">INDIRECT('Reliability Check'!A13&amp;"!$C$165")</f>
        <v>62.1</v>
      </c>
      <c r="I13" s="395" cm="1">
        <f t="array" aca="1" ref="I13" ca="1">INDIRECT('Reliability Check'!A13&amp;"!$D$165")</f>
        <v>80</v>
      </c>
      <c r="K13" s="290"/>
      <c r="L13" s="290"/>
    </row>
    <row r="14" spans="5:12" x14ac:dyDescent="0.25">
      <c r="E14" s="335" t="str">
        <f>'Baseline emission'!A29</f>
        <v>2022/11/01-2022/11/30</v>
      </c>
      <c r="F14" s="24">
        <v>302283</v>
      </c>
      <c r="G14" s="24">
        <v>46416</v>
      </c>
      <c r="H14" s="394" cm="1">
        <f t="array" aca="1" ref="H14" ca="1">INDIRECT('Reliability Check'!A14&amp;"!$C$165")</f>
        <v>62.2</v>
      </c>
      <c r="I14" s="395" cm="1">
        <f t="array" aca="1" ref="I14" ca="1">INDIRECT('Reliability Check'!A14&amp;"!$D$165")</f>
        <v>80.5</v>
      </c>
      <c r="K14" s="290"/>
      <c r="L14" s="290"/>
    </row>
    <row r="15" spans="5:12" x14ac:dyDescent="0.25">
      <c r="E15" s="335" t="str">
        <f>'Baseline emission'!A30</f>
        <v>2022/12/01-2022/12/31</v>
      </c>
      <c r="F15" s="24">
        <v>302283</v>
      </c>
      <c r="G15" s="24">
        <v>45514</v>
      </c>
      <c r="H15" s="394" cm="1">
        <f t="array" aca="1" ref="H15" ca="1">INDIRECT('Reliability Check'!A15&amp;"!$C$165")</f>
        <v>62</v>
      </c>
      <c r="I15" s="395" cm="1">
        <f t="array" aca="1" ref="I15" ca="1">INDIRECT('Reliability Check'!A15&amp;"!$D$165")</f>
        <v>78.5</v>
      </c>
      <c r="K15" s="290"/>
      <c r="L15" s="290"/>
    </row>
    <row r="16" spans="5:12" ht="13" thickBot="1" x14ac:dyDescent="0.3">
      <c r="E16" s="132" t="s">
        <v>185</v>
      </c>
      <c r="F16" s="171">
        <f>AVERAGE(F4:F15)</f>
        <v>302283</v>
      </c>
      <c r="G16" s="171">
        <f>AVERAGE(G4:G15)</f>
        <v>45963</v>
      </c>
      <c r="H16" s="377">
        <f ca="1">AVERAGE(H4:H15)</f>
        <v>62.333333333333343</v>
      </c>
      <c r="I16" s="378">
        <f ca="1">AVERAGE(I4:I15)</f>
        <v>79.8</v>
      </c>
    </row>
    <row r="17" spans="5:9" x14ac:dyDescent="0.25">
      <c r="H17" s="133"/>
      <c r="I17" s="133"/>
    </row>
    <row r="18" spans="5:9" ht="13" thickBot="1" x14ac:dyDescent="0.3"/>
    <row r="19" spans="5:9" ht="26.5" customHeight="1" x14ac:dyDescent="0.25">
      <c r="E19" s="537" t="s">
        <v>202</v>
      </c>
      <c r="F19" s="539"/>
    </row>
    <row r="20" spans="5:9" ht="15.5" x14ac:dyDescent="0.4">
      <c r="E20" s="101" t="s">
        <v>104</v>
      </c>
      <c r="F20" s="33" t="s">
        <v>270</v>
      </c>
    </row>
    <row r="21" spans="5:9" x14ac:dyDescent="0.25">
      <c r="E21" s="101" t="str">
        <f>E4</f>
        <v>2022/01/01-2022/01/31</v>
      </c>
      <c r="F21" s="329">
        <v>128.88</v>
      </c>
      <c r="G21" s="142"/>
    </row>
    <row r="22" spans="5:9" x14ac:dyDescent="0.25">
      <c r="E22" s="101" t="str">
        <f t="shared" ref="E22:E32" si="0">E5</f>
        <v>2022/02/01-2022/02/28</v>
      </c>
      <c r="F22" s="329">
        <v>116.29</v>
      </c>
      <c r="G22" s="142"/>
    </row>
    <row r="23" spans="5:9" x14ac:dyDescent="0.25">
      <c r="E23" s="101" t="str">
        <f t="shared" si="0"/>
        <v>2022/03/01-2022/03/31</v>
      </c>
      <c r="F23" s="329">
        <v>128.85999999999999</v>
      </c>
      <c r="G23" s="142"/>
    </row>
    <row r="24" spans="5:9" x14ac:dyDescent="0.25">
      <c r="E24" s="101" t="str">
        <f t="shared" si="0"/>
        <v>2022/04/01-2022/04/30</v>
      </c>
      <c r="F24" s="329">
        <v>125.08</v>
      </c>
      <c r="G24" s="142"/>
    </row>
    <row r="25" spans="5:9" x14ac:dyDescent="0.25">
      <c r="E25" s="101" t="str">
        <f t="shared" si="0"/>
        <v>2022/05/01-2022/05/31</v>
      </c>
      <c r="F25" s="329">
        <v>129.85</v>
      </c>
      <c r="G25" s="142"/>
    </row>
    <row r="26" spans="5:9" x14ac:dyDescent="0.25">
      <c r="E26" s="101" t="str">
        <f t="shared" si="0"/>
        <v>2022/06/01-2022/06/30</v>
      </c>
      <c r="F26" s="329">
        <v>125.18</v>
      </c>
      <c r="G26" s="142"/>
    </row>
    <row r="27" spans="5:9" x14ac:dyDescent="0.25">
      <c r="E27" s="101" t="str">
        <f t="shared" si="0"/>
        <v>2022/07/01-2022/07/31</v>
      </c>
      <c r="F27" s="329">
        <v>128.97</v>
      </c>
      <c r="G27" s="142"/>
    </row>
    <row r="28" spans="5:9" x14ac:dyDescent="0.25">
      <c r="E28" s="101" t="str">
        <f t="shared" si="0"/>
        <v>2022/08/01-2022/08/31</v>
      </c>
      <c r="F28" s="329">
        <v>128.89999999999998</v>
      </c>
      <c r="G28" s="142"/>
    </row>
    <row r="29" spans="5:9" x14ac:dyDescent="0.25">
      <c r="E29" s="101" t="str">
        <f t="shared" si="0"/>
        <v>2022/09/01-2022/09/30</v>
      </c>
      <c r="F29" s="329">
        <v>125.1</v>
      </c>
      <c r="G29" s="142"/>
    </row>
    <row r="30" spans="5:9" x14ac:dyDescent="0.25">
      <c r="E30" s="101" t="str">
        <f t="shared" si="0"/>
        <v>2022/10/01-2022/10/31</v>
      </c>
      <c r="F30" s="329">
        <v>129.04</v>
      </c>
      <c r="G30" s="142"/>
    </row>
    <row r="31" spans="5:9" x14ac:dyDescent="0.25">
      <c r="E31" s="101" t="str">
        <f t="shared" si="0"/>
        <v>2022/11/01-2022/11/30</v>
      </c>
      <c r="F31" s="329">
        <v>125.76</v>
      </c>
      <c r="G31" s="142"/>
    </row>
    <row r="32" spans="5:9" x14ac:dyDescent="0.25">
      <c r="E32" s="101" t="str">
        <f t="shared" si="0"/>
        <v>2022/12/01-2022/12/31</v>
      </c>
      <c r="F32" s="329">
        <v>129.12</v>
      </c>
      <c r="G32" s="142"/>
    </row>
    <row r="33" spans="1:21" ht="13" thickBot="1" x14ac:dyDescent="0.3">
      <c r="E33" s="132" t="s">
        <v>105</v>
      </c>
      <c r="F33" s="379">
        <f>SUM(F21:F32)</f>
        <v>1521.0299999999997</v>
      </c>
      <c r="G33" s="143"/>
    </row>
    <row r="35" spans="1:21" x14ac:dyDescent="0.25">
      <c r="H35" s="142"/>
    </row>
    <row r="37" spans="1:21" ht="13.5" thickBot="1" x14ac:dyDescent="0.3">
      <c r="R37" s="147"/>
      <c r="S37" s="147"/>
    </row>
    <row r="38" spans="1:21" ht="65.5" x14ac:dyDescent="0.4">
      <c r="A38" s="122" t="s">
        <v>104</v>
      </c>
      <c r="B38" s="35" t="s">
        <v>151</v>
      </c>
      <c r="C38" s="35" t="s">
        <v>152</v>
      </c>
      <c r="D38" s="36" t="s">
        <v>295</v>
      </c>
      <c r="J38" s="302" t="s">
        <v>104</v>
      </c>
      <c r="K38" s="303" t="s">
        <v>286</v>
      </c>
      <c r="L38" s="303" t="s">
        <v>287</v>
      </c>
      <c r="M38" s="303" t="s">
        <v>288</v>
      </c>
      <c r="N38" s="303" t="s">
        <v>289</v>
      </c>
      <c r="O38" s="303" t="s">
        <v>290</v>
      </c>
      <c r="P38" s="304" t="s">
        <v>291</v>
      </c>
      <c r="Q38" s="303" t="s">
        <v>292</v>
      </c>
      <c r="R38" s="303" t="s">
        <v>293</v>
      </c>
      <c r="S38" s="303" t="s">
        <v>311</v>
      </c>
      <c r="T38" s="303" t="s">
        <v>294</v>
      </c>
      <c r="U38" s="315" t="s">
        <v>320</v>
      </c>
    </row>
    <row r="39" spans="1:21" x14ac:dyDescent="0.25">
      <c r="A39" s="101" t="str">
        <f>E4</f>
        <v>2022/01/01-2022/01/31</v>
      </c>
      <c r="B39" s="124">
        <v>2711638.5500000003</v>
      </c>
      <c r="C39" s="311">
        <v>2657404.1799999997</v>
      </c>
      <c r="D39" s="332">
        <v>0</v>
      </c>
      <c r="E39" s="314"/>
      <c r="F39" s="314"/>
      <c r="G39" s="314"/>
      <c r="J39" s="101" t="str">
        <f>A39</f>
        <v>2022/01/01-2022/01/31</v>
      </c>
      <c r="K39" s="24">
        <v>37.700000000000003</v>
      </c>
      <c r="L39" s="291">
        <f>K39+273.15</f>
        <v>310.84999999999997</v>
      </c>
      <c r="M39" s="24">
        <f>101.325*1000</f>
        <v>101325</v>
      </c>
      <c r="N39" s="24">
        <v>16.04</v>
      </c>
      <c r="O39" s="121">
        <v>8314</v>
      </c>
      <c r="P39" s="123">
        <f>ROUND(M39*N39/L39/O39,2)/1000</f>
        <v>6.3000000000000003E-4</v>
      </c>
      <c r="Q39" s="286">
        <v>62.18</v>
      </c>
      <c r="R39" s="287">
        <f>B39</f>
        <v>2711638.5500000003</v>
      </c>
      <c r="S39" s="287">
        <f>D39</f>
        <v>0</v>
      </c>
      <c r="T39" s="316">
        <f>P39*Q39*R39/100</f>
        <v>1062.2410157457002</v>
      </c>
      <c r="U39" s="317">
        <f>T39*28</f>
        <v>29742.748440879608</v>
      </c>
    </row>
    <row r="40" spans="1:21" x14ac:dyDescent="0.25">
      <c r="A40" s="101" t="str">
        <f t="shared" ref="A40:A50" si="1">E5</f>
        <v>2022/02/01-2022/02/28</v>
      </c>
      <c r="B40" s="124">
        <v>2449797.63</v>
      </c>
      <c r="C40" s="311">
        <v>2400799.7600000002</v>
      </c>
      <c r="D40" s="332">
        <v>0</v>
      </c>
      <c r="E40" s="314"/>
      <c r="F40" s="314"/>
      <c r="G40" s="314"/>
      <c r="J40" s="101" t="str">
        <f t="shared" ref="J40:J50" si="2">A40</f>
        <v>2022/02/01-2022/02/28</v>
      </c>
      <c r="K40" s="24">
        <v>36.200000000000003</v>
      </c>
      <c r="L40" s="291">
        <f t="shared" ref="L40:L50" si="3">K40+273.15</f>
        <v>309.34999999999997</v>
      </c>
      <c r="M40" s="24">
        <f t="shared" ref="M40:M50" si="4">101.325*1000</f>
        <v>101325</v>
      </c>
      <c r="N40" s="24">
        <v>16.04</v>
      </c>
      <c r="O40" s="121">
        <v>8314</v>
      </c>
      <c r="P40" s="123">
        <f t="shared" ref="P40:P50" si="5">ROUND(M40*N40/L40/O40,2)/1000</f>
        <v>6.3000000000000003E-4</v>
      </c>
      <c r="Q40" s="286">
        <v>60.15</v>
      </c>
      <c r="R40" s="287">
        <f t="shared" ref="R40:R50" si="6">B40</f>
        <v>2449797.63</v>
      </c>
      <c r="S40" s="287">
        <f t="shared" ref="S40:S50" si="7">D40</f>
        <v>0</v>
      </c>
      <c r="T40" s="316">
        <f t="shared" ref="T40:T50" si="8">P40*Q40*R40/100</f>
        <v>928.33856290034998</v>
      </c>
      <c r="U40" s="317">
        <f t="shared" ref="U40:U50" si="9">T40*28</f>
        <v>25993.479761209801</v>
      </c>
    </row>
    <row r="41" spans="1:21" x14ac:dyDescent="0.25">
      <c r="A41" s="101" t="str">
        <f t="shared" si="1"/>
        <v>2022/03/01-2022/03/31</v>
      </c>
      <c r="B41" s="124">
        <v>2710829.57</v>
      </c>
      <c r="C41" s="311">
        <v>2656610.4899999998</v>
      </c>
      <c r="D41" s="332">
        <v>0</v>
      </c>
      <c r="E41" s="314"/>
      <c r="F41" s="314"/>
      <c r="G41" s="314"/>
      <c r="J41" s="101" t="str">
        <f t="shared" si="2"/>
        <v>2022/03/01-2022/03/31</v>
      </c>
      <c r="K41" s="24">
        <v>37.4</v>
      </c>
      <c r="L41" s="291">
        <f t="shared" si="3"/>
        <v>310.54999999999995</v>
      </c>
      <c r="M41" s="24">
        <f t="shared" si="4"/>
        <v>101325</v>
      </c>
      <c r="N41" s="24">
        <v>16.04</v>
      </c>
      <c r="O41" s="121">
        <v>8314</v>
      </c>
      <c r="P41" s="123">
        <f t="shared" si="5"/>
        <v>6.3000000000000003E-4</v>
      </c>
      <c r="Q41" s="286">
        <v>60.53</v>
      </c>
      <c r="R41" s="287">
        <f t="shared" si="6"/>
        <v>2710829.57</v>
      </c>
      <c r="S41" s="287">
        <f t="shared" si="7"/>
        <v>0</v>
      </c>
      <c r="T41" s="316">
        <f t="shared" si="8"/>
        <v>1033.7450373942299</v>
      </c>
      <c r="U41" s="317">
        <f t="shared" si="9"/>
        <v>28944.861047038437</v>
      </c>
    </row>
    <row r="42" spans="1:21" x14ac:dyDescent="0.25">
      <c r="A42" s="101" t="str">
        <f t="shared" si="1"/>
        <v>2022/04/01-2022/04/30</v>
      </c>
      <c r="B42" s="124">
        <v>2621861.2599999998</v>
      </c>
      <c r="C42" s="311">
        <v>2569425.23</v>
      </c>
      <c r="D42" s="332">
        <v>0</v>
      </c>
      <c r="E42" s="314"/>
      <c r="F42" s="314"/>
      <c r="G42" s="314"/>
      <c r="J42" s="101" t="str">
        <f t="shared" si="2"/>
        <v>2022/04/01-2022/04/30</v>
      </c>
      <c r="K42" s="24">
        <v>36.799999999999997</v>
      </c>
      <c r="L42" s="291">
        <f t="shared" si="3"/>
        <v>309.95</v>
      </c>
      <c r="M42" s="24">
        <f t="shared" si="4"/>
        <v>101325</v>
      </c>
      <c r="N42" s="24">
        <v>16.04</v>
      </c>
      <c r="O42" s="121">
        <v>8314</v>
      </c>
      <c r="P42" s="123">
        <f t="shared" si="5"/>
        <v>6.3000000000000003E-4</v>
      </c>
      <c r="Q42" s="286">
        <v>61.91</v>
      </c>
      <c r="R42" s="287">
        <f t="shared" si="6"/>
        <v>2621861.2599999998</v>
      </c>
      <c r="S42" s="287">
        <f t="shared" si="7"/>
        <v>0</v>
      </c>
      <c r="T42" s="316">
        <f t="shared" si="8"/>
        <v>1022.6124128215798</v>
      </c>
      <c r="U42" s="317">
        <f t="shared" si="9"/>
        <v>28633.147559004236</v>
      </c>
    </row>
    <row r="43" spans="1:21" x14ac:dyDescent="0.25">
      <c r="A43" s="101" t="str">
        <f t="shared" si="1"/>
        <v>2022/05/01-2022/05/31</v>
      </c>
      <c r="B43" s="124">
        <v>2711138.63</v>
      </c>
      <c r="C43" s="311">
        <v>2656912.7000000016</v>
      </c>
      <c r="D43" s="332">
        <v>0</v>
      </c>
      <c r="E43" s="314"/>
      <c r="F43" s="314"/>
      <c r="G43" s="314"/>
      <c r="J43" s="101" t="str">
        <f t="shared" si="2"/>
        <v>2022/05/01-2022/05/31</v>
      </c>
      <c r="K43" s="24">
        <v>37.299999999999997</v>
      </c>
      <c r="L43" s="291">
        <f t="shared" si="3"/>
        <v>310.45</v>
      </c>
      <c r="M43" s="24">
        <f t="shared" si="4"/>
        <v>101325</v>
      </c>
      <c r="N43" s="24">
        <v>16.04</v>
      </c>
      <c r="O43" s="121">
        <v>8314</v>
      </c>
      <c r="P43" s="123">
        <f t="shared" si="5"/>
        <v>6.3000000000000003E-4</v>
      </c>
      <c r="Q43" s="287">
        <v>61</v>
      </c>
      <c r="R43" s="287">
        <f t="shared" si="6"/>
        <v>2711138.63</v>
      </c>
      <c r="S43" s="287">
        <f t="shared" si="7"/>
        <v>0</v>
      </c>
      <c r="T43" s="316">
        <f t="shared" si="8"/>
        <v>1041.890575509</v>
      </c>
      <c r="U43" s="317">
        <f t="shared" si="9"/>
        <v>29172.936114251999</v>
      </c>
    </row>
    <row r="44" spans="1:21" x14ac:dyDescent="0.25">
      <c r="A44" s="101" t="str">
        <f t="shared" si="1"/>
        <v>2022/06/01-2022/06/30</v>
      </c>
      <c r="B44" s="124">
        <v>2626341.6300000004</v>
      </c>
      <c r="C44" s="311">
        <v>2573813.8599999994</v>
      </c>
      <c r="D44" s="332">
        <v>0</v>
      </c>
      <c r="E44" s="314"/>
      <c r="F44" s="314"/>
      <c r="G44" s="314"/>
      <c r="J44" s="101" t="str">
        <f t="shared" si="2"/>
        <v>2022/06/01-2022/06/30</v>
      </c>
      <c r="K44" s="24">
        <v>35.1</v>
      </c>
      <c r="L44" s="291">
        <f t="shared" si="3"/>
        <v>308.25</v>
      </c>
      <c r="M44" s="24">
        <f t="shared" si="4"/>
        <v>101325</v>
      </c>
      <c r="N44" s="24">
        <v>16.04</v>
      </c>
      <c r="O44" s="121">
        <v>8314</v>
      </c>
      <c r="P44" s="123">
        <f t="shared" si="5"/>
        <v>6.3000000000000003E-4</v>
      </c>
      <c r="Q44" s="286">
        <v>61.38</v>
      </c>
      <c r="R44" s="287">
        <f t="shared" si="6"/>
        <v>2626341.6300000004</v>
      </c>
      <c r="S44" s="287">
        <f t="shared" si="7"/>
        <v>0</v>
      </c>
      <c r="T44" s="316">
        <f t="shared" si="8"/>
        <v>1015.5905502712203</v>
      </c>
      <c r="U44" s="317">
        <f t="shared" si="9"/>
        <v>28436.535407594169</v>
      </c>
    </row>
    <row r="45" spans="1:21" x14ac:dyDescent="0.25">
      <c r="A45" s="101" t="str">
        <f t="shared" si="1"/>
        <v>2022/07/01-2022/07/31</v>
      </c>
      <c r="B45" s="124">
        <v>2714057.0500000003</v>
      </c>
      <c r="C45" s="311">
        <v>2659778.5499999993</v>
      </c>
      <c r="D45" s="332">
        <v>0</v>
      </c>
      <c r="E45" s="314"/>
      <c r="F45" s="314"/>
      <c r="G45" s="314"/>
      <c r="J45" s="101" t="str">
        <f t="shared" si="2"/>
        <v>2022/07/01-2022/07/31</v>
      </c>
      <c r="K45" s="24">
        <v>37.5</v>
      </c>
      <c r="L45" s="291">
        <f t="shared" si="3"/>
        <v>310.64999999999998</v>
      </c>
      <c r="M45" s="24">
        <f t="shared" si="4"/>
        <v>101325</v>
      </c>
      <c r="N45" s="24">
        <v>16.04</v>
      </c>
      <c r="O45" s="121">
        <v>8314</v>
      </c>
      <c r="P45" s="123">
        <f t="shared" si="5"/>
        <v>6.3000000000000003E-4</v>
      </c>
      <c r="Q45" s="286">
        <v>61.44</v>
      </c>
      <c r="R45" s="287">
        <f t="shared" si="6"/>
        <v>2714057.0500000003</v>
      </c>
      <c r="S45" s="287">
        <f t="shared" si="7"/>
        <v>0</v>
      </c>
      <c r="T45" s="316">
        <f t="shared" si="8"/>
        <v>1050.5354904576002</v>
      </c>
      <c r="U45" s="317">
        <f t="shared" si="9"/>
        <v>29414.993732812807</v>
      </c>
    </row>
    <row r="46" spans="1:21" x14ac:dyDescent="0.25">
      <c r="A46" s="101" t="str">
        <f t="shared" si="1"/>
        <v>2022/08/01-2022/08/31</v>
      </c>
      <c r="B46" s="124">
        <v>2708927.19</v>
      </c>
      <c r="C46" s="311">
        <v>2654747.5500000003</v>
      </c>
      <c r="D46" s="332">
        <v>0</v>
      </c>
      <c r="E46" s="314"/>
      <c r="F46" s="314"/>
      <c r="G46" s="314"/>
      <c r="J46" s="101" t="str">
        <f t="shared" si="2"/>
        <v>2022/08/01-2022/08/31</v>
      </c>
      <c r="K46" s="24">
        <v>35.6</v>
      </c>
      <c r="L46" s="291">
        <f t="shared" si="3"/>
        <v>308.75</v>
      </c>
      <c r="M46" s="24">
        <f t="shared" si="4"/>
        <v>101325</v>
      </c>
      <c r="N46" s="24">
        <v>16.04</v>
      </c>
      <c r="O46" s="121">
        <v>8314</v>
      </c>
      <c r="P46" s="123">
        <f t="shared" si="5"/>
        <v>6.3000000000000003E-4</v>
      </c>
      <c r="Q46" s="286">
        <v>60.51</v>
      </c>
      <c r="R46" s="287">
        <f t="shared" si="6"/>
        <v>2708927.19</v>
      </c>
      <c r="S46" s="287">
        <f t="shared" si="7"/>
        <v>0</v>
      </c>
      <c r="T46" s="316">
        <f t="shared" si="8"/>
        <v>1032.6782608814701</v>
      </c>
      <c r="U46" s="317">
        <f t="shared" si="9"/>
        <v>28914.991304681163</v>
      </c>
    </row>
    <row r="47" spans="1:21" x14ac:dyDescent="0.25">
      <c r="A47" s="101" t="str">
        <f t="shared" si="1"/>
        <v>2022/09/01-2022/09/30</v>
      </c>
      <c r="B47" s="124">
        <v>2626742.29</v>
      </c>
      <c r="C47" s="311">
        <v>2574206.65</v>
      </c>
      <c r="D47" s="332">
        <v>0</v>
      </c>
      <c r="E47" s="314"/>
      <c r="F47" s="314"/>
      <c r="G47" s="314"/>
      <c r="J47" s="101" t="str">
        <f t="shared" si="2"/>
        <v>2022/09/01-2022/09/30</v>
      </c>
      <c r="K47" s="24">
        <v>36.299999999999997</v>
      </c>
      <c r="L47" s="291">
        <f t="shared" si="3"/>
        <v>309.45</v>
      </c>
      <c r="M47" s="24">
        <f t="shared" si="4"/>
        <v>101325</v>
      </c>
      <c r="N47" s="24">
        <v>16.04</v>
      </c>
      <c r="O47" s="121">
        <v>8314</v>
      </c>
      <c r="P47" s="123">
        <f t="shared" si="5"/>
        <v>6.3000000000000003E-4</v>
      </c>
      <c r="Q47" s="286">
        <v>62.22</v>
      </c>
      <c r="R47" s="287">
        <f t="shared" si="6"/>
        <v>2626742.29</v>
      </c>
      <c r="S47" s="287">
        <f t="shared" si="7"/>
        <v>0</v>
      </c>
      <c r="T47" s="316">
        <f t="shared" si="8"/>
        <v>1029.6462032879399</v>
      </c>
      <c r="U47" s="317">
        <f t="shared" si="9"/>
        <v>28830.093692062317</v>
      </c>
    </row>
    <row r="48" spans="1:21" x14ac:dyDescent="0.25">
      <c r="A48" s="101" t="str">
        <f t="shared" si="1"/>
        <v>2022/10/01-2022/10/31</v>
      </c>
      <c r="B48" s="124">
        <v>2711956.8099999996</v>
      </c>
      <c r="C48" s="311">
        <v>2657715.2299999991</v>
      </c>
      <c r="D48" s="332">
        <v>0</v>
      </c>
      <c r="E48" s="314"/>
      <c r="F48" s="314"/>
      <c r="G48" s="314"/>
      <c r="J48" s="101" t="str">
        <f t="shared" si="2"/>
        <v>2022/10/01-2022/10/31</v>
      </c>
      <c r="K48" s="24">
        <v>36.4</v>
      </c>
      <c r="L48" s="291">
        <f t="shared" si="3"/>
        <v>309.54999999999995</v>
      </c>
      <c r="M48" s="24">
        <f t="shared" si="4"/>
        <v>101325</v>
      </c>
      <c r="N48" s="24">
        <v>16.04</v>
      </c>
      <c r="O48" s="121">
        <v>8314</v>
      </c>
      <c r="P48" s="123">
        <f t="shared" si="5"/>
        <v>6.3000000000000003E-4</v>
      </c>
      <c r="Q48" s="286">
        <v>61.7</v>
      </c>
      <c r="R48" s="287">
        <f t="shared" si="6"/>
        <v>2711956.8099999996</v>
      </c>
      <c r="S48" s="287">
        <f t="shared" si="7"/>
        <v>0</v>
      </c>
      <c r="T48" s="316">
        <f t="shared" si="8"/>
        <v>1054.1647316151</v>
      </c>
      <c r="U48" s="317">
        <f t="shared" si="9"/>
        <v>29516.612485222799</v>
      </c>
    </row>
    <row r="49" spans="1:23" x14ac:dyDescent="0.25">
      <c r="A49" s="101" t="str">
        <f t="shared" si="1"/>
        <v>2022/11/01-2022/11/30</v>
      </c>
      <c r="B49" s="124">
        <v>2628611.9900000002</v>
      </c>
      <c r="C49" s="311">
        <v>2576038.2999999998</v>
      </c>
      <c r="D49" s="332">
        <v>0</v>
      </c>
      <c r="E49" s="314"/>
      <c r="F49" s="314"/>
      <c r="G49" s="314"/>
      <c r="J49" s="101" t="str">
        <f t="shared" si="2"/>
        <v>2022/11/01-2022/11/30</v>
      </c>
      <c r="K49" s="394">
        <v>37</v>
      </c>
      <c r="L49" s="291">
        <f t="shared" si="3"/>
        <v>310.14999999999998</v>
      </c>
      <c r="M49" s="24">
        <f t="shared" si="4"/>
        <v>101325</v>
      </c>
      <c r="N49" s="24">
        <v>16.04</v>
      </c>
      <c r="O49" s="121">
        <v>8314</v>
      </c>
      <c r="P49" s="123">
        <f t="shared" si="5"/>
        <v>6.3000000000000003E-4</v>
      </c>
      <c r="Q49" s="286">
        <v>60.96</v>
      </c>
      <c r="R49" s="287">
        <f t="shared" si="6"/>
        <v>2628611.9900000002</v>
      </c>
      <c r="S49" s="287">
        <f t="shared" si="7"/>
        <v>0</v>
      </c>
      <c r="T49" s="316">
        <f t="shared" si="8"/>
        <v>1009.5131775355202</v>
      </c>
      <c r="U49" s="317">
        <f t="shared" si="9"/>
        <v>28266.368970994565</v>
      </c>
    </row>
    <row r="50" spans="1:23" x14ac:dyDescent="0.25">
      <c r="A50" s="101" t="str">
        <f t="shared" si="1"/>
        <v>2022/12/01-2022/12/31</v>
      </c>
      <c r="B50" s="124">
        <v>2707968.57</v>
      </c>
      <c r="C50" s="311">
        <v>2653809.1499999994</v>
      </c>
      <c r="D50" s="332">
        <v>0</v>
      </c>
      <c r="E50" s="314"/>
      <c r="F50" s="314"/>
      <c r="G50" s="314"/>
      <c r="J50" s="101" t="str">
        <f t="shared" si="2"/>
        <v>2022/12/01-2022/12/31</v>
      </c>
      <c r="K50" s="24">
        <v>35.799999999999997</v>
      </c>
      <c r="L50" s="291">
        <f t="shared" si="3"/>
        <v>308.95</v>
      </c>
      <c r="M50" s="24">
        <f t="shared" si="4"/>
        <v>101325</v>
      </c>
      <c r="N50" s="24">
        <v>16.04</v>
      </c>
      <c r="O50" s="121">
        <v>8314</v>
      </c>
      <c r="P50" s="123">
        <f t="shared" si="5"/>
        <v>6.3000000000000003E-4</v>
      </c>
      <c r="Q50" s="286">
        <v>60.39</v>
      </c>
      <c r="R50" s="287">
        <f t="shared" si="6"/>
        <v>2707968.57</v>
      </c>
      <c r="S50" s="287">
        <f t="shared" si="7"/>
        <v>0</v>
      </c>
      <c r="T50" s="316">
        <f t="shared" si="8"/>
        <v>1030.26559823649</v>
      </c>
      <c r="U50" s="317">
        <f t="shared" si="9"/>
        <v>28847.436750621717</v>
      </c>
    </row>
    <row r="51" spans="1:23" ht="13" thickBot="1" x14ac:dyDescent="0.3">
      <c r="A51" s="132" t="s">
        <v>105</v>
      </c>
      <c r="B51" s="331">
        <f>SUM(B39:B50)</f>
        <v>31929871.170000002</v>
      </c>
      <c r="C51" s="331">
        <f>SUM(C39:C50)</f>
        <v>31291261.649999999</v>
      </c>
      <c r="D51" s="333">
        <f>SUM(D39:D50)</f>
        <v>0</v>
      </c>
      <c r="E51" s="314"/>
      <c r="F51" s="314"/>
      <c r="G51" s="314"/>
      <c r="J51" s="132" t="s">
        <v>285</v>
      </c>
      <c r="K51" s="136"/>
      <c r="L51" s="385">
        <f>AVERAGE(L39:L50)</f>
        <v>309.74166666666662</v>
      </c>
      <c r="M51" s="136"/>
      <c r="N51" s="136"/>
      <c r="O51" s="136"/>
      <c r="P51" s="136"/>
      <c r="Q51" s="385">
        <f>AVERAGE(Q39:Q50)</f>
        <v>61.197499999999998</v>
      </c>
      <c r="R51" s="134">
        <f>SUM(R39:R50)</f>
        <v>31929871.170000002</v>
      </c>
      <c r="S51" s="134">
        <f>SUM(S39:S50)</f>
        <v>0</v>
      </c>
      <c r="T51" s="134">
        <f>SUM(T39:T50)</f>
        <v>12311.221616656199</v>
      </c>
      <c r="U51" s="380">
        <f>INT(SUM(U39:U50))</f>
        <v>344714</v>
      </c>
      <c r="V51" s="269"/>
    </row>
    <row r="52" spans="1:23" x14ac:dyDescent="0.25">
      <c r="B52" s="143"/>
      <c r="T52" s="146"/>
      <c r="U52" s="146"/>
      <c r="V52" s="289"/>
    </row>
    <row r="53" spans="1:23" ht="13" thickBot="1" x14ac:dyDescent="0.3">
      <c r="C53" s="143"/>
      <c r="P53" s="151"/>
      <c r="T53" s="127"/>
      <c r="W53" s="143"/>
    </row>
    <row r="54" spans="1:23" ht="15.5" x14ac:dyDescent="0.4">
      <c r="B54" s="151"/>
      <c r="C54" s="151"/>
      <c r="D54" s="151"/>
      <c r="T54" s="365" t="s">
        <v>343</v>
      </c>
      <c r="U54" s="366">
        <f ca="1">'Baseline emission'!B87</f>
        <v>337651</v>
      </c>
      <c r="V54" s="367" t="s">
        <v>252</v>
      </c>
      <c r="W54" s="143"/>
    </row>
    <row r="55" spans="1:23" ht="15.5" x14ac:dyDescent="0.4">
      <c r="B55" s="151"/>
      <c r="C55" s="151"/>
      <c r="D55" s="151"/>
      <c r="T55" s="368" t="s">
        <v>344</v>
      </c>
      <c r="U55" s="363">
        <f>'Project emission'!B80</f>
        <v>18281</v>
      </c>
      <c r="V55" s="369" t="s">
        <v>252</v>
      </c>
    </row>
    <row r="56" spans="1:23" ht="15.5" x14ac:dyDescent="0.4">
      <c r="B56" s="151"/>
      <c r="C56" s="151"/>
      <c r="D56" s="330"/>
      <c r="Q56" s="288"/>
      <c r="T56" s="368" t="s">
        <v>345</v>
      </c>
      <c r="U56" s="364">
        <f ca="1">U54-U55</f>
        <v>319370</v>
      </c>
      <c r="V56" s="369" t="s">
        <v>252</v>
      </c>
    </row>
    <row r="57" spans="1:23" ht="16" thickBot="1" x14ac:dyDescent="0.45">
      <c r="B57" s="151"/>
      <c r="C57" s="151"/>
      <c r="D57" s="151"/>
      <c r="T57" s="370" t="s">
        <v>346</v>
      </c>
      <c r="U57" s="371">
        <f>U51</f>
        <v>344714</v>
      </c>
      <c r="V57" s="372" t="s">
        <v>252</v>
      </c>
    </row>
    <row r="58" spans="1:23" x14ac:dyDescent="0.25">
      <c r="B58" s="151"/>
      <c r="C58" s="151"/>
      <c r="D58" s="151"/>
      <c r="T58" s="146"/>
    </row>
    <row r="59" spans="1:23" x14ac:dyDescent="0.25">
      <c r="B59" s="151"/>
      <c r="C59" s="151"/>
      <c r="D59" s="151"/>
    </row>
    <row r="60" spans="1:23" x14ac:dyDescent="0.25">
      <c r="B60" s="151"/>
      <c r="C60" s="151"/>
      <c r="D60" s="151"/>
    </row>
    <row r="61" spans="1:23" ht="13" x14ac:dyDescent="0.25">
      <c r="B61" s="151"/>
      <c r="C61" s="151"/>
      <c r="D61" s="151"/>
      <c r="P61" s="148"/>
      <c r="Q61" s="148"/>
    </row>
    <row r="62" spans="1:23" x14ac:dyDescent="0.25">
      <c r="B62" s="151"/>
      <c r="C62" s="151"/>
      <c r="D62" s="151"/>
    </row>
    <row r="63" spans="1:23" x14ac:dyDescent="0.25">
      <c r="B63" s="151"/>
      <c r="C63" s="151"/>
      <c r="D63" s="151"/>
    </row>
    <row r="64" spans="1:23" x14ac:dyDescent="0.25">
      <c r="B64" s="151"/>
      <c r="C64" s="151"/>
      <c r="D64" s="151"/>
    </row>
    <row r="65" spans="2:19" x14ac:dyDescent="0.25">
      <c r="B65" s="143"/>
    </row>
    <row r="68" spans="2:19" x14ac:dyDescent="0.25">
      <c r="P68" s="149"/>
    </row>
    <row r="80" spans="2:19" x14ac:dyDescent="0.25">
      <c r="R80" s="86"/>
      <c r="S80" s="86"/>
    </row>
    <row r="85" spans="6:8" x14ac:dyDescent="0.25">
      <c r="F85" s="269"/>
      <c r="G85" s="269"/>
      <c r="H85" s="269"/>
    </row>
    <row r="87" spans="6:8" x14ac:dyDescent="0.25">
      <c r="F87" s="4"/>
      <c r="G87" s="86"/>
      <c r="H87" s="86"/>
    </row>
    <row r="89" spans="6:8" x14ac:dyDescent="0.25">
      <c r="F89" s="86"/>
      <c r="G89" s="87"/>
      <c r="H89" s="87"/>
    </row>
  </sheetData>
  <mergeCells count="4">
    <mergeCell ref="F2:G2"/>
    <mergeCell ref="H2:I2"/>
    <mergeCell ref="E1:I1"/>
    <mergeCell ref="E19:F19"/>
  </mergeCells>
  <phoneticPr fontId="36" type="noConversion"/>
  <conditionalFormatting sqref="U56">
    <cfRule type="cellIs" dxfId="0" priority="1" operator="lessThan">
      <formula>$U$57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W51"/>
  <sheetViews>
    <sheetView topLeftCell="A22" zoomScale="85" zoomScaleNormal="85" workbookViewId="0">
      <selection activeCell="M48" sqref="M48"/>
    </sheetView>
  </sheetViews>
  <sheetFormatPr defaultColWidth="8.81640625" defaultRowHeight="12.5" x14ac:dyDescent="0.25"/>
  <cols>
    <col min="1" max="1" width="25.81640625" style="41" customWidth="1"/>
    <col min="2" max="2" width="15.54296875" style="41" customWidth="1"/>
    <col min="3" max="3" width="9" style="41" customWidth="1"/>
    <col min="4" max="4" width="11.81640625" style="41" customWidth="1"/>
    <col min="5" max="5" width="9.81640625" style="41" customWidth="1"/>
    <col min="6" max="6" width="10.1796875" style="41" bestFit="1" customWidth="1"/>
    <col min="7" max="8" width="9.81640625" style="41" customWidth="1"/>
    <col min="9" max="9" width="8.81640625" style="41"/>
    <col min="10" max="10" width="9.81640625" style="41" customWidth="1"/>
    <col min="11" max="11" width="13.453125" style="41" customWidth="1"/>
    <col min="12" max="12" width="9.54296875" style="41" customWidth="1"/>
    <col min="13" max="13" width="9.81640625" style="41" customWidth="1"/>
    <col min="14" max="14" width="5.1796875" style="41" customWidth="1"/>
    <col min="15" max="15" width="8.453125" style="41" customWidth="1"/>
    <col min="16" max="16" width="12.54296875" style="41" customWidth="1"/>
    <col min="17" max="17" width="12.1796875" style="41" customWidth="1"/>
    <col min="18" max="18" width="11.54296875" style="41" customWidth="1"/>
    <col min="19" max="19" width="10.453125" style="41" customWidth="1"/>
    <col min="20" max="21" width="11.453125" style="41" customWidth="1"/>
    <col min="22" max="22" width="9.453125" style="41" customWidth="1"/>
    <col min="23" max="23" width="5.1796875" style="41" customWidth="1"/>
    <col min="24" max="24" width="9" style="41" customWidth="1"/>
    <col min="25" max="25" width="8.1796875" style="41" customWidth="1"/>
    <col min="26" max="26" width="10.1796875" style="41" customWidth="1"/>
    <col min="27" max="27" width="8.1796875" style="41" customWidth="1"/>
    <col min="28" max="28" width="11.1796875" style="41" customWidth="1"/>
    <col min="29" max="29" width="10" style="41" customWidth="1"/>
    <col min="30" max="30" width="11.54296875" style="41" customWidth="1"/>
    <col min="31" max="31" width="14.1796875" style="41" customWidth="1"/>
    <col min="32" max="32" width="4.81640625" style="41" customWidth="1"/>
    <col min="33" max="33" width="7.1796875" style="41" customWidth="1"/>
    <col min="34" max="34" width="8.1796875" style="41" customWidth="1"/>
    <col min="35" max="35" width="9.54296875" style="41" customWidth="1"/>
    <col min="36" max="36" width="10.54296875" style="41" customWidth="1"/>
    <col min="37" max="37" width="8.81640625" style="41"/>
    <col min="38" max="38" width="8.453125" style="41" customWidth="1"/>
    <col min="39" max="39" width="9.54296875" style="41" customWidth="1"/>
    <col min="40" max="40" width="9.81640625" style="41" customWidth="1"/>
    <col min="41" max="41" width="4.81640625" style="41" customWidth="1"/>
    <col min="42" max="42" width="7.1796875" style="41" customWidth="1"/>
    <col min="43" max="43" width="9.81640625" style="41" customWidth="1"/>
    <col min="44" max="44" width="11.1796875" style="41" customWidth="1"/>
    <col min="45" max="45" width="9.54296875" style="41" customWidth="1"/>
    <col min="46" max="46" width="10.1796875" style="41" customWidth="1"/>
    <col min="47" max="47" width="9.453125" style="41" customWidth="1"/>
    <col min="48" max="48" width="11.1796875" style="41" customWidth="1"/>
    <col min="49" max="49" width="13.453125" style="41" customWidth="1"/>
    <col min="50" max="16384" width="8.81640625" style="41"/>
  </cols>
  <sheetData>
    <row r="1" spans="1:49" ht="18.5" x14ac:dyDescent="0.25">
      <c r="A1" s="544" t="s">
        <v>112</v>
      </c>
      <c r="B1" s="544"/>
      <c r="C1" s="544"/>
      <c r="D1" s="544"/>
      <c r="E1" s="544"/>
      <c r="F1" s="544"/>
      <c r="G1" s="39"/>
      <c r="H1" s="39"/>
      <c r="I1" s="39"/>
      <c r="J1" s="39"/>
      <c r="K1" s="39"/>
      <c r="L1" s="39"/>
      <c r="M1" s="39"/>
      <c r="N1" s="40"/>
      <c r="O1" s="40"/>
      <c r="P1" s="40"/>
      <c r="Q1" s="40"/>
      <c r="R1" s="40"/>
      <c r="S1" s="40"/>
      <c r="T1" s="40"/>
    </row>
    <row r="2" spans="1:49" ht="31.5" customHeight="1" x14ac:dyDescent="0.25">
      <c r="A2" s="42" t="s">
        <v>113</v>
      </c>
      <c r="B2" s="43" t="s">
        <v>114</v>
      </c>
      <c r="C2" s="545" t="s">
        <v>355</v>
      </c>
      <c r="D2" s="546"/>
      <c r="E2" s="546"/>
      <c r="F2" s="546"/>
      <c r="G2" s="546"/>
      <c r="H2" s="546"/>
      <c r="I2" s="546"/>
      <c r="J2" s="546"/>
      <c r="K2" s="547"/>
      <c r="L2" s="548" t="s">
        <v>357</v>
      </c>
      <c r="M2" s="549"/>
      <c r="N2" s="549"/>
      <c r="O2" s="549"/>
      <c r="P2" s="549"/>
      <c r="Q2" s="549"/>
      <c r="R2" s="549"/>
      <c r="S2" s="549"/>
      <c r="T2" s="550"/>
      <c r="U2" s="545" t="s">
        <v>359</v>
      </c>
      <c r="V2" s="546"/>
      <c r="W2" s="546"/>
      <c r="X2" s="546"/>
      <c r="Y2" s="546"/>
      <c r="Z2" s="546"/>
      <c r="AA2" s="546"/>
      <c r="AB2" s="546"/>
      <c r="AC2" s="547"/>
      <c r="AD2" s="548" t="s">
        <v>361</v>
      </c>
      <c r="AE2" s="549"/>
      <c r="AF2" s="549"/>
      <c r="AG2" s="549"/>
      <c r="AH2" s="549"/>
      <c r="AI2" s="549"/>
      <c r="AJ2" s="549"/>
      <c r="AK2" s="549"/>
      <c r="AL2" s="550"/>
      <c r="AM2" s="545" t="s">
        <v>363</v>
      </c>
      <c r="AN2" s="546"/>
      <c r="AO2" s="546"/>
      <c r="AP2" s="546"/>
      <c r="AQ2" s="546"/>
      <c r="AR2" s="546"/>
      <c r="AS2" s="546"/>
      <c r="AT2" s="546"/>
      <c r="AU2" s="547"/>
      <c r="AV2" s="540" t="s">
        <v>115</v>
      </c>
      <c r="AW2" s="542" t="s">
        <v>116</v>
      </c>
    </row>
    <row r="3" spans="1:49" ht="30.75" customHeight="1" x14ac:dyDescent="0.25">
      <c r="A3" s="42" t="s">
        <v>113</v>
      </c>
      <c r="B3" s="44" t="s">
        <v>117</v>
      </c>
      <c r="C3" s="45" t="s">
        <v>118</v>
      </c>
      <c r="D3" s="46" t="s">
        <v>119</v>
      </c>
      <c r="E3" s="46" t="s">
        <v>120</v>
      </c>
      <c r="F3" s="46" t="s">
        <v>121</v>
      </c>
      <c r="G3" s="46" t="s">
        <v>122</v>
      </c>
      <c r="H3" s="46" t="s">
        <v>123</v>
      </c>
      <c r="I3" s="46" t="s">
        <v>124</v>
      </c>
      <c r="J3" s="46" t="s">
        <v>125</v>
      </c>
      <c r="K3" s="46"/>
      <c r="L3" s="47" t="s">
        <v>118</v>
      </c>
      <c r="M3" s="48" t="s">
        <v>119</v>
      </c>
      <c r="N3" s="48" t="s">
        <v>120</v>
      </c>
      <c r="O3" s="48" t="s">
        <v>121</v>
      </c>
      <c r="P3" s="48" t="s">
        <v>122</v>
      </c>
      <c r="Q3" s="48" t="s">
        <v>123</v>
      </c>
      <c r="R3" s="48" t="s">
        <v>124</v>
      </c>
      <c r="S3" s="48" t="s">
        <v>125</v>
      </c>
      <c r="T3" s="48"/>
      <c r="U3" s="45" t="s">
        <v>118</v>
      </c>
      <c r="V3" s="46" t="s">
        <v>119</v>
      </c>
      <c r="W3" s="46" t="s">
        <v>120</v>
      </c>
      <c r="X3" s="46" t="s">
        <v>121</v>
      </c>
      <c r="Y3" s="46" t="s">
        <v>122</v>
      </c>
      <c r="Z3" s="46" t="s">
        <v>123</v>
      </c>
      <c r="AA3" s="46" t="s">
        <v>124</v>
      </c>
      <c r="AB3" s="46" t="s">
        <v>125</v>
      </c>
      <c r="AC3" s="46"/>
      <c r="AD3" s="47" t="s">
        <v>118</v>
      </c>
      <c r="AE3" s="48" t="s">
        <v>119</v>
      </c>
      <c r="AF3" s="48" t="s">
        <v>120</v>
      </c>
      <c r="AG3" s="48" t="s">
        <v>121</v>
      </c>
      <c r="AH3" s="48" t="s">
        <v>122</v>
      </c>
      <c r="AI3" s="48" t="s">
        <v>123</v>
      </c>
      <c r="AJ3" s="48" t="s">
        <v>124</v>
      </c>
      <c r="AK3" s="48" t="s">
        <v>125</v>
      </c>
      <c r="AL3" s="48"/>
      <c r="AM3" s="45" t="s">
        <v>118</v>
      </c>
      <c r="AN3" s="46" t="s">
        <v>119</v>
      </c>
      <c r="AO3" s="46" t="s">
        <v>120</v>
      </c>
      <c r="AP3" s="46" t="s">
        <v>121</v>
      </c>
      <c r="AQ3" s="46" t="s">
        <v>122</v>
      </c>
      <c r="AR3" s="46" t="s">
        <v>123</v>
      </c>
      <c r="AS3" s="46" t="s">
        <v>124</v>
      </c>
      <c r="AT3" s="46" t="s">
        <v>125</v>
      </c>
      <c r="AU3" s="46"/>
      <c r="AV3" s="541"/>
      <c r="AW3" s="543"/>
    </row>
    <row r="4" spans="1:49" ht="14.5" x14ac:dyDescent="0.25">
      <c r="A4" s="397">
        <v>2022.01</v>
      </c>
      <c r="B4" s="49">
        <f ca="1">F4+O4+X4+AG4+AP4</f>
        <v>348205</v>
      </c>
      <c r="C4" s="77">
        <f ca="1">SUM(INDIRECT($A4&amp;"!$B$6:$G$45"))</f>
        <v>8617.6</v>
      </c>
      <c r="D4" s="77">
        <f ca="1">_xlfn.STDEV.S(INDIRECT($A4&amp;"!$B$6:$G$45"))</f>
        <v>26.285300699834298</v>
      </c>
      <c r="E4" s="79">
        <f ca="1">COUNT(INDIRECT($A4&amp;"!$B$6:$G$45"))</f>
        <v>134</v>
      </c>
      <c r="F4" s="79" cm="1">
        <f t="array" aca="1" ref="F4" ca="1">INDIRECT($A4&amp;"!$D$155")+INDIRECT($A4&amp;"!$E$155")</f>
        <v>107234</v>
      </c>
      <c r="G4" s="78">
        <f ca="1">F4/B4</f>
        <v>0.30796226360908086</v>
      </c>
      <c r="H4" s="78">
        <f ca="1">G4*C4</f>
        <v>2653.8956028776151</v>
      </c>
      <c r="I4" s="78">
        <f ca="1">1-E4/F4</f>
        <v>0.99875039632952234</v>
      </c>
      <c r="J4" s="78">
        <f ca="1">D4*D4/E4</f>
        <v>5.1560972603038024</v>
      </c>
      <c r="K4" s="78">
        <f ca="1">G4*G4*I4*J4</f>
        <v>0.48839709478968785</v>
      </c>
      <c r="L4" s="81">
        <f ca="1">SUM(INDIRECT($A4&amp;"!$B$49:$G$73"))</f>
        <v>5017.2</v>
      </c>
      <c r="M4" s="81">
        <f ca="1">_xlfn.STDEV.S(INDIRECT($A4&amp;"!$B$49:$G$73"))</f>
        <v>24.506004992690134</v>
      </c>
      <c r="N4" s="83">
        <f ca="1">COUNT(INDIRECT($A4&amp;"!$B$49:$G$73"))</f>
        <v>76</v>
      </c>
      <c r="O4" s="83" cm="1">
        <f t="array" aca="1" ref="O4" ca="1">INDIRECT($A4&amp;"!$D$156")+INDIRECT($A4&amp;"!$E$156")</f>
        <v>59269</v>
      </c>
      <c r="P4" s="82">
        <f ca="1">O4/B4</f>
        <v>0.17021294926839076</v>
      </c>
      <c r="Q4" s="82">
        <f ca="1">P4*L4</f>
        <v>853.99240906937007</v>
      </c>
      <c r="R4" s="82">
        <f ca="1">1-N4/O4</f>
        <v>0.99871771077629112</v>
      </c>
      <c r="S4" s="82">
        <f ca="1">M4*M4/N4</f>
        <v>7.9018984302862343</v>
      </c>
      <c r="T4" s="82">
        <f ca="1">P4*P4*R4*S4</f>
        <v>0.22864377826547622</v>
      </c>
      <c r="U4" s="77">
        <f ca="1">SUM(INDIRECT($A4&amp;"!$B$77:$G$102"))</f>
        <v>5846.1000000000013</v>
      </c>
      <c r="V4" s="77">
        <f ca="1">_xlfn.STDEV.S(INDIRECT($A4&amp;"!$B$77:$G$102"))</f>
        <v>25.686148509066598</v>
      </c>
      <c r="W4" s="79">
        <f ca="1">COUNT(INDIRECT($A4&amp;"!$B$77:$G$102"))</f>
        <v>89</v>
      </c>
      <c r="X4" s="79" cm="1">
        <f t="array" aca="1" ref="X4" ca="1">INDIRECT($A4&amp;"!$D$157")+INDIRECT($A4&amp;"!$E$157")</f>
        <v>70656</v>
      </c>
      <c r="Y4" s="78">
        <f ca="1">X4/B4</f>
        <v>0.20291494952685918</v>
      </c>
      <c r="Z4" s="78">
        <f ca="1">Y4*U4</f>
        <v>1186.2610864289718</v>
      </c>
      <c r="AA4" s="78">
        <f ca="1">1-W4/X4</f>
        <v>0.99874037590579712</v>
      </c>
      <c r="AB4" s="78">
        <f ca="1">V4*V4/W4</f>
        <v>7.4132384857283622</v>
      </c>
      <c r="AC4" s="78">
        <f ca="1">Y4*Y4*AA4*AB4</f>
        <v>0.30485173271811949</v>
      </c>
      <c r="AD4" s="81">
        <f ca="1">SUM(INDIRECT($A4&amp;"!$B$106:$G$123"))</f>
        <v>3870.4999999999991</v>
      </c>
      <c r="AE4" s="81">
        <f ca="1">_xlfn.STDEV.S(INDIRECT($A4&amp;"!$B$106:$G$123"))</f>
        <v>26.338836485740273</v>
      </c>
      <c r="AF4" s="83">
        <f ca="1">COUNT(INDIRECT($A4&amp;"!$B$106:$G$123"))</f>
        <v>59</v>
      </c>
      <c r="AG4" s="83" cm="1">
        <f t="array" aca="1" ref="AG4" ca="1">INDIRECT($A4&amp;"!$D$158")+INDIRECT($A4&amp;"!$E$158")</f>
        <v>45420</v>
      </c>
      <c r="AH4" s="82">
        <f ca="1">AG4/B4</f>
        <v>0.13044040148762942</v>
      </c>
      <c r="AI4" s="82">
        <f ca="1">AH4*AD4</f>
        <v>504.86957395786953</v>
      </c>
      <c r="AJ4" s="82">
        <f ca="1">1-AF4/AG4</f>
        <v>0.99870101276970502</v>
      </c>
      <c r="AK4" s="82">
        <f ca="1">AE4*AE4/AF4</f>
        <v>11.758208600382424</v>
      </c>
      <c r="AL4" s="82">
        <f ca="1">AH4*AH4*AJ4*AK4</f>
        <v>0.199802493890332</v>
      </c>
      <c r="AM4" s="77">
        <f ca="1">SUM(INDIRECT($A4&amp;"!$B$127:$G$150"))</f>
        <v>5504.7000000000016</v>
      </c>
      <c r="AN4" s="77">
        <f ca="1">_xlfn.STDEV.S(INDIRECT($A4&amp;"!$B$127:$G$150"))</f>
        <v>26.412303342417776</v>
      </c>
      <c r="AO4" s="79">
        <f ca="1">COUNT(INDIRECT($A4&amp;"!$B$127:$G$150"))</f>
        <v>83</v>
      </c>
      <c r="AP4" s="79" cm="1">
        <f t="array" aca="1" ref="AP4" ca="1">INDIRECT($A4&amp;"!$D$159")+INDIRECT($A4&amp;"!$E$159")</f>
        <v>65626</v>
      </c>
      <c r="AQ4" s="78">
        <f ca="1">AP4/B4</f>
        <v>0.18846943610803982</v>
      </c>
      <c r="AR4" s="78">
        <f ca="1">AQ4*AM4</f>
        <v>1037.4677049439272</v>
      </c>
      <c r="AS4" s="78">
        <f ca="1">1-AO4/AP4</f>
        <v>0.99873525736750679</v>
      </c>
      <c r="AT4" s="78">
        <f ca="1">AN4*AN4/AO4</f>
        <v>8.4049369620710035</v>
      </c>
      <c r="AU4" s="78">
        <f ca="1">AQ4*AQ4*AS4*AT4</f>
        <v>0.29817189434384</v>
      </c>
      <c r="AV4" s="84">
        <f ca="1">H4+Q4+Z4+AI4+AR4</f>
        <v>6236.4863772777535</v>
      </c>
      <c r="AW4" s="80">
        <f ca="1">SQRT(K4+T4+AC4+AL4+AU4)</f>
        <v>1.2328288583609064</v>
      </c>
    </row>
    <row r="5" spans="1:49" ht="14.5" x14ac:dyDescent="0.25">
      <c r="A5" s="397">
        <v>2022.02</v>
      </c>
      <c r="B5" s="49">
        <f t="shared" ref="B5:B15" ca="1" si="0">F5+O5+X5+AG5+AP5</f>
        <v>348269</v>
      </c>
      <c r="C5" s="77">
        <f t="shared" ref="C5:C15" ca="1" si="1">SUM(INDIRECT($A5&amp;"!$B$6:$G$45"))</f>
        <v>8624.7999999999975</v>
      </c>
      <c r="D5" s="77">
        <f t="shared" ref="D5:D15" ca="1" si="2">_xlfn.STDEV.S(INDIRECT($A5&amp;"!$B$6:$G$45"))</f>
        <v>26.422997510528006</v>
      </c>
      <c r="E5" s="79">
        <f t="shared" ref="E5:E15" ca="1" si="3">COUNT(INDIRECT($A5&amp;"!$B$6:$G$45"))</f>
        <v>134</v>
      </c>
      <c r="F5" s="79" cm="1">
        <f t="array" aca="1" ref="F5" ca="1">INDIRECT($A5&amp;"!$D$155")+INDIRECT($A5&amp;"!$E$155")</f>
        <v>107251</v>
      </c>
      <c r="G5" s="78">
        <f t="shared" ref="G5:G15" ca="1" si="4">F5/B5</f>
        <v>0.30795448345962462</v>
      </c>
      <c r="H5" s="78">
        <f t="shared" ref="H5:H15" ca="1" si="5">G5*C5</f>
        <v>2656.0458289425696</v>
      </c>
      <c r="I5" s="78">
        <f t="shared" ref="I5:I15" ca="1" si="6">1-E5/F5</f>
        <v>0.99875059440005221</v>
      </c>
      <c r="J5" s="78">
        <f t="shared" ref="J5:J15" ca="1" si="7">D5*D5/E5</f>
        <v>5.2102596823982781</v>
      </c>
      <c r="K5" s="78">
        <f t="shared" ref="K5:K15" ca="1" si="8">G5*G5*I5*J5</f>
        <v>0.49350264276649863</v>
      </c>
      <c r="L5" s="81">
        <f t="shared" ref="L5:L15" ca="1" si="9">SUM(INDIRECT($A5&amp;"!$B$49:$G$73"))</f>
        <v>4992.8</v>
      </c>
      <c r="M5" s="81">
        <f t="shared" ref="M5:M15" ca="1" si="10">_xlfn.STDEV.S(INDIRECT($A5&amp;"!$B$49:$G$73"))</f>
        <v>24.063543073769416</v>
      </c>
      <c r="N5" s="83">
        <f t="shared" ref="N5:N15" ca="1" si="11">COUNT(INDIRECT($A5&amp;"!$B$49:$G$73"))</f>
        <v>76</v>
      </c>
      <c r="O5" s="83" cm="1">
        <f t="array" aca="1" ref="O5" ca="1">INDIRECT($A5&amp;"!$D$156")+INDIRECT($A5&amp;"!$E$156")</f>
        <v>59278</v>
      </c>
      <c r="P5" s="82">
        <f t="shared" ref="P5:P15" ca="1" si="12">O5/B5</f>
        <v>0.17020751200939505</v>
      </c>
      <c r="Q5" s="82">
        <f t="shared" ref="Q5:Q15" ca="1" si="13">P5*L5</f>
        <v>849.81206596050765</v>
      </c>
      <c r="R5" s="82">
        <f t="shared" ref="R5:R15" ca="1" si="14">1-N5/O5</f>
        <v>0.99871790546239747</v>
      </c>
      <c r="S5" s="82">
        <f t="shared" ref="S5:S15" ca="1" si="15">M5*M5/N5</f>
        <v>7.6191329639888963</v>
      </c>
      <c r="T5" s="82">
        <f t="shared" ref="T5:T15" ca="1" si="16">P5*P5*R5*S5</f>
        <v>0.22044783389596706</v>
      </c>
      <c r="U5" s="77">
        <f t="shared" ref="U5:U15" ca="1" si="17">SUM(INDIRECT($A5&amp;"!$B$77:$G$102"))</f>
        <v>5821.8999999999969</v>
      </c>
      <c r="V5" s="77">
        <f t="shared" ref="V5:V15" ca="1" si="18">_xlfn.STDEV.S(INDIRECT($A5&amp;"!$B$77:$G$102"))</f>
        <v>24.787485618947013</v>
      </c>
      <c r="W5" s="79">
        <f t="shared" ref="W5:W15" ca="1" si="19">COUNT(INDIRECT($A5&amp;"!$B$77:$G$102"))</f>
        <v>89</v>
      </c>
      <c r="X5" s="79" cm="1">
        <f t="array" aca="1" ref="X5" ca="1">INDIRECT($A5&amp;"!$D$157")+INDIRECT($A5&amp;"!$E$157")</f>
        <v>70670</v>
      </c>
      <c r="Y5" s="78">
        <f t="shared" ref="Y5:Y15" ca="1" si="20">X5/B5</f>
        <v>0.20291785947069652</v>
      </c>
      <c r="Z5" s="78">
        <f t="shared" ref="Z5:Z15" ca="1" si="21">Y5*U5</f>
        <v>1181.3674860524475</v>
      </c>
      <c r="AA5" s="78">
        <f t="shared" ref="AA5:AA15" ca="1" si="22">1-W5/X5</f>
        <v>0.99874062544219611</v>
      </c>
      <c r="AB5" s="78">
        <f t="shared" ref="AB5:AB15" ca="1" si="23">V5*V5/W5</f>
        <v>6.9035892506685954</v>
      </c>
      <c r="AC5" s="78">
        <f t="shared" ref="AC5:AC15" ca="1" si="24">Y5*Y5*AA5*AB5</f>
        <v>0.2839018382378915</v>
      </c>
      <c r="AD5" s="81">
        <f t="shared" ref="AD5:AD15" ca="1" si="25">SUM(INDIRECT($A5&amp;"!$B$106:$G$123"))</f>
        <v>3774.5000000000009</v>
      </c>
      <c r="AE5" s="81">
        <f t="shared" ref="AE5:AE15" ca="1" si="26">_xlfn.STDEV.S(INDIRECT($A5&amp;"!$B$106:$G$123"))</f>
        <v>26.222329213598126</v>
      </c>
      <c r="AF5" s="83">
        <f t="shared" ref="AF5:AF15" ca="1" si="27">COUNT(INDIRECT($A5&amp;"!$B$106:$G$123"))</f>
        <v>59</v>
      </c>
      <c r="AG5" s="83" cm="1">
        <f t="array" aca="1" ref="AG5" ca="1">INDIRECT($A5&amp;"!$D$158")+INDIRECT($A5&amp;"!$E$158")</f>
        <v>45428</v>
      </c>
      <c r="AH5" s="82">
        <f t="shared" ref="AH5:AH15" ca="1" si="28">AG5/B5</f>
        <v>0.13043940172682611</v>
      </c>
      <c r="AI5" s="82">
        <f t="shared" ref="AI5:AI15" ca="1" si="29">AH5*AD5</f>
        <v>492.34352181790524</v>
      </c>
      <c r="AJ5" s="82">
        <f t="shared" ref="AJ5:AJ15" ca="1" si="30">1-AF5/AG5</f>
        <v>0.99870124152505058</v>
      </c>
      <c r="AK5" s="82">
        <f t="shared" ref="AK5:AK15" ca="1" si="31">AE5*AE5/AF5</f>
        <v>11.654416091293589</v>
      </c>
      <c r="AL5" s="82">
        <f t="shared" ref="AL5:AL15" ca="1" si="32">AH5*AH5*AJ5*AK5</f>
        <v>0.19803579930199583</v>
      </c>
      <c r="AM5" s="77">
        <f t="shared" ref="AM5:AM15" ca="1" si="33">SUM(INDIRECT($A5&amp;"!$B$127:$G$150"))</f>
        <v>5339.2000000000016</v>
      </c>
      <c r="AN5" s="77">
        <f t="shared" ref="AN5:AN15" ca="1" si="34">_xlfn.STDEV.S(INDIRECT($A5&amp;"!$B$127:$G$150"))</f>
        <v>25.461986555058896</v>
      </c>
      <c r="AO5" s="79">
        <f t="shared" ref="AO5:AO15" ca="1" si="35">COUNT(INDIRECT($A5&amp;"!$B$127:$G$150"))</f>
        <v>83</v>
      </c>
      <c r="AP5" s="79" cm="1">
        <f t="array" aca="1" ref="AP5" ca="1">INDIRECT($A5&amp;"!$D$159")+INDIRECT($A5&amp;"!$E$159")</f>
        <v>65642</v>
      </c>
      <c r="AQ5" s="78">
        <f t="shared" ref="AQ5:AQ15" ca="1" si="36">AP5/B5</f>
        <v>0.18848074333345777</v>
      </c>
      <c r="AR5" s="78">
        <f t="shared" ref="AR5:AR15" ca="1" si="37">AQ5*AM5</f>
        <v>1006.336384805998</v>
      </c>
      <c r="AS5" s="78">
        <f t="shared" ref="AS5:AS15" ca="1" si="38">1-AO5/AP5</f>
        <v>0.9987355656439475</v>
      </c>
      <c r="AT5" s="78">
        <f t="shared" ref="AT5:AT15" ca="1" si="39">AN5*AN5/AO5</f>
        <v>7.8109971003614449</v>
      </c>
      <c r="AU5" s="78">
        <f t="shared" ref="AU5:AU15" ca="1" si="40">AQ5*AQ5*AS5*AT5</f>
        <v>0.27713473630159391</v>
      </c>
      <c r="AV5" s="84">
        <f t="shared" ref="AV5:AV15" ca="1" si="41">H5+Q5+Z5+AI5+AR5</f>
        <v>6185.9052875794277</v>
      </c>
      <c r="AW5" s="80">
        <f t="shared" ref="AW5:AW15" ca="1" si="42">SQRT(K5+T5+AC5+AL5+AU5)</f>
        <v>1.2136815276273867</v>
      </c>
    </row>
    <row r="6" spans="1:49" ht="14.5" x14ac:dyDescent="0.25">
      <c r="A6" s="397">
        <v>2022.03</v>
      </c>
      <c r="B6" s="49">
        <f t="shared" ca="1" si="0"/>
        <v>348065</v>
      </c>
      <c r="C6" s="77">
        <f t="shared" ca="1" si="1"/>
        <v>8818.1999999999971</v>
      </c>
      <c r="D6" s="77">
        <f t="shared" ca="1" si="2"/>
        <v>24.616650721854086</v>
      </c>
      <c r="E6" s="79">
        <f t="shared" ca="1" si="3"/>
        <v>134</v>
      </c>
      <c r="F6" s="79" cm="1">
        <f t="array" aca="1" ref="F6" ca="1">INDIRECT($A6&amp;"!$D$155")+INDIRECT($A6&amp;"!$E$155")</f>
        <v>107195</v>
      </c>
      <c r="G6" s="78">
        <f t="shared" ca="1" si="4"/>
        <v>0.30797408530015946</v>
      </c>
      <c r="H6" s="78">
        <f t="shared" ca="1" si="5"/>
        <v>2715.7770789938654</v>
      </c>
      <c r="I6" s="78">
        <f t="shared" ca="1" si="6"/>
        <v>0.99874994169504172</v>
      </c>
      <c r="J6" s="78">
        <f t="shared" ca="1" si="7"/>
        <v>4.522235020610144</v>
      </c>
      <c r="K6" s="78">
        <f t="shared" ca="1" si="8"/>
        <v>0.42838893413357293</v>
      </c>
      <c r="L6" s="81">
        <f t="shared" ca="1" si="9"/>
        <v>5100.7999999999993</v>
      </c>
      <c r="M6" s="81">
        <f t="shared" ca="1" si="10"/>
        <v>24.047708429323503</v>
      </c>
      <c r="N6" s="83">
        <f t="shared" ca="1" si="11"/>
        <v>76</v>
      </c>
      <c r="O6" s="83" cm="1">
        <f t="array" aca="1" ref="O6" ca="1">INDIRECT($A6&amp;"!$D$156")+INDIRECT($A6&amp;"!$E$156")</f>
        <v>59248</v>
      </c>
      <c r="P6" s="82">
        <f t="shared" ca="1" si="12"/>
        <v>0.1702210793960898</v>
      </c>
      <c r="Q6" s="82">
        <f t="shared" ca="1" si="13"/>
        <v>868.26368178357473</v>
      </c>
      <c r="R6" s="82">
        <f t="shared" ca="1" si="14"/>
        <v>0.9987172562786929</v>
      </c>
      <c r="S6" s="82">
        <f t="shared" ca="1" si="15"/>
        <v>7.6091089566020615</v>
      </c>
      <c r="T6" s="82">
        <f t="shared" ca="1" si="16"/>
        <v>0.22019276094273152</v>
      </c>
      <c r="U6" s="77">
        <f t="shared" ca="1" si="17"/>
        <v>5759.5000000000027</v>
      </c>
      <c r="V6" s="77">
        <f t="shared" ca="1" si="18"/>
        <v>25.06627211926607</v>
      </c>
      <c r="W6" s="79">
        <f t="shared" ca="1" si="19"/>
        <v>89</v>
      </c>
      <c r="X6" s="79" cm="1">
        <f t="array" aca="1" ref="X6" ca="1">INDIRECT($A6&amp;"!$D$157")+INDIRECT($A6&amp;"!$E$157")</f>
        <v>70625</v>
      </c>
      <c r="Y6" s="78">
        <f t="shared" ca="1" si="20"/>
        <v>0.20290750290893941</v>
      </c>
      <c r="Z6" s="78">
        <f t="shared" ca="1" si="21"/>
        <v>1168.645763004037</v>
      </c>
      <c r="AA6" s="78">
        <f t="shared" ca="1" si="22"/>
        <v>0.99873982300884956</v>
      </c>
      <c r="AB6" s="78">
        <f t="shared" ca="1" si="23"/>
        <v>7.0597527860347808</v>
      </c>
      <c r="AC6" s="78">
        <f t="shared" ca="1" si="24"/>
        <v>0.29029400887023804</v>
      </c>
      <c r="AD6" s="81">
        <f t="shared" ca="1" si="25"/>
        <v>3846.1999999999994</v>
      </c>
      <c r="AE6" s="81">
        <f t="shared" ca="1" si="26"/>
        <v>25.298689450282062</v>
      </c>
      <c r="AF6" s="83">
        <f t="shared" ca="1" si="27"/>
        <v>59</v>
      </c>
      <c r="AG6" s="83" cm="1">
        <f t="array" aca="1" ref="AG6" ca="1">INDIRECT($A6&amp;"!$D$158")+INDIRECT($A6&amp;"!$E$158")</f>
        <v>45405</v>
      </c>
      <c r="AH6" s="82">
        <f t="shared" ca="1" si="28"/>
        <v>0.13044977231264276</v>
      </c>
      <c r="AI6" s="82">
        <f t="shared" ca="1" si="29"/>
        <v>501.73591426888652</v>
      </c>
      <c r="AJ6" s="82">
        <f t="shared" ca="1" si="30"/>
        <v>0.99870058363616343</v>
      </c>
      <c r="AK6" s="82">
        <f t="shared" ca="1" si="31"/>
        <v>10.84785911697988</v>
      </c>
      <c r="AL6" s="82">
        <f t="shared" ca="1" si="32"/>
        <v>0.18435969918029144</v>
      </c>
      <c r="AM6" s="77">
        <f t="shared" ca="1" si="33"/>
        <v>5270.8</v>
      </c>
      <c r="AN6" s="77">
        <f t="shared" ca="1" si="34"/>
        <v>26.085966911410527</v>
      </c>
      <c r="AO6" s="79">
        <f t="shared" ca="1" si="35"/>
        <v>83</v>
      </c>
      <c r="AP6" s="79" cm="1">
        <f t="array" aca="1" ref="AP6" ca="1">INDIRECT($A6&amp;"!$D$159")+INDIRECT($A6&amp;"!$E$159")</f>
        <v>65592</v>
      </c>
      <c r="AQ6" s="78">
        <f t="shared" ca="1" si="36"/>
        <v>0.18844756008216856</v>
      </c>
      <c r="AR6" s="78">
        <f t="shared" ca="1" si="37"/>
        <v>993.26939968109411</v>
      </c>
      <c r="AS6" s="78">
        <f t="shared" ca="1" si="38"/>
        <v>0.99873460178070494</v>
      </c>
      <c r="AT6" s="78">
        <f t="shared" ca="1" si="39"/>
        <v>8.1985261410024677</v>
      </c>
      <c r="AU6" s="78">
        <f t="shared" ca="1" si="40"/>
        <v>0.2907815986790262</v>
      </c>
      <c r="AV6" s="84">
        <f t="shared" ca="1" si="41"/>
        <v>6247.6918377314578</v>
      </c>
      <c r="AW6" s="80">
        <f t="shared" ca="1" si="42"/>
        <v>1.1891244685926954</v>
      </c>
    </row>
    <row r="7" spans="1:49" ht="14.5" x14ac:dyDescent="0.25">
      <c r="A7" s="397">
        <v>2022.04</v>
      </c>
      <c r="B7" s="49">
        <f t="shared" ca="1" si="0"/>
        <v>347987</v>
      </c>
      <c r="C7" s="77">
        <f t="shared" ca="1" si="1"/>
        <v>8383.4</v>
      </c>
      <c r="D7" s="77">
        <f t="shared" ca="1" si="2"/>
        <v>25.797026324058773</v>
      </c>
      <c r="E7" s="79">
        <f t="shared" ca="1" si="3"/>
        <v>134</v>
      </c>
      <c r="F7" s="79" cm="1">
        <f t="array" aca="1" ref="F7" ca="1">INDIRECT($A7&amp;"!$D$155")+INDIRECT($A7&amp;"!$E$155")</f>
        <v>107173</v>
      </c>
      <c r="G7" s="78">
        <f t="shared" ca="1" si="4"/>
        <v>0.30797989580070517</v>
      </c>
      <c r="H7" s="78">
        <f t="shared" ca="1" si="5"/>
        <v>2581.9186584556314</v>
      </c>
      <c r="I7" s="78">
        <f t="shared" ca="1" si="6"/>
        <v>0.99874968508859507</v>
      </c>
      <c r="J7" s="78">
        <f t="shared" ca="1" si="7"/>
        <v>4.9663176654043379</v>
      </c>
      <c r="K7" s="78">
        <f t="shared" ca="1" si="8"/>
        <v>0.47047427979798384</v>
      </c>
      <c r="L7" s="81">
        <f t="shared" ca="1" si="9"/>
        <v>5135.800000000002</v>
      </c>
      <c r="M7" s="81">
        <f t="shared" ca="1" si="10"/>
        <v>24.747519032129524</v>
      </c>
      <c r="N7" s="83">
        <f t="shared" ca="1" si="11"/>
        <v>76</v>
      </c>
      <c r="O7" s="83" cm="1">
        <f t="array" aca="1" ref="O7" ca="1">INDIRECT($A7&amp;"!$D$156")+INDIRECT($A7&amp;"!$E$156")</f>
        <v>59236</v>
      </c>
      <c r="P7" s="82">
        <f t="shared" ca="1" si="12"/>
        <v>0.17022474977513527</v>
      </c>
      <c r="Q7" s="82">
        <f t="shared" ca="1" si="13"/>
        <v>874.24026989514005</v>
      </c>
      <c r="R7" s="82">
        <f t="shared" ca="1" si="14"/>
        <v>0.99871699642109524</v>
      </c>
      <c r="S7" s="82">
        <f t="shared" ca="1" si="15"/>
        <v>8.058417082179119</v>
      </c>
      <c r="T7" s="82">
        <f t="shared" ca="1" si="16"/>
        <v>0.23320485701328775</v>
      </c>
      <c r="U7" s="77">
        <f t="shared" ca="1" si="17"/>
        <v>5820.5000000000027</v>
      </c>
      <c r="V7" s="77">
        <f t="shared" ca="1" si="18"/>
        <v>26.16736123833903</v>
      </c>
      <c r="W7" s="79">
        <f t="shared" ca="1" si="19"/>
        <v>89</v>
      </c>
      <c r="X7" s="79" cm="1">
        <f t="array" aca="1" ref="X7" ca="1">INDIRECT($A7&amp;"!$D$157")+INDIRECT($A7&amp;"!$E$157")</f>
        <v>70608</v>
      </c>
      <c r="Y7" s="78">
        <f t="shared" ca="1" si="20"/>
        <v>0.20290413147617584</v>
      </c>
      <c r="Z7" s="78">
        <f t="shared" ca="1" si="21"/>
        <v>1181.003497257082</v>
      </c>
      <c r="AA7" s="78">
        <f t="shared" ca="1" si="22"/>
        <v>0.99873951960117835</v>
      </c>
      <c r="AB7" s="78">
        <f t="shared" ca="1" si="23"/>
        <v>7.6936044289632353</v>
      </c>
      <c r="AC7" s="78">
        <f t="shared" ca="1" si="24"/>
        <v>0.31634710779787811</v>
      </c>
      <c r="AD7" s="81">
        <f t="shared" ca="1" si="25"/>
        <v>3900.1000000000013</v>
      </c>
      <c r="AE7" s="81">
        <f t="shared" ca="1" si="26"/>
        <v>24.327407320378693</v>
      </c>
      <c r="AF7" s="83">
        <f t="shared" ca="1" si="27"/>
        <v>59</v>
      </c>
      <c r="AG7" s="83" cm="1">
        <f t="array" aca="1" ref="AG7" ca="1">INDIRECT($A7&amp;"!$D$158")+INDIRECT($A7&amp;"!$E$158")</f>
        <v>45396</v>
      </c>
      <c r="AH7" s="82">
        <f t="shared" ca="1" si="28"/>
        <v>0.1304531491118921</v>
      </c>
      <c r="AI7" s="82">
        <f t="shared" ca="1" si="29"/>
        <v>508.78032685129051</v>
      </c>
      <c r="AJ7" s="82">
        <f t="shared" ca="1" si="30"/>
        <v>0.99870032601991365</v>
      </c>
      <c r="AK7" s="82">
        <f t="shared" ca="1" si="31"/>
        <v>10.030894015790082</v>
      </c>
      <c r="AL7" s="82">
        <f t="shared" ca="1" si="32"/>
        <v>0.17048413409621008</v>
      </c>
      <c r="AM7" s="77">
        <f t="shared" ca="1" si="33"/>
        <v>5252.3</v>
      </c>
      <c r="AN7" s="77">
        <f t="shared" ca="1" si="34"/>
        <v>25.872461382861118</v>
      </c>
      <c r="AO7" s="79">
        <f t="shared" ca="1" si="35"/>
        <v>83</v>
      </c>
      <c r="AP7" s="79" cm="1">
        <f t="array" aca="1" ref="AP7" ca="1">INDIRECT($A7&amp;"!$D$159")+INDIRECT($A7&amp;"!$E$159")</f>
        <v>65574</v>
      </c>
      <c r="AQ7" s="78">
        <f t="shared" ca="1" si="36"/>
        <v>0.18843807383609157</v>
      </c>
      <c r="AR7" s="78">
        <f t="shared" ca="1" si="37"/>
        <v>989.73329520930383</v>
      </c>
      <c r="AS7" s="78">
        <f t="shared" ca="1" si="38"/>
        <v>0.99873425443010955</v>
      </c>
      <c r="AT7" s="78">
        <f t="shared" ca="1" si="39"/>
        <v>8.0648705784052996</v>
      </c>
      <c r="AU7" s="78">
        <f t="shared" ca="1" si="40"/>
        <v>0.2860122671831194</v>
      </c>
      <c r="AV7" s="84">
        <f t="shared" ca="1" si="41"/>
        <v>6135.6760476684485</v>
      </c>
      <c r="AW7" s="80">
        <f t="shared" ca="1" si="42"/>
        <v>1.2151224818463688</v>
      </c>
    </row>
    <row r="8" spans="1:49" ht="14.5" x14ac:dyDescent="0.25">
      <c r="A8" s="397">
        <v>2022.05</v>
      </c>
      <c r="B8" s="49">
        <f t="shared" ca="1" si="0"/>
        <v>348200</v>
      </c>
      <c r="C8" s="77">
        <f t="shared" ca="1" si="1"/>
        <v>8419.3000000000029</v>
      </c>
      <c r="D8" s="77">
        <f t="shared" ca="1" si="2"/>
        <v>25.959268927493213</v>
      </c>
      <c r="E8" s="79">
        <f t="shared" ca="1" si="3"/>
        <v>134</v>
      </c>
      <c r="F8" s="79" cm="1">
        <f t="array" aca="1" ref="F8" ca="1">INDIRECT($A8&amp;"!$D$155")+INDIRECT($A8&amp;"!$E$155")</f>
        <v>107232</v>
      </c>
      <c r="G8" s="78">
        <f t="shared" ca="1" si="4"/>
        <v>0.30796094198736357</v>
      </c>
      <c r="H8" s="78">
        <f t="shared" ca="1" si="5"/>
        <v>2592.8155588742111</v>
      </c>
      <c r="I8" s="78">
        <f t="shared" ca="1" si="6"/>
        <v>0.9987503730229782</v>
      </c>
      <c r="J8" s="78">
        <f t="shared" ca="1" si="7"/>
        <v>5.0289824123127955</v>
      </c>
      <c r="K8" s="78">
        <f t="shared" ca="1" si="8"/>
        <v>0.47635239165904902</v>
      </c>
      <c r="L8" s="81">
        <f t="shared" ca="1" si="9"/>
        <v>5076.1000000000013</v>
      </c>
      <c r="M8" s="81">
        <f t="shared" ca="1" si="10"/>
        <v>23.899512840957343</v>
      </c>
      <c r="N8" s="83">
        <f t="shared" ca="1" si="11"/>
        <v>76</v>
      </c>
      <c r="O8" s="83" cm="1">
        <f t="array" aca="1" ref="O8" ca="1">INDIRECT($A8&amp;"!$D$156")+INDIRECT($A8&amp;"!$E$156")</f>
        <v>59268</v>
      </c>
      <c r="P8" s="82">
        <f t="shared" ca="1" si="12"/>
        <v>0.17021252153934521</v>
      </c>
      <c r="Q8" s="82">
        <f t="shared" ca="1" si="13"/>
        <v>864.0157805858704</v>
      </c>
      <c r="R8" s="82">
        <f t="shared" ca="1" si="14"/>
        <v>0.99871768914085168</v>
      </c>
      <c r="S8" s="82">
        <f t="shared" ca="1" si="15"/>
        <v>7.5156146583563812</v>
      </c>
      <c r="T8" s="82">
        <f t="shared" ca="1" si="16"/>
        <v>0.21746544492735612</v>
      </c>
      <c r="U8" s="77">
        <f t="shared" ca="1" si="17"/>
        <v>5770.4000000000005</v>
      </c>
      <c r="V8" s="77">
        <f t="shared" ca="1" si="18"/>
        <v>25.31186950815674</v>
      </c>
      <c r="W8" s="79">
        <f t="shared" ca="1" si="19"/>
        <v>89</v>
      </c>
      <c r="X8" s="79" cm="1">
        <f t="array" aca="1" ref="X8" ca="1">INDIRECT($A8&amp;"!$D$157")+INDIRECT($A8&amp;"!$E$157")</f>
        <v>70655</v>
      </c>
      <c r="Y8" s="78">
        <f t="shared" ca="1" si="20"/>
        <v>0.20291499138426192</v>
      </c>
      <c r="Z8" s="78">
        <f t="shared" ca="1" si="21"/>
        <v>1170.9006662837451</v>
      </c>
      <c r="AA8" s="78">
        <f t="shared" ca="1" si="22"/>
        <v>0.99874035807798456</v>
      </c>
      <c r="AB8" s="78">
        <f t="shared" ca="1" si="23"/>
        <v>7.1987723370556731</v>
      </c>
      <c r="AC8" s="78">
        <f t="shared" ca="1" si="24"/>
        <v>0.29603244126509204</v>
      </c>
      <c r="AD8" s="81">
        <f t="shared" ca="1" si="25"/>
        <v>3840.2000000000012</v>
      </c>
      <c r="AE8" s="81">
        <f t="shared" ca="1" si="26"/>
        <v>25.417975479934199</v>
      </c>
      <c r="AF8" s="83">
        <f t="shared" ca="1" si="27"/>
        <v>59</v>
      </c>
      <c r="AG8" s="83" cm="1">
        <f t="array" aca="1" ref="AG8" ca="1">INDIRECT($A8&amp;"!$D$158")+INDIRECT($A8&amp;"!$E$158")</f>
        <v>45420</v>
      </c>
      <c r="AH8" s="82">
        <f t="shared" ca="1" si="28"/>
        <v>0.13044227455485352</v>
      </c>
      <c r="AI8" s="82">
        <f t="shared" ca="1" si="29"/>
        <v>500.92442274554867</v>
      </c>
      <c r="AJ8" s="82">
        <f t="shared" ca="1" si="30"/>
        <v>0.99870101276970502</v>
      </c>
      <c r="AK8" s="82">
        <f t="shared" ca="1" si="31"/>
        <v>10.950397923704003</v>
      </c>
      <c r="AL8" s="82">
        <f t="shared" ca="1" si="32"/>
        <v>0.18608103701173256</v>
      </c>
      <c r="AM8" s="77">
        <f t="shared" ca="1" si="33"/>
        <v>5403.3000000000011</v>
      </c>
      <c r="AN8" s="77">
        <f t="shared" ca="1" si="34"/>
        <v>24.873195485472639</v>
      </c>
      <c r="AO8" s="79">
        <f t="shared" ca="1" si="35"/>
        <v>83</v>
      </c>
      <c r="AP8" s="79" cm="1">
        <f t="array" aca="1" ref="AP8" ca="1">INDIRECT($A8&amp;"!$D$159")+INDIRECT($A8&amp;"!$E$159")</f>
        <v>65625</v>
      </c>
      <c r="AQ8" s="78">
        <f t="shared" ca="1" si="36"/>
        <v>0.18846927053417575</v>
      </c>
      <c r="AR8" s="78">
        <f t="shared" ca="1" si="37"/>
        <v>1018.356009477312</v>
      </c>
      <c r="AS8" s="78">
        <f t="shared" ca="1" si="38"/>
        <v>0.99873523809523812</v>
      </c>
      <c r="AT8" s="78">
        <f t="shared" ca="1" si="39"/>
        <v>7.45392594769321</v>
      </c>
      <c r="AU8" s="78">
        <f t="shared" ca="1" si="40"/>
        <v>0.26443354449436401</v>
      </c>
      <c r="AV8" s="84">
        <f t="shared" ca="1" si="41"/>
        <v>6147.0124379666868</v>
      </c>
      <c r="AW8" s="80">
        <f t="shared" ca="1" si="42"/>
        <v>1.2001520151037508</v>
      </c>
    </row>
    <row r="9" spans="1:49" ht="14.5" x14ac:dyDescent="0.25">
      <c r="A9" s="397">
        <v>2022.06</v>
      </c>
      <c r="B9" s="49">
        <f t="shared" ca="1" si="0"/>
        <v>348445</v>
      </c>
      <c r="C9" s="77">
        <f t="shared" ca="1" si="1"/>
        <v>8528.5000000000036</v>
      </c>
      <c r="D9" s="77">
        <f t="shared" ca="1" si="2"/>
        <v>24.908972975364957</v>
      </c>
      <c r="E9" s="79">
        <f t="shared" ca="1" si="3"/>
        <v>134</v>
      </c>
      <c r="F9" s="79" cm="1">
        <f t="array" aca="1" ref="F9" ca="1">INDIRECT($A9&amp;"!$D$155")+INDIRECT($A9&amp;"!$E$155")</f>
        <v>107300</v>
      </c>
      <c r="G9" s="78">
        <f t="shared" ca="1" si="4"/>
        <v>0.30793956004534434</v>
      </c>
      <c r="H9" s="78">
        <f t="shared" ca="1" si="5"/>
        <v>2626.2625378467205</v>
      </c>
      <c r="I9" s="78">
        <f t="shared" ca="1" si="6"/>
        <v>0.99875116495806149</v>
      </c>
      <c r="J9" s="78">
        <f t="shared" ca="1" si="7"/>
        <v>4.6302756319959828</v>
      </c>
      <c r="K9" s="78">
        <f t="shared" ca="1" si="8"/>
        <v>0.43852576350470734</v>
      </c>
      <c r="L9" s="81">
        <f t="shared" ca="1" si="9"/>
        <v>5211.3000000000011</v>
      </c>
      <c r="M9" s="81">
        <f t="shared" ca="1" si="10"/>
        <v>25.664377489622144</v>
      </c>
      <c r="N9" s="83">
        <f t="shared" ca="1" si="11"/>
        <v>76</v>
      </c>
      <c r="O9" s="83" cm="1">
        <f t="array" aca="1" ref="O9" ca="1">INDIRECT($A9&amp;"!$D$156")+INDIRECT($A9&amp;"!$E$156")</f>
        <v>59305</v>
      </c>
      <c r="P9" s="82">
        <f t="shared" ca="1" si="12"/>
        <v>0.17019902710614301</v>
      </c>
      <c r="Q9" s="82">
        <f t="shared" ca="1" si="13"/>
        <v>886.95818995824322</v>
      </c>
      <c r="R9" s="82">
        <f t="shared" ca="1" si="14"/>
        <v>0.99871848916617489</v>
      </c>
      <c r="S9" s="82">
        <f t="shared" ca="1" si="15"/>
        <v>8.6665825253924194</v>
      </c>
      <c r="T9" s="82">
        <f t="shared" ca="1" si="16"/>
        <v>0.25072931450185376</v>
      </c>
      <c r="U9" s="77">
        <f t="shared" ca="1" si="17"/>
        <v>5831.2999999999984</v>
      </c>
      <c r="V9" s="77">
        <f t="shared" ca="1" si="18"/>
        <v>25.968149983880139</v>
      </c>
      <c r="W9" s="79">
        <f t="shared" ca="1" si="19"/>
        <v>89</v>
      </c>
      <c r="X9" s="79" cm="1">
        <f t="array" aca="1" ref="X9" ca="1">INDIRECT($A9&amp;"!$D$157")+INDIRECT($A9&amp;"!$E$157")</f>
        <v>70709</v>
      </c>
      <c r="Y9" s="78">
        <f t="shared" ca="1" si="20"/>
        <v>0.20292729125113002</v>
      </c>
      <c r="Z9" s="78">
        <f t="shared" ca="1" si="21"/>
        <v>1183.3299134727142</v>
      </c>
      <c r="AA9" s="78">
        <f t="shared" ca="1" si="22"/>
        <v>0.99874132005826699</v>
      </c>
      <c r="AB9" s="78">
        <f t="shared" ca="1" si="23"/>
        <v>7.5769080178122916</v>
      </c>
      <c r="AC9" s="78">
        <f t="shared" ca="1" si="24"/>
        <v>0.31162044939208094</v>
      </c>
      <c r="AD9" s="81">
        <f t="shared" ca="1" si="25"/>
        <v>3853</v>
      </c>
      <c r="AE9" s="81">
        <f t="shared" ca="1" si="26"/>
        <v>24.781906801819627</v>
      </c>
      <c r="AF9" s="83">
        <f t="shared" ca="1" si="27"/>
        <v>59</v>
      </c>
      <c r="AG9" s="83" cm="1">
        <f t="array" aca="1" ref="AG9" ca="1">INDIRECT($A9&amp;"!$D$158")+INDIRECT($A9&amp;"!$E$158")</f>
        <v>45447</v>
      </c>
      <c r="AH9" s="82">
        <f t="shared" ca="1" si="28"/>
        <v>0.13042804459814317</v>
      </c>
      <c r="AI9" s="82">
        <f t="shared" ca="1" si="29"/>
        <v>502.53925583664562</v>
      </c>
      <c r="AJ9" s="82">
        <f t="shared" ca="1" si="30"/>
        <v>0.99870178449622637</v>
      </c>
      <c r="AK9" s="82">
        <f t="shared" ca="1" si="31"/>
        <v>10.409201775153795</v>
      </c>
      <c r="AL9" s="82">
        <f t="shared" ca="1" si="32"/>
        <v>0.17684599122553446</v>
      </c>
      <c r="AM9" s="77">
        <f t="shared" ca="1" si="33"/>
        <v>5387.8999999999987</v>
      </c>
      <c r="AN9" s="77">
        <f t="shared" ca="1" si="34"/>
        <v>26.243438820110988</v>
      </c>
      <c r="AO9" s="79">
        <f t="shared" ca="1" si="35"/>
        <v>83</v>
      </c>
      <c r="AP9" s="79" cm="1">
        <f t="array" aca="1" ref="AP9" ca="1">INDIRECT($A9&amp;"!$D$159")+INDIRECT($A9&amp;"!$E$159")</f>
        <v>65684</v>
      </c>
      <c r="AQ9" s="78">
        <f t="shared" ca="1" si="36"/>
        <v>0.18850607699923949</v>
      </c>
      <c r="AR9" s="78">
        <f t="shared" ca="1" si="37"/>
        <v>1015.6518922642022</v>
      </c>
      <c r="AS9" s="78">
        <f t="shared" ca="1" si="38"/>
        <v>0.99873637415504535</v>
      </c>
      <c r="AT9" s="78">
        <f t="shared" ca="1" si="39"/>
        <v>8.2978082060832339</v>
      </c>
      <c r="AU9" s="78">
        <f t="shared" ca="1" si="40"/>
        <v>0.29448621524544827</v>
      </c>
      <c r="AV9" s="84">
        <f t="shared" ca="1" si="41"/>
        <v>6214.7417893785259</v>
      </c>
      <c r="AW9" s="80">
        <f t="shared" ca="1" si="42"/>
        <v>1.2133456778138803</v>
      </c>
    </row>
    <row r="10" spans="1:49" ht="14.5" x14ac:dyDescent="0.25">
      <c r="A10" s="397">
        <v>2022.07</v>
      </c>
      <c r="B10" s="49">
        <f t="shared" ca="1" si="0"/>
        <v>348500</v>
      </c>
      <c r="C10" s="77">
        <f t="shared" ca="1" si="1"/>
        <v>8733.6000000000022</v>
      </c>
      <c r="D10" s="77">
        <f t="shared" ca="1" si="2"/>
        <v>24.246832764578851</v>
      </c>
      <c r="E10" s="79">
        <f t="shared" ca="1" si="3"/>
        <v>134</v>
      </c>
      <c r="F10" s="79" cm="1">
        <f t="array" aca="1" ref="F10" ca="1">INDIRECT($A10&amp;"!$D$155")+INDIRECT($A10&amp;"!$E$155")</f>
        <v>107316</v>
      </c>
      <c r="G10" s="78">
        <f t="shared" ca="1" si="4"/>
        <v>0.30793687230989958</v>
      </c>
      <c r="H10" s="78">
        <f t="shared" ca="1" si="5"/>
        <v>2689.3974680057395</v>
      </c>
      <c r="I10" s="78">
        <f t="shared" ca="1" si="6"/>
        <v>0.99875135114987512</v>
      </c>
      <c r="J10" s="78">
        <f t="shared" ca="1" si="7"/>
        <v>4.3873798441302574</v>
      </c>
      <c r="K10" s="78">
        <f t="shared" ca="1" si="8"/>
        <v>0.4155143283455946</v>
      </c>
      <c r="L10" s="81">
        <f t="shared" ca="1" si="9"/>
        <v>5063.7999999999993</v>
      </c>
      <c r="M10" s="81">
        <f t="shared" ca="1" si="10"/>
        <v>24.630040280326909</v>
      </c>
      <c r="N10" s="83">
        <f t="shared" ca="1" si="11"/>
        <v>76</v>
      </c>
      <c r="O10" s="83" cm="1">
        <f t="array" aca="1" ref="O10" ca="1">INDIRECT($A10&amp;"!$D$156")+INDIRECT($A10&amp;"!$E$156")</f>
        <v>59313</v>
      </c>
      <c r="P10" s="82">
        <f t="shared" ca="1" si="12"/>
        <v>0.17019512195121952</v>
      </c>
      <c r="Q10" s="82">
        <f t="shared" ca="1" si="13"/>
        <v>861.8340585365853</v>
      </c>
      <c r="R10" s="82">
        <f t="shared" ca="1" si="14"/>
        <v>0.99871866201338666</v>
      </c>
      <c r="S10" s="82">
        <f t="shared" ca="1" si="15"/>
        <v>7.9820905817174479</v>
      </c>
      <c r="T10" s="82">
        <f t="shared" ca="1" si="16"/>
        <v>0.23091600422220762</v>
      </c>
      <c r="U10" s="77">
        <f t="shared" ca="1" si="17"/>
        <v>5763.2999999999975</v>
      </c>
      <c r="V10" s="77">
        <f t="shared" ca="1" si="18"/>
        <v>26.000318857556174</v>
      </c>
      <c r="W10" s="79">
        <f t="shared" ca="1" si="19"/>
        <v>89</v>
      </c>
      <c r="X10" s="79" cm="1">
        <f t="array" aca="1" ref="X10" ca="1">INDIRECT($A10&amp;"!$D$157")+INDIRECT($A10&amp;"!$E$157")</f>
        <v>70721</v>
      </c>
      <c r="Y10" s="78">
        <f t="shared" ca="1" si="20"/>
        <v>0.2029296987087518</v>
      </c>
      <c r="Z10" s="78">
        <f t="shared" ca="1" si="21"/>
        <v>1169.5447325681487</v>
      </c>
      <c r="AA10" s="78">
        <f t="shared" ca="1" si="22"/>
        <v>0.99874153363216023</v>
      </c>
      <c r="AB10" s="78">
        <f t="shared" ca="1" si="23"/>
        <v>7.5956919179167555</v>
      </c>
      <c r="AC10" s="78">
        <f t="shared" ca="1" si="24"/>
        <v>0.31240046621998041</v>
      </c>
      <c r="AD10" s="81">
        <f t="shared" ca="1" si="25"/>
        <v>3844.7999999999993</v>
      </c>
      <c r="AE10" s="81">
        <f t="shared" ca="1" si="26"/>
        <v>24.372055862298492</v>
      </c>
      <c r="AF10" s="83">
        <f t="shared" ca="1" si="27"/>
        <v>59</v>
      </c>
      <c r="AG10" s="83" cm="1">
        <f t="array" aca="1" ref="AG10" ca="1">INDIRECT($A10&amp;"!$D$158")+INDIRECT($A10&amp;"!$E$158")</f>
        <v>45453</v>
      </c>
      <c r="AH10" s="82">
        <f t="shared" ca="1" si="28"/>
        <v>0.13042467718794834</v>
      </c>
      <c r="AI10" s="82">
        <f t="shared" ca="1" si="29"/>
        <v>501.4567988522237</v>
      </c>
      <c r="AJ10" s="82">
        <f t="shared" ca="1" si="30"/>
        <v>0.99870195586649946</v>
      </c>
      <c r="AK10" s="82">
        <f t="shared" ca="1" si="31"/>
        <v>10.067747575508445</v>
      </c>
      <c r="AL10" s="82">
        <f t="shared" ca="1" si="32"/>
        <v>0.17103608991161443</v>
      </c>
      <c r="AM10" s="77">
        <f t="shared" ca="1" si="33"/>
        <v>5316.9</v>
      </c>
      <c r="AN10" s="77">
        <f t="shared" ca="1" si="34"/>
        <v>26.011939266911781</v>
      </c>
      <c r="AO10" s="79">
        <f t="shared" ca="1" si="35"/>
        <v>83</v>
      </c>
      <c r="AP10" s="79" cm="1">
        <f t="array" aca="1" ref="AP10" ca="1">INDIRECT($A10&amp;"!$D$159")+INDIRECT($A10&amp;"!$E$159")</f>
        <v>65697</v>
      </c>
      <c r="AQ10" s="78">
        <f t="shared" ca="1" si="36"/>
        <v>0.18851362984218079</v>
      </c>
      <c r="AR10" s="78">
        <f t="shared" ca="1" si="37"/>
        <v>1002.308118507891</v>
      </c>
      <c r="AS10" s="78">
        <f t="shared" ca="1" si="38"/>
        <v>0.99873662419897413</v>
      </c>
      <c r="AT10" s="78">
        <f t="shared" ca="1" si="39"/>
        <v>8.1520600533193619</v>
      </c>
      <c r="AU10" s="78">
        <f t="shared" ca="1" si="40"/>
        <v>0.28933692263448568</v>
      </c>
      <c r="AV10" s="84">
        <f t="shared" ca="1" si="41"/>
        <v>6224.5411764705887</v>
      </c>
      <c r="AW10" s="80">
        <f t="shared" ca="1" si="42"/>
        <v>1.1913034085966021</v>
      </c>
    </row>
    <row r="11" spans="1:49" ht="14.5" x14ac:dyDescent="0.25">
      <c r="A11" s="397">
        <v>2022.08</v>
      </c>
      <c r="B11" s="49">
        <f t="shared" ca="1" si="0"/>
        <v>347900</v>
      </c>
      <c r="C11" s="77">
        <f t="shared" ca="1" si="1"/>
        <v>8641.1999999999989</v>
      </c>
      <c r="D11" s="77">
        <f t="shared" ca="1" si="2"/>
        <v>25.653802107350991</v>
      </c>
      <c r="E11" s="79">
        <f t="shared" ca="1" si="3"/>
        <v>134</v>
      </c>
      <c r="F11" s="79" cm="1">
        <f t="array" aca="1" ref="F11" ca="1">INDIRECT($A11&amp;"!$D$155")+INDIRECT($A11&amp;"!$E$155")</f>
        <v>107149</v>
      </c>
      <c r="G11" s="78">
        <f t="shared" ca="1" si="4"/>
        <v>0.30798792756539234</v>
      </c>
      <c r="H11" s="78">
        <f t="shared" ca="1" si="5"/>
        <v>2661.3852796780679</v>
      </c>
      <c r="I11" s="78">
        <f t="shared" ca="1" si="6"/>
        <v>0.99874940503411136</v>
      </c>
      <c r="J11" s="78">
        <f t="shared" ca="1" si="7"/>
        <v>4.9113250937546731</v>
      </c>
      <c r="K11" s="78">
        <f t="shared" ca="1" si="8"/>
        <v>0.46528880429915787</v>
      </c>
      <c r="L11" s="81">
        <f t="shared" ca="1" si="9"/>
        <v>4946.5</v>
      </c>
      <c r="M11" s="81">
        <f t="shared" ca="1" si="10"/>
        <v>25.599243238540602</v>
      </c>
      <c r="N11" s="83">
        <f t="shared" ca="1" si="11"/>
        <v>76</v>
      </c>
      <c r="O11" s="83" cm="1">
        <f t="array" aca="1" ref="O11" ca="1">INDIRECT($A11&amp;"!$D$156")+INDIRECT($A11&amp;"!$E$156")</f>
        <v>59223</v>
      </c>
      <c r="P11" s="82">
        <f t="shared" ca="1" si="12"/>
        <v>0.17022995113538372</v>
      </c>
      <c r="Q11" s="82">
        <f t="shared" ca="1" si="13"/>
        <v>842.04245329117555</v>
      </c>
      <c r="R11" s="82">
        <f t="shared" ca="1" si="14"/>
        <v>0.99871671478986201</v>
      </c>
      <c r="S11" s="82">
        <f t="shared" ca="1" si="15"/>
        <v>8.6226480840258777</v>
      </c>
      <c r="T11" s="82">
        <f t="shared" ca="1" si="16"/>
        <v>0.24954848003303526</v>
      </c>
      <c r="U11" s="77">
        <f t="shared" ca="1" si="17"/>
        <v>5919.199999999998</v>
      </c>
      <c r="V11" s="77">
        <f t="shared" ca="1" si="18"/>
        <v>25.12944318342312</v>
      </c>
      <c r="W11" s="79">
        <f t="shared" ca="1" si="19"/>
        <v>89</v>
      </c>
      <c r="X11" s="79" cm="1">
        <f t="array" aca="1" ref="X11" ca="1">INDIRECT($A11&amp;"!$D$157")+INDIRECT($A11&amp;"!$E$157")</f>
        <v>70588</v>
      </c>
      <c r="Y11" s="78">
        <f t="shared" ca="1" si="20"/>
        <v>0.20289738430583501</v>
      </c>
      <c r="Z11" s="78">
        <f t="shared" ca="1" si="21"/>
        <v>1200.9901971830982</v>
      </c>
      <c r="AA11" s="78">
        <f t="shared" ca="1" si="22"/>
        <v>0.99873916246387484</v>
      </c>
      <c r="AB11" s="78">
        <f t="shared" ca="1" si="23"/>
        <v>7.0953810641448403</v>
      </c>
      <c r="AC11" s="78">
        <f t="shared" ca="1" si="24"/>
        <v>0.29172973726586754</v>
      </c>
      <c r="AD11" s="81">
        <f t="shared" ca="1" si="25"/>
        <v>3754.3999999999996</v>
      </c>
      <c r="AE11" s="81">
        <f t="shared" ca="1" si="26"/>
        <v>23.950866445845381</v>
      </c>
      <c r="AF11" s="83">
        <f t="shared" ca="1" si="27"/>
        <v>59</v>
      </c>
      <c r="AG11" s="83" cm="1">
        <f t="array" aca="1" ref="AG11" ca="1">INDIRECT($A11&amp;"!$D$158")+INDIRECT($A11&amp;"!$E$158")</f>
        <v>45387</v>
      </c>
      <c r="AH11" s="82">
        <f t="shared" ca="1" si="28"/>
        <v>0.13045990227076745</v>
      </c>
      <c r="AI11" s="82">
        <f t="shared" ca="1" si="29"/>
        <v>489.79865708536926</v>
      </c>
      <c r="AJ11" s="82">
        <f t="shared" ca="1" si="30"/>
        <v>0.99870006830149605</v>
      </c>
      <c r="AK11" s="82">
        <f t="shared" ca="1" si="31"/>
        <v>9.7227797204529178</v>
      </c>
      <c r="AL11" s="82">
        <f t="shared" ca="1" si="32"/>
        <v>0.16526451892638899</v>
      </c>
      <c r="AM11" s="77">
        <f t="shared" ca="1" si="33"/>
        <v>5566.4000000000024</v>
      </c>
      <c r="AN11" s="77">
        <f t="shared" ca="1" si="34"/>
        <v>26.162729186228535</v>
      </c>
      <c r="AO11" s="79">
        <f t="shared" ca="1" si="35"/>
        <v>83</v>
      </c>
      <c r="AP11" s="79" cm="1">
        <f t="array" aca="1" ref="AP11" ca="1">INDIRECT($A11&amp;"!$D$159")+INDIRECT($A11&amp;"!$E$159")</f>
        <v>65553</v>
      </c>
      <c r="AQ11" s="78">
        <f t="shared" ca="1" si="36"/>
        <v>0.18842483472262145</v>
      </c>
      <c r="AR11" s="78">
        <f t="shared" ca="1" si="37"/>
        <v>1048.8480000000004</v>
      </c>
      <c r="AS11" s="78">
        <f t="shared" ca="1" si="38"/>
        <v>0.99873384894665385</v>
      </c>
      <c r="AT11" s="78">
        <f t="shared" ca="1" si="39"/>
        <v>8.2468481743606556</v>
      </c>
      <c r="AU11" s="78">
        <f t="shared" ca="1" si="40"/>
        <v>0.29242470091221889</v>
      </c>
      <c r="AV11" s="84">
        <f t="shared" ca="1" si="41"/>
        <v>6243.0645872377117</v>
      </c>
      <c r="AW11" s="80">
        <f t="shared" ca="1" si="42"/>
        <v>1.2100645608547789</v>
      </c>
    </row>
    <row r="12" spans="1:49" ht="14.5" x14ac:dyDescent="0.25">
      <c r="A12" s="397">
        <v>2022.09</v>
      </c>
      <c r="B12" s="49">
        <f t="shared" ca="1" si="0"/>
        <v>348571</v>
      </c>
      <c r="C12" s="77">
        <f t="shared" ca="1" si="1"/>
        <v>8435.5999999999985</v>
      </c>
      <c r="D12" s="77">
        <f t="shared" ca="1" si="2"/>
        <v>24.72033565609625</v>
      </c>
      <c r="E12" s="79">
        <f t="shared" ca="1" si="3"/>
        <v>134</v>
      </c>
      <c r="F12" s="79" cm="1">
        <f t="array" aca="1" ref="F12" ca="1">INDIRECT($A12&amp;"!$D$155")+INDIRECT($A12&amp;"!$E$155")</f>
        <v>107335</v>
      </c>
      <c r="G12" s="78">
        <f t="shared" ca="1" si="4"/>
        <v>0.30792865728933272</v>
      </c>
      <c r="H12" s="78">
        <f t="shared" ca="1" si="5"/>
        <v>2597.5629814298945</v>
      </c>
      <c r="I12" s="78">
        <f t="shared" ca="1" si="6"/>
        <v>0.99875157218055621</v>
      </c>
      <c r="J12" s="78">
        <f t="shared" ca="1" si="7"/>
        <v>4.5604104100751011</v>
      </c>
      <c r="K12" s="78">
        <f t="shared" ca="1" si="8"/>
        <v>0.43187853636136669</v>
      </c>
      <c r="L12" s="81">
        <f t="shared" ca="1" si="9"/>
        <v>5105.0000000000018</v>
      </c>
      <c r="M12" s="81">
        <f t="shared" ca="1" si="10"/>
        <v>25.069901293726502</v>
      </c>
      <c r="N12" s="83">
        <f t="shared" ca="1" si="11"/>
        <v>76</v>
      </c>
      <c r="O12" s="83" cm="1">
        <f t="array" aca="1" ref="O12" ca="1">INDIRECT($A12&amp;"!$D$156")+INDIRECT($A12&amp;"!$E$156")</f>
        <v>59324</v>
      </c>
      <c r="P12" s="82">
        <f t="shared" ca="1" si="12"/>
        <v>0.17019201253116295</v>
      </c>
      <c r="Q12" s="82">
        <f t="shared" ca="1" si="13"/>
        <v>868.8302239715872</v>
      </c>
      <c r="R12" s="82">
        <f t="shared" ca="1" si="14"/>
        <v>0.99871889960218463</v>
      </c>
      <c r="S12" s="82">
        <f t="shared" ca="1" si="15"/>
        <v>8.2697361957524969</v>
      </c>
      <c r="T12" s="82">
        <f t="shared" ca="1" si="16"/>
        <v>0.23922869545840028</v>
      </c>
      <c r="U12" s="77">
        <f t="shared" ca="1" si="17"/>
        <v>5760.7000000000016</v>
      </c>
      <c r="V12" s="77">
        <f t="shared" ca="1" si="18"/>
        <v>25.167004752096151</v>
      </c>
      <c r="W12" s="79">
        <f t="shared" ca="1" si="19"/>
        <v>89</v>
      </c>
      <c r="X12" s="79" cm="1">
        <f t="array" aca="1" ref="X12" ca="1">INDIRECT($A12&amp;"!$D$157")+INDIRECT($A12&amp;"!$E$157")</f>
        <v>70737</v>
      </c>
      <c r="Y12" s="78">
        <f t="shared" ca="1" si="20"/>
        <v>0.20293426590278596</v>
      </c>
      <c r="Z12" s="78">
        <f t="shared" ca="1" si="21"/>
        <v>1169.0434255861794</v>
      </c>
      <c r="AA12" s="78">
        <f t="shared" ca="1" si="22"/>
        <v>0.99874181828463182</v>
      </c>
      <c r="AB12" s="78">
        <f t="shared" ca="1" si="23"/>
        <v>7.1166081819329232</v>
      </c>
      <c r="AC12" s="78">
        <f t="shared" ca="1" si="24"/>
        <v>0.29270966307608759</v>
      </c>
      <c r="AD12" s="81">
        <f t="shared" ca="1" si="25"/>
        <v>3957.0000000000009</v>
      </c>
      <c r="AE12" s="81">
        <f t="shared" ca="1" si="26"/>
        <v>24.500537929900034</v>
      </c>
      <c r="AF12" s="83">
        <f t="shared" ca="1" si="27"/>
        <v>59</v>
      </c>
      <c r="AG12" s="83" cm="1">
        <f t="array" aca="1" ref="AG12" ca="1">INDIRECT($A12&amp;"!$D$158")+INDIRECT($A12&amp;"!$E$158")</f>
        <v>45461</v>
      </c>
      <c r="AH12" s="82">
        <f t="shared" ca="1" si="28"/>
        <v>0.13042106199310902</v>
      </c>
      <c r="AI12" s="82">
        <f t="shared" ca="1" si="29"/>
        <v>516.07614230673255</v>
      </c>
      <c r="AJ12" s="82">
        <f t="shared" ca="1" si="30"/>
        <v>0.99870218428983082</v>
      </c>
      <c r="AK12" s="82">
        <f t="shared" ca="1" si="31"/>
        <v>10.174175573804581</v>
      </c>
      <c r="AL12" s="82">
        <f t="shared" ca="1" si="32"/>
        <v>0.17283460130837011</v>
      </c>
      <c r="AM12" s="77">
        <f t="shared" ca="1" si="33"/>
        <v>5366.0000000000027</v>
      </c>
      <c r="AN12" s="77">
        <f t="shared" ca="1" si="34"/>
        <v>25.996661950325482</v>
      </c>
      <c r="AO12" s="79">
        <f t="shared" ca="1" si="35"/>
        <v>83</v>
      </c>
      <c r="AP12" s="79" cm="1">
        <f t="array" aca="1" ref="AP12" ca="1">INDIRECT($A12&amp;"!$D$159")+INDIRECT($A12&amp;"!$E$159")</f>
        <v>65714</v>
      </c>
      <c r="AQ12" s="78">
        <f t="shared" ca="1" si="36"/>
        <v>0.18852400228360935</v>
      </c>
      <c r="AR12" s="78">
        <f t="shared" ca="1" si="37"/>
        <v>1011.6197962538483</v>
      </c>
      <c r="AS12" s="78">
        <f t="shared" ca="1" si="38"/>
        <v>0.99873695103022186</v>
      </c>
      <c r="AT12" s="78">
        <f t="shared" ca="1" si="39"/>
        <v>8.1424871392710916</v>
      </c>
      <c r="AU12" s="78">
        <f t="shared" ca="1" si="40"/>
        <v>0.28902905406098411</v>
      </c>
      <c r="AV12" s="84">
        <f t="shared" ca="1" si="41"/>
        <v>6163.1325695482419</v>
      </c>
      <c r="AW12" s="80">
        <f t="shared" ca="1" si="42"/>
        <v>1.1940186557442094</v>
      </c>
    </row>
    <row r="13" spans="1:49" ht="14.5" x14ac:dyDescent="0.25">
      <c r="A13" s="397" t="s">
        <v>366</v>
      </c>
      <c r="B13" s="49">
        <f t="shared" ca="1" si="0"/>
        <v>348314</v>
      </c>
      <c r="C13" s="77">
        <f t="shared" ca="1" si="1"/>
        <v>8508.1</v>
      </c>
      <c r="D13" s="77">
        <f t="shared" ca="1" si="2"/>
        <v>25.443637246963476</v>
      </c>
      <c r="E13" s="79">
        <f t="shared" ca="1" si="3"/>
        <v>134</v>
      </c>
      <c r="F13" s="79" cm="1">
        <f t="array" aca="1" ref="F13" ca="1">INDIRECT($A13&amp;"!$D$155")+INDIRECT($A13&amp;"!$E$155")</f>
        <v>107264</v>
      </c>
      <c r="G13" s="78">
        <f t="shared" ca="1" si="4"/>
        <v>0.30795202030351926</v>
      </c>
      <c r="H13" s="78">
        <f t="shared" ca="1" si="5"/>
        <v>2620.0865839443723</v>
      </c>
      <c r="I13" s="78">
        <f t="shared" ca="1" si="6"/>
        <v>0.99875074582338907</v>
      </c>
      <c r="J13" s="78">
        <f t="shared" ca="1" si="7"/>
        <v>4.8311841519034857</v>
      </c>
      <c r="K13" s="78">
        <f t="shared" ca="1" si="8"/>
        <v>0.45759031484110962</v>
      </c>
      <c r="L13" s="81">
        <f t="shared" ca="1" si="9"/>
        <v>5016.8999999999996</v>
      </c>
      <c r="M13" s="81">
        <f t="shared" ca="1" si="10"/>
        <v>25.214741545930437</v>
      </c>
      <c r="N13" s="83">
        <f t="shared" ca="1" si="11"/>
        <v>76</v>
      </c>
      <c r="O13" s="83" cm="1">
        <f t="array" aca="1" ref="O13" ca="1">INDIRECT($A13&amp;"!$D$156")+INDIRECT($A13&amp;"!$E$156")</f>
        <v>59285</v>
      </c>
      <c r="P13" s="82">
        <f t="shared" ca="1" si="12"/>
        <v>0.17020561906785256</v>
      </c>
      <c r="Q13" s="82">
        <f t="shared" ca="1" si="13"/>
        <v>853.90457030150947</v>
      </c>
      <c r="R13" s="82">
        <f t="shared" ca="1" si="14"/>
        <v>0.99871805684405834</v>
      </c>
      <c r="S13" s="82">
        <f t="shared" ca="1" si="15"/>
        <v>8.3655683056325056</v>
      </c>
      <c r="T13" s="82">
        <f t="shared" ca="1" si="16"/>
        <v>0.24203943956778762</v>
      </c>
      <c r="U13" s="77">
        <f t="shared" ca="1" si="17"/>
        <v>5899.4999999999991</v>
      </c>
      <c r="V13" s="77">
        <f t="shared" ca="1" si="18"/>
        <v>25.354380072606627</v>
      </c>
      <c r="W13" s="79">
        <f t="shared" ca="1" si="19"/>
        <v>89</v>
      </c>
      <c r="X13" s="79" cm="1">
        <f t="array" aca="1" ref="X13" ca="1">INDIRECT($A13&amp;"!$D$157")+INDIRECT($A13&amp;"!$E$157")</f>
        <v>70680</v>
      </c>
      <c r="Y13" s="78">
        <f t="shared" ca="1" si="20"/>
        <v>0.20292035347416412</v>
      </c>
      <c r="Z13" s="78">
        <f t="shared" ca="1" si="21"/>
        <v>1197.1286253208311</v>
      </c>
      <c r="AA13" s="78">
        <f t="shared" ca="1" si="22"/>
        <v>0.99874080362195816</v>
      </c>
      <c r="AB13" s="78">
        <f t="shared" ca="1" si="23"/>
        <v>7.2229729086088987</v>
      </c>
      <c r="AC13" s="78">
        <f t="shared" ca="1" si="24"/>
        <v>0.2970434631911259</v>
      </c>
      <c r="AD13" s="81">
        <f t="shared" ca="1" si="25"/>
        <v>3743.9999999999991</v>
      </c>
      <c r="AE13" s="81">
        <f t="shared" ca="1" si="26"/>
        <v>25.319702042356965</v>
      </c>
      <c r="AF13" s="83">
        <f t="shared" ca="1" si="27"/>
        <v>59</v>
      </c>
      <c r="AG13" s="83" cm="1">
        <f t="array" aca="1" ref="AG13" ca="1">INDIRECT($A13&amp;"!$D$158")+INDIRECT($A13&amp;"!$E$158")</f>
        <v>45433</v>
      </c>
      <c r="AH13" s="82">
        <f t="shared" ca="1" si="28"/>
        <v>0.13043690463202742</v>
      </c>
      <c r="AI13" s="82">
        <f t="shared" ca="1" si="29"/>
        <v>488.35577094231053</v>
      </c>
      <c r="AJ13" s="82">
        <f t="shared" ca="1" si="30"/>
        <v>0.99870138445623224</v>
      </c>
      <c r="AK13" s="82">
        <f t="shared" ca="1" si="31"/>
        <v>10.865886635826024</v>
      </c>
      <c r="AL13" s="82">
        <f t="shared" ca="1" si="32"/>
        <v>0.18462979601204152</v>
      </c>
      <c r="AM13" s="77">
        <f t="shared" ca="1" si="33"/>
        <v>5408.9</v>
      </c>
      <c r="AN13" s="77">
        <f t="shared" ca="1" si="34"/>
        <v>26.328548487746968</v>
      </c>
      <c r="AO13" s="79">
        <f t="shared" ca="1" si="35"/>
        <v>83</v>
      </c>
      <c r="AP13" s="79" cm="1">
        <f t="array" aca="1" ref="AP13" ca="1">INDIRECT($A13&amp;"!$D$159")+INDIRECT($A13&amp;"!$E$159")</f>
        <v>65652</v>
      </c>
      <c r="AQ13" s="78">
        <f t="shared" ca="1" si="36"/>
        <v>0.18848510252243666</v>
      </c>
      <c r="AR13" s="78">
        <f t="shared" ca="1" si="37"/>
        <v>1019.4970710336077</v>
      </c>
      <c r="AS13" s="78">
        <f t="shared" ca="1" si="38"/>
        <v>0.99873575824041916</v>
      </c>
      <c r="AT13" s="78">
        <f t="shared" ca="1" si="39"/>
        <v>8.3517164514655793</v>
      </c>
      <c r="AU13" s="78">
        <f t="shared" ca="1" si="40"/>
        <v>0.29633326146640393</v>
      </c>
      <c r="AV13" s="84">
        <f t="shared" ca="1" si="41"/>
        <v>6178.9726215426308</v>
      </c>
      <c r="AW13" s="80">
        <f t="shared" ca="1" si="42"/>
        <v>1.2155806328987264</v>
      </c>
    </row>
    <row r="14" spans="1:49" ht="14.5" x14ac:dyDescent="0.25">
      <c r="A14" s="397">
        <v>2022.11</v>
      </c>
      <c r="B14" s="49">
        <f t="shared" ca="1" si="0"/>
        <v>348699</v>
      </c>
      <c r="C14" s="77">
        <f t="shared" ca="1" si="1"/>
        <v>8613.8000000000011</v>
      </c>
      <c r="D14" s="77">
        <f t="shared" ca="1" si="2"/>
        <v>24.909806779588447</v>
      </c>
      <c r="E14" s="79">
        <f t="shared" ca="1" si="3"/>
        <v>134</v>
      </c>
      <c r="F14" s="79" cm="1">
        <f t="array" aca="1" ref="F14" ca="1">INDIRECT($A14&amp;"!$D$155")+INDIRECT($A14&amp;"!$E$155")</f>
        <v>107371</v>
      </c>
      <c r="G14" s="78">
        <f t="shared" ca="1" si="4"/>
        <v>0.30791886412063124</v>
      </c>
      <c r="H14" s="78">
        <f t="shared" ca="1" si="5"/>
        <v>2652.3515117622937</v>
      </c>
      <c r="I14" s="78">
        <f t="shared" ca="1" si="6"/>
        <v>0.99875199076100618</v>
      </c>
      <c r="J14" s="78">
        <f t="shared" ca="1" si="7"/>
        <v>4.6305856253464963</v>
      </c>
      <c r="K14" s="78">
        <f t="shared" ca="1" si="8"/>
        <v>0.43849653840311154</v>
      </c>
      <c r="L14" s="81">
        <f t="shared" ca="1" si="9"/>
        <v>4980.3</v>
      </c>
      <c r="M14" s="81">
        <f t="shared" ca="1" si="10"/>
        <v>24.273266610199464</v>
      </c>
      <c r="N14" s="83">
        <f t="shared" ca="1" si="11"/>
        <v>76</v>
      </c>
      <c r="O14" s="83" cm="1">
        <f t="array" aca="1" ref="O14" ca="1">INDIRECT($A14&amp;"!$D$156")+INDIRECT($A14&amp;"!$E$156")</f>
        <v>59343</v>
      </c>
      <c r="P14" s="82">
        <f t="shared" ca="1" si="12"/>
        <v>0.17018402691146231</v>
      </c>
      <c r="Q14" s="82">
        <f t="shared" ca="1" si="13"/>
        <v>847.56750922715582</v>
      </c>
      <c r="R14" s="82">
        <f t="shared" ca="1" si="14"/>
        <v>0.99871930977537371</v>
      </c>
      <c r="S14" s="82">
        <f t="shared" ca="1" si="15"/>
        <v>7.752519367497686</v>
      </c>
      <c r="T14" s="82">
        <f t="shared" ca="1" si="16"/>
        <v>0.22424558341460266</v>
      </c>
      <c r="U14" s="77">
        <f t="shared" ca="1" si="17"/>
        <v>5716.2000000000016</v>
      </c>
      <c r="V14" s="77">
        <f t="shared" ca="1" si="18"/>
        <v>24.751417608827513</v>
      </c>
      <c r="W14" s="79">
        <f t="shared" ca="1" si="19"/>
        <v>89</v>
      </c>
      <c r="X14" s="79" cm="1">
        <f t="array" aca="1" ref="X14" ca="1">INDIRECT($A14&amp;"!$D$157")+INDIRECT($A14&amp;"!$E$157")</f>
        <v>70765</v>
      </c>
      <c r="Y14" s="78">
        <f t="shared" ca="1" si="20"/>
        <v>0.20294007152300408</v>
      </c>
      <c r="Z14" s="78">
        <f t="shared" ca="1" si="21"/>
        <v>1160.0460368397962</v>
      </c>
      <c r="AA14" s="78">
        <f t="shared" ca="1" si="22"/>
        <v>0.99874231611672437</v>
      </c>
      <c r="AB14" s="78">
        <f t="shared" ca="1" si="23"/>
        <v>6.8835131870401876</v>
      </c>
      <c r="AC14" s="78">
        <f t="shared" ca="1" si="24"/>
        <v>0.28313868976014983</v>
      </c>
      <c r="AD14" s="81">
        <f t="shared" ca="1" si="25"/>
        <v>3794.4999999999995</v>
      </c>
      <c r="AE14" s="81">
        <f t="shared" ca="1" si="26"/>
        <v>25.362573958540857</v>
      </c>
      <c r="AF14" s="83">
        <f t="shared" ca="1" si="27"/>
        <v>59</v>
      </c>
      <c r="AG14" s="83" cm="1">
        <f t="array" aca="1" ref="AG14" ca="1">INDIRECT($A14&amp;"!$D$158")+INDIRECT($A14&amp;"!$E$158")</f>
        <v>45475</v>
      </c>
      <c r="AH14" s="82">
        <f t="shared" ca="1" si="28"/>
        <v>0.13041333643056047</v>
      </c>
      <c r="AI14" s="82">
        <f t="shared" ca="1" si="29"/>
        <v>494.85340508576161</v>
      </c>
      <c r="AJ14" s="82">
        <f t="shared" ca="1" si="30"/>
        <v>0.99870258383727317</v>
      </c>
      <c r="AK14" s="82">
        <f t="shared" ca="1" si="31"/>
        <v>10.902714539024659</v>
      </c>
      <c r="AL14" s="82">
        <f t="shared" ca="1" si="32"/>
        <v>0.18518884644070957</v>
      </c>
      <c r="AM14" s="77">
        <f t="shared" ca="1" si="33"/>
        <v>5531.8999999999987</v>
      </c>
      <c r="AN14" s="77">
        <f t="shared" ca="1" si="34"/>
        <v>24.969470986386501</v>
      </c>
      <c r="AO14" s="79">
        <f t="shared" ca="1" si="35"/>
        <v>83</v>
      </c>
      <c r="AP14" s="79" cm="1">
        <f t="array" aca="1" ref="AP14" ca="1">INDIRECT($A14&amp;"!$D$159")+INDIRECT($A14&amp;"!$E$159")</f>
        <v>65745</v>
      </c>
      <c r="AQ14" s="78">
        <f t="shared" ca="1" si="36"/>
        <v>0.18854370101434187</v>
      </c>
      <c r="AR14" s="78">
        <f t="shared" ca="1" si="37"/>
        <v>1043.0048996412374</v>
      </c>
      <c r="AS14" s="78">
        <f t="shared" ca="1" si="38"/>
        <v>0.99873754658148906</v>
      </c>
      <c r="AT14" s="78">
        <f t="shared" ca="1" si="39"/>
        <v>7.5117407390361119</v>
      </c>
      <c r="AU14" s="78">
        <f t="shared" ca="1" si="40"/>
        <v>0.26669570577109103</v>
      </c>
      <c r="AV14" s="84">
        <f t="shared" ca="1" si="41"/>
        <v>6197.8233625562443</v>
      </c>
      <c r="AW14" s="80">
        <f t="shared" ca="1" si="42"/>
        <v>1.1822712733504375</v>
      </c>
    </row>
    <row r="15" spans="1:49" ht="14.5" x14ac:dyDescent="0.25">
      <c r="A15" s="397">
        <v>2022.12</v>
      </c>
      <c r="B15" s="49">
        <f t="shared" ca="1" si="0"/>
        <v>347797</v>
      </c>
      <c r="C15" s="77">
        <f t="shared" ca="1" si="1"/>
        <v>8464.3000000000011</v>
      </c>
      <c r="D15" s="77">
        <f t="shared" ca="1" si="2"/>
        <v>24.834250372890949</v>
      </c>
      <c r="E15" s="79">
        <f t="shared" ca="1" si="3"/>
        <v>134</v>
      </c>
      <c r="F15" s="79" cm="1">
        <f t="array" aca="1" ref="F15" ca="1">INDIRECT($A15&amp;"!$D$155")+INDIRECT($A15&amp;"!$E$155")</f>
        <v>107120</v>
      </c>
      <c r="G15" s="78">
        <f t="shared" ca="1" si="4"/>
        <v>0.30799575614510766</v>
      </c>
      <c r="H15" s="78">
        <f t="shared" ca="1" si="5"/>
        <v>2606.9684787390352</v>
      </c>
      <c r="I15" s="78">
        <f t="shared" ca="1" si="6"/>
        <v>0.99874906646751305</v>
      </c>
      <c r="J15" s="78">
        <f t="shared" ca="1" si="7"/>
        <v>4.6025372506226443</v>
      </c>
      <c r="K15" s="78">
        <f t="shared" ca="1" si="8"/>
        <v>0.43605690039541967</v>
      </c>
      <c r="L15" s="81">
        <f t="shared" ca="1" si="9"/>
        <v>5071.1000000000013</v>
      </c>
      <c r="M15" s="81">
        <f t="shared" ca="1" si="10"/>
        <v>25.447761525656116</v>
      </c>
      <c r="N15" s="83">
        <f t="shared" ca="1" si="11"/>
        <v>76</v>
      </c>
      <c r="O15" s="83" cm="1">
        <f t="array" aca="1" ref="O15" ca="1">INDIRECT($A15&amp;"!$D$156")+INDIRECT($A15&amp;"!$E$156")</f>
        <v>59208</v>
      </c>
      <c r="P15" s="82">
        <f t="shared" ca="1" si="12"/>
        <v>0.17023723608886793</v>
      </c>
      <c r="Q15" s="82">
        <f t="shared" ca="1" si="13"/>
        <v>863.29004793025831</v>
      </c>
      <c r="R15" s="82">
        <f t="shared" ca="1" si="14"/>
        <v>0.99871638967707066</v>
      </c>
      <c r="S15" s="82">
        <f t="shared" ca="1" si="15"/>
        <v>8.5209021929824171</v>
      </c>
      <c r="T15" s="82">
        <f t="shared" ca="1" si="16"/>
        <v>0.24662487410574252</v>
      </c>
      <c r="U15" s="77">
        <f t="shared" ca="1" si="17"/>
        <v>5751.2000000000007</v>
      </c>
      <c r="V15" s="77">
        <f t="shared" ca="1" si="18"/>
        <v>26.149944288899821</v>
      </c>
      <c r="W15" s="79">
        <f t="shared" ca="1" si="19"/>
        <v>89</v>
      </c>
      <c r="X15" s="79" cm="1">
        <f t="array" aca="1" ref="X15" ca="1">INDIRECT($A15&amp;"!$D$157")+INDIRECT($A15&amp;"!$E$157")</f>
        <v>70566</v>
      </c>
      <c r="Y15" s="78">
        <f t="shared" ca="1" si="20"/>
        <v>0.20289421702889904</v>
      </c>
      <c r="Z15" s="78">
        <f t="shared" ca="1" si="21"/>
        <v>1166.8852209766044</v>
      </c>
      <c r="AA15" s="78">
        <f t="shared" ca="1" si="22"/>
        <v>0.99873876937902106</v>
      </c>
      <c r="AB15" s="78">
        <f t="shared" ca="1" si="23"/>
        <v>7.6833661383434206</v>
      </c>
      <c r="AC15" s="78">
        <f t="shared" ca="1" si="24"/>
        <v>0.3158950172387191</v>
      </c>
      <c r="AD15" s="81">
        <f t="shared" ca="1" si="25"/>
        <v>3801.2</v>
      </c>
      <c r="AE15" s="81">
        <f t="shared" ca="1" si="26"/>
        <v>24.669091582092783</v>
      </c>
      <c r="AF15" s="83">
        <f t="shared" ca="1" si="27"/>
        <v>59</v>
      </c>
      <c r="AG15" s="83" cm="1">
        <f t="array" aca="1" ref="AG15" ca="1">INDIRECT($A15&amp;"!$D$158")+INDIRECT($A15&amp;"!$E$158")</f>
        <v>45375</v>
      </c>
      <c r="AH15" s="82">
        <f t="shared" ca="1" si="28"/>
        <v>0.13046403505493148</v>
      </c>
      <c r="AI15" s="82">
        <f t="shared" ca="1" si="29"/>
        <v>495.91989005080552</v>
      </c>
      <c r="AJ15" s="82">
        <f t="shared" ca="1" si="30"/>
        <v>0.99869972451790634</v>
      </c>
      <c r="AK15" s="82">
        <f t="shared" ca="1" si="31"/>
        <v>10.314645415011542</v>
      </c>
      <c r="AL15" s="82">
        <f t="shared" ca="1" si="32"/>
        <v>0.17533589958402016</v>
      </c>
      <c r="AM15" s="77">
        <f t="shared" ca="1" si="33"/>
        <v>5339.9999999999982</v>
      </c>
      <c r="AN15" s="77">
        <f t="shared" ca="1" si="34"/>
        <v>26.10224600579744</v>
      </c>
      <c r="AO15" s="79">
        <f t="shared" ca="1" si="35"/>
        <v>83</v>
      </c>
      <c r="AP15" s="79" cm="1">
        <f t="array" aca="1" ref="AP15" ca="1">INDIRECT($A15&amp;"!$D$159")+INDIRECT($A15&amp;"!$E$159")</f>
        <v>65528</v>
      </c>
      <c r="AQ15" s="78">
        <f t="shared" ca="1" si="36"/>
        <v>0.18840875568219392</v>
      </c>
      <c r="AR15" s="78">
        <f t="shared" ca="1" si="37"/>
        <v>1006.1027553429152</v>
      </c>
      <c r="AS15" s="78">
        <f t="shared" ca="1" si="38"/>
        <v>0.99873336588939077</v>
      </c>
      <c r="AT15" s="78">
        <f t="shared" ca="1" si="39"/>
        <v>8.2087620065923907</v>
      </c>
      <c r="AU15" s="78">
        <f t="shared" ca="1" si="40"/>
        <v>0.29102438914280299</v>
      </c>
      <c r="AV15" s="84">
        <f t="shared" ca="1" si="41"/>
        <v>6139.166393039618</v>
      </c>
      <c r="AW15" s="80">
        <f t="shared" ca="1" si="42"/>
        <v>1.210345851592306</v>
      </c>
    </row>
    <row r="16" spans="1:49" ht="18.5" x14ac:dyDescent="0.25">
      <c r="A16" s="544" t="s">
        <v>126</v>
      </c>
      <c r="B16" s="544"/>
      <c r="C16" s="544"/>
      <c r="D16" s="544"/>
      <c r="E16" s="544"/>
      <c r="F16" s="544"/>
      <c r="G16" s="50"/>
      <c r="H16" s="50"/>
      <c r="I16" s="50"/>
      <c r="J16" s="50"/>
      <c r="K16" s="85"/>
      <c r="L16" s="50"/>
      <c r="M16" s="50"/>
      <c r="N16" s="40"/>
      <c r="O16" s="40"/>
      <c r="P16" s="40"/>
      <c r="Q16" s="40"/>
      <c r="R16" s="40"/>
      <c r="S16" s="40"/>
      <c r="T16" s="40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</row>
    <row r="17" spans="1:49" ht="39" customHeight="1" x14ac:dyDescent="0.25">
      <c r="A17" s="553"/>
      <c r="B17" s="553"/>
      <c r="C17" s="553"/>
      <c r="D17" s="553"/>
      <c r="E17" s="553"/>
      <c r="F17" s="553"/>
      <c r="G17" s="52"/>
      <c r="H17" s="53"/>
      <c r="I17" s="53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</row>
    <row r="18" spans="1:49" ht="16.5" x14ac:dyDescent="0.25">
      <c r="A18" s="54" t="s">
        <v>127</v>
      </c>
      <c r="B18" s="552" t="s">
        <v>128</v>
      </c>
      <c r="C18" s="552"/>
      <c r="D18" s="552"/>
      <c r="E18" s="552"/>
      <c r="F18" s="552"/>
      <c r="G18" s="55"/>
      <c r="H18" s="56"/>
      <c r="I18" s="56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</row>
    <row r="19" spans="1:49" ht="16.5" x14ac:dyDescent="0.25">
      <c r="A19" s="54" t="s">
        <v>129</v>
      </c>
      <c r="B19" s="552" t="s">
        <v>130</v>
      </c>
      <c r="C19" s="552"/>
      <c r="D19" s="552"/>
      <c r="E19" s="552"/>
      <c r="F19" s="552"/>
      <c r="G19" s="55"/>
      <c r="H19" s="56"/>
      <c r="I19" s="56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</row>
    <row r="20" spans="1:49" ht="15.5" x14ac:dyDescent="0.25">
      <c r="A20" s="54" t="s">
        <v>131</v>
      </c>
      <c r="B20" s="552" t="s">
        <v>114</v>
      </c>
      <c r="C20" s="552"/>
      <c r="D20" s="552"/>
      <c r="E20" s="552"/>
      <c r="F20" s="552"/>
      <c r="G20" s="55"/>
      <c r="H20" s="56"/>
      <c r="I20" s="56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</row>
    <row r="21" spans="1:49" ht="16.5" x14ac:dyDescent="0.25">
      <c r="A21" s="54" t="s">
        <v>132</v>
      </c>
      <c r="B21" s="552" t="s">
        <v>133</v>
      </c>
      <c r="C21" s="552"/>
      <c r="D21" s="552"/>
      <c r="E21" s="552"/>
      <c r="F21" s="552"/>
      <c r="G21" s="55"/>
      <c r="H21" s="56"/>
      <c r="I21" s="56"/>
      <c r="J21" s="51"/>
      <c r="K21" s="51"/>
      <c r="L21" s="51"/>
      <c r="N21" s="51"/>
      <c r="O21" s="51"/>
      <c r="P21" s="51"/>
      <c r="R21" s="51"/>
      <c r="S21" s="51"/>
      <c r="T21" s="51"/>
      <c r="U21" s="51"/>
    </row>
    <row r="22" spans="1:49" ht="15.5" x14ac:dyDescent="0.25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1:49" ht="15.5" x14ac:dyDescent="0.25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</row>
    <row r="24" spans="1:49" ht="18.5" x14ac:dyDescent="0.25">
      <c r="A24" s="544" t="s">
        <v>134</v>
      </c>
      <c r="B24" s="544"/>
      <c r="C24" s="544"/>
      <c r="D24" s="544"/>
      <c r="E24" s="544"/>
      <c r="F24" s="544"/>
      <c r="G24" s="50"/>
      <c r="H24" s="50"/>
      <c r="I24" s="50"/>
      <c r="J24" s="51"/>
      <c r="K24" s="51"/>
      <c r="L24" s="51"/>
      <c r="M24" s="51"/>
      <c r="N24" s="51"/>
      <c r="O24" s="51"/>
      <c r="P24" s="51"/>
      <c r="Q24" s="51"/>
      <c r="R24" s="40"/>
      <c r="S24" s="40"/>
      <c r="T24" s="40"/>
    </row>
    <row r="25" spans="1:49" ht="57" customHeight="1" x14ac:dyDescent="0.25">
      <c r="A25" s="553"/>
      <c r="B25" s="553"/>
      <c r="C25" s="553"/>
      <c r="D25" s="553"/>
      <c r="E25" s="553"/>
      <c r="F25" s="553"/>
      <c r="G25" s="52"/>
      <c r="H25" s="53"/>
      <c r="I25" s="53"/>
      <c r="J25" s="53"/>
      <c r="K25" s="51"/>
      <c r="L25" s="51"/>
      <c r="M25" s="53"/>
      <c r="N25" s="51"/>
      <c r="O25" s="57"/>
      <c r="P25" s="57"/>
      <c r="Q25" s="57"/>
      <c r="R25" s="57"/>
      <c r="S25" s="57"/>
      <c r="T25" s="57"/>
    </row>
    <row r="26" spans="1:49" ht="16.5" x14ac:dyDescent="0.25">
      <c r="A26" s="54" t="s">
        <v>135</v>
      </c>
      <c r="B26" s="551" t="s">
        <v>136</v>
      </c>
      <c r="C26" s="551"/>
      <c r="D26" s="551"/>
      <c r="E26" s="551"/>
      <c r="F26" s="551"/>
      <c r="G26" s="55"/>
      <c r="H26" s="56"/>
      <c r="I26" s="56"/>
      <c r="J26" s="56"/>
      <c r="K26" s="51"/>
      <c r="L26" s="51"/>
      <c r="M26" s="56"/>
      <c r="N26" s="51"/>
      <c r="O26" s="58"/>
      <c r="P26" s="58"/>
      <c r="Q26" s="58"/>
      <c r="R26" s="58"/>
      <c r="S26" s="58"/>
      <c r="T26" s="58"/>
      <c r="V26" s="59"/>
      <c r="W26" s="59"/>
      <c r="X26" s="59"/>
      <c r="Y26" s="59"/>
      <c r="Z26" s="59"/>
      <c r="AA26" s="59"/>
      <c r="AB26" s="59"/>
      <c r="AC26" s="59"/>
      <c r="AD26" s="59"/>
    </row>
    <row r="27" spans="1:49" ht="16.5" x14ac:dyDescent="0.25">
      <c r="A27" s="54" t="s">
        <v>129</v>
      </c>
      <c r="B27" s="552" t="s">
        <v>130</v>
      </c>
      <c r="C27" s="552"/>
      <c r="D27" s="552"/>
      <c r="E27" s="552"/>
      <c r="F27" s="552"/>
      <c r="G27" s="60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</row>
    <row r="28" spans="1:49" ht="14.5" x14ac:dyDescent="0.25">
      <c r="A28" s="54" t="s">
        <v>131</v>
      </c>
      <c r="B28" s="552" t="s">
        <v>114</v>
      </c>
      <c r="C28" s="552"/>
      <c r="D28" s="552"/>
      <c r="E28" s="552"/>
      <c r="F28" s="552"/>
      <c r="G28" s="55"/>
      <c r="H28" s="56"/>
      <c r="I28" s="56"/>
      <c r="J28" s="56"/>
      <c r="K28" s="56"/>
      <c r="L28" s="56"/>
      <c r="M28" s="56"/>
      <c r="N28" s="58"/>
      <c r="O28" s="58"/>
      <c r="P28" s="58"/>
      <c r="Q28" s="58"/>
      <c r="R28" s="58"/>
      <c r="S28" s="58"/>
      <c r="T28" s="58"/>
    </row>
    <row r="29" spans="1:49" ht="19.5" customHeight="1" x14ac:dyDescent="0.25">
      <c r="A29" s="54" t="s">
        <v>137</v>
      </c>
      <c r="B29" s="551" t="s">
        <v>138</v>
      </c>
      <c r="C29" s="551"/>
      <c r="D29" s="551"/>
      <c r="E29" s="551"/>
      <c r="F29" s="551"/>
      <c r="G29" s="61"/>
      <c r="H29" s="62"/>
      <c r="I29" s="62"/>
      <c r="J29" s="62"/>
      <c r="K29" s="62"/>
      <c r="L29" s="62"/>
      <c r="M29" s="62"/>
      <c r="N29" s="63"/>
      <c r="O29" s="63"/>
      <c r="P29" s="63"/>
      <c r="Q29" s="63"/>
      <c r="R29" s="63"/>
      <c r="S29" s="63"/>
      <c r="T29" s="63"/>
      <c r="AE29" s="59"/>
      <c r="AF29" s="59"/>
      <c r="AG29" s="59"/>
      <c r="AH29" s="59"/>
      <c r="AI29" s="59"/>
      <c r="AJ29" s="59"/>
      <c r="AK29" s="59"/>
      <c r="AL29" s="59"/>
    </row>
    <row r="30" spans="1:49" ht="16.5" x14ac:dyDescent="0.25">
      <c r="A30" s="54" t="s">
        <v>139</v>
      </c>
      <c r="B30" s="552" t="s">
        <v>140</v>
      </c>
      <c r="C30" s="552"/>
      <c r="D30" s="552"/>
      <c r="E30" s="552"/>
      <c r="F30" s="552"/>
      <c r="G30" s="55"/>
      <c r="H30" s="56"/>
      <c r="I30" s="56"/>
      <c r="J30" s="56"/>
      <c r="K30" s="56"/>
      <c r="L30" s="56"/>
      <c r="M30" s="56"/>
      <c r="N30" s="58"/>
      <c r="O30" s="58"/>
      <c r="P30" s="58"/>
      <c r="Q30" s="58"/>
      <c r="R30" s="58"/>
      <c r="S30" s="58"/>
      <c r="T30" s="58"/>
      <c r="AD30" s="59"/>
    </row>
    <row r="32" spans="1:49" ht="18.5" x14ac:dyDescent="0.25">
      <c r="A32" s="544" t="s">
        <v>141</v>
      </c>
      <c r="B32" s="544"/>
      <c r="C32" s="544"/>
      <c r="D32" s="544"/>
      <c r="E32" s="544"/>
      <c r="F32" s="544"/>
      <c r="G32" s="50"/>
      <c r="H32" s="50"/>
      <c r="I32" s="50"/>
      <c r="J32" s="50"/>
      <c r="K32" s="50"/>
      <c r="L32" s="50"/>
      <c r="M32" s="50"/>
      <c r="N32" s="40"/>
      <c r="O32" s="40"/>
      <c r="P32" s="40"/>
      <c r="Q32" s="40"/>
      <c r="R32" s="40"/>
      <c r="S32" s="40"/>
      <c r="T32" s="40"/>
    </row>
    <row r="33" spans="1:47" ht="93.75" customHeight="1" x14ac:dyDescent="0.25">
      <c r="A33" s="64">
        <f>TINV(0.05,441)</f>
        <v>1.965357827203015</v>
      </c>
      <c r="B33" s="554" t="s">
        <v>364</v>
      </c>
      <c r="C33" s="554"/>
      <c r="D33" s="554"/>
      <c r="E33" s="554"/>
      <c r="F33" s="554"/>
      <c r="G33" s="65"/>
      <c r="H33" s="65"/>
      <c r="I33" s="65"/>
      <c r="J33" s="65"/>
      <c r="K33" s="65"/>
      <c r="L33" s="65"/>
      <c r="M33" s="65"/>
      <c r="N33" s="66"/>
      <c r="O33" s="66"/>
      <c r="P33" s="66"/>
      <c r="Q33" s="66"/>
      <c r="R33" s="66"/>
      <c r="S33" s="66"/>
      <c r="T33" s="66"/>
    </row>
    <row r="34" spans="1:47" ht="17.25" customHeight="1" x14ac:dyDescent="0.25"/>
    <row r="35" spans="1:47" ht="17.25" customHeight="1" x14ac:dyDescent="0.25">
      <c r="A35" s="544" t="s">
        <v>142</v>
      </c>
      <c r="B35" s="544"/>
      <c r="C35" s="544"/>
      <c r="D35" s="544"/>
      <c r="E35" s="544"/>
      <c r="F35" s="544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</row>
    <row r="36" spans="1:47" ht="37.5" customHeight="1" x14ac:dyDescent="0.25">
      <c r="A36" s="64" t="s">
        <v>143</v>
      </c>
      <c r="B36" s="555" t="s">
        <v>144</v>
      </c>
      <c r="C36" s="555"/>
      <c r="D36" s="555"/>
      <c r="E36" s="555"/>
      <c r="F36" s="555"/>
      <c r="G36" s="67"/>
      <c r="H36" s="67"/>
      <c r="I36" s="67"/>
      <c r="J36" s="67"/>
      <c r="K36" s="67"/>
      <c r="L36" s="67"/>
      <c r="M36" s="67"/>
      <c r="N36" s="68"/>
      <c r="O36" s="68"/>
      <c r="P36" s="68"/>
      <c r="Q36" s="68"/>
      <c r="R36" s="68"/>
      <c r="S36" s="68"/>
      <c r="T36" s="68"/>
    </row>
    <row r="38" spans="1:47" ht="18.5" x14ac:dyDescent="0.25">
      <c r="A38" s="544" t="s">
        <v>145</v>
      </c>
      <c r="B38" s="544"/>
      <c r="C38" s="544"/>
      <c r="D38" s="544"/>
      <c r="E38" s="544"/>
      <c r="F38" s="544"/>
      <c r="G38" s="50"/>
      <c r="H38" s="50"/>
      <c r="I38" s="50"/>
      <c r="J38" s="50"/>
      <c r="K38" s="50"/>
      <c r="L38" s="50"/>
      <c r="M38" s="50"/>
      <c r="N38" s="40"/>
      <c r="O38" s="40"/>
      <c r="P38" s="40"/>
      <c r="Q38" s="40"/>
      <c r="R38" s="40"/>
      <c r="S38" s="40"/>
      <c r="T38" s="40"/>
    </row>
    <row r="39" spans="1:47" ht="31" x14ac:dyDescent="0.25">
      <c r="A39" s="42" t="s">
        <v>113</v>
      </c>
      <c r="B39" s="69" t="s">
        <v>146</v>
      </c>
      <c r="C39" s="69" t="s">
        <v>115</v>
      </c>
      <c r="D39" s="70" t="s">
        <v>116</v>
      </c>
      <c r="E39" s="44" t="s">
        <v>147</v>
      </c>
      <c r="F39" s="70" t="s">
        <v>148</v>
      </c>
      <c r="G39" s="71"/>
      <c r="H39" s="72"/>
      <c r="I39" s="72"/>
      <c r="J39" s="72"/>
      <c r="K39" s="72"/>
      <c r="L39" s="73"/>
      <c r="M39" s="72"/>
      <c r="N39" s="72"/>
      <c r="O39" s="72"/>
      <c r="P39" s="72"/>
      <c r="Q39" s="72"/>
      <c r="R39" s="72"/>
      <c r="S39" s="72"/>
      <c r="T39" s="72"/>
      <c r="U39" s="74"/>
      <c r="V39" s="75"/>
      <c r="W39" s="75"/>
      <c r="X39" s="75"/>
      <c r="Y39" s="75"/>
      <c r="Z39" s="75"/>
      <c r="AA39" s="75"/>
      <c r="AB39" s="75"/>
      <c r="AC39" s="75"/>
      <c r="AD39" s="74"/>
      <c r="AE39" s="75"/>
      <c r="AF39" s="75"/>
      <c r="AG39" s="75"/>
      <c r="AH39" s="75"/>
      <c r="AI39" s="75"/>
      <c r="AJ39" s="75"/>
      <c r="AK39" s="75"/>
      <c r="AL39" s="75"/>
      <c r="AM39" s="74"/>
      <c r="AN39" s="75"/>
      <c r="AO39" s="75"/>
      <c r="AP39" s="75"/>
      <c r="AQ39" s="75"/>
      <c r="AR39" s="75"/>
      <c r="AS39" s="75"/>
      <c r="AT39" s="75"/>
      <c r="AU39" s="75"/>
    </row>
    <row r="40" spans="1:47" ht="14.5" x14ac:dyDescent="0.25">
      <c r="A40" s="398">
        <f>A4</f>
        <v>2022.01</v>
      </c>
      <c r="B40" s="76">
        <f>A$33</f>
        <v>1.965357827203015</v>
      </c>
      <c r="C40" s="312">
        <f ca="1">AV4</f>
        <v>6236.4863772777535</v>
      </c>
      <c r="D40" s="76">
        <f t="shared" ref="D40:D51" ca="1" si="43">AW4</f>
        <v>1.2328288583609064</v>
      </c>
      <c r="E40" s="76">
        <f ca="1">B40*D40</f>
        <v>2.4229498463813646</v>
      </c>
      <c r="F40" s="313">
        <f ca="1">E40/C40</f>
        <v>3.8851200817326088E-4</v>
      </c>
    </row>
    <row r="41" spans="1:47" ht="14.5" x14ac:dyDescent="0.25">
      <c r="A41" s="398">
        <f t="shared" ref="A41:A51" si="44">A5</f>
        <v>2022.02</v>
      </c>
      <c r="B41" s="76">
        <f t="shared" ref="B41:B51" si="45">A$33</f>
        <v>1.965357827203015</v>
      </c>
      <c r="C41" s="312">
        <f t="shared" ref="C41:C51" ca="1" si="46">AV5</f>
        <v>6185.9052875794277</v>
      </c>
      <c r="D41" s="76">
        <f t="shared" ca="1" si="43"/>
        <v>1.2136815276273867</v>
      </c>
      <c r="E41" s="76">
        <f t="shared" ref="E41:E51" ca="1" si="47">B41*D41</f>
        <v>2.3853184900541966</v>
      </c>
      <c r="F41" s="313">
        <f t="shared" ref="F41:F51" ca="1" si="48">E41/C41</f>
        <v>3.8560540117606331E-4</v>
      </c>
    </row>
    <row r="42" spans="1:47" ht="14.5" x14ac:dyDescent="0.25">
      <c r="A42" s="398">
        <f t="shared" si="44"/>
        <v>2022.03</v>
      </c>
      <c r="B42" s="76">
        <f t="shared" si="45"/>
        <v>1.965357827203015</v>
      </c>
      <c r="C42" s="312">
        <f t="shared" ca="1" si="46"/>
        <v>6247.6918377314578</v>
      </c>
      <c r="D42" s="76">
        <f t="shared" ca="1" si="43"/>
        <v>1.1891244685926954</v>
      </c>
      <c r="E42" s="76">
        <f t="shared" ca="1" si="47"/>
        <v>2.3370550818672795</v>
      </c>
      <c r="F42" s="313">
        <f t="shared" ca="1" si="48"/>
        <v>3.7406695825699789E-4</v>
      </c>
    </row>
    <row r="43" spans="1:47" ht="14.5" x14ac:dyDescent="0.25">
      <c r="A43" s="398">
        <f t="shared" si="44"/>
        <v>2022.04</v>
      </c>
      <c r="B43" s="76">
        <f t="shared" si="45"/>
        <v>1.965357827203015</v>
      </c>
      <c r="C43" s="312">
        <f t="shared" ca="1" si="46"/>
        <v>6135.6760476684485</v>
      </c>
      <c r="D43" s="76">
        <f t="shared" ca="1" si="43"/>
        <v>1.2151224818463688</v>
      </c>
      <c r="E43" s="76">
        <f t="shared" ca="1" si="47"/>
        <v>2.3881504807071146</v>
      </c>
      <c r="F43" s="313">
        <f t="shared" ca="1" si="48"/>
        <v>3.8922369143243958E-4</v>
      </c>
    </row>
    <row r="44" spans="1:47" ht="14.5" x14ac:dyDescent="0.25">
      <c r="A44" s="398">
        <f t="shared" si="44"/>
        <v>2022.05</v>
      </c>
      <c r="B44" s="76">
        <f t="shared" si="45"/>
        <v>1.965357827203015</v>
      </c>
      <c r="C44" s="312">
        <f t="shared" ca="1" si="46"/>
        <v>6147.0124379666868</v>
      </c>
      <c r="D44" s="76">
        <f t="shared" ca="1" si="43"/>
        <v>1.2001520151037508</v>
      </c>
      <c r="E44" s="76">
        <f t="shared" ca="1" si="47"/>
        <v>2.3587281567176279</v>
      </c>
      <c r="F44" s="313">
        <f t="shared" ca="1" si="48"/>
        <v>3.8371943777908634E-4</v>
      </c>
    </row>
    <row r="45" spans="1:47" ht="14.5" x14ac:dyDescent="0.25">
      <c r="A45" s="398">
        <f t="shared" si="44"/>
        <v>2022.06</v>
      </c>
      <c r="B45" s="76">
        <f t="shared" si="45"/>
        <v>1.965357827203015</v>
      </c>
      <c r="C45" s="312">
        <f t="shared" ca="1" si="46"/>
        <v>6214.7417893785259</v>
      </c>
      <c r="D45" s="76">
        <f t="shared" ca="1" si="43"/>
        <v>1.2133456778138803</v>
      </c>
      <c r="E45" s="76">
        <f t="shared" ca="1" si="47"/>
        <v>2.3846584249944573</v>
      </c>
      <c r="F45" s="313">
        <f t="shared" ca="1" si="48"/>
        <v>3.8370997634528E-4</v>
      </c>
    </row>
    <row r="46" spans="1:47" ht="14.5" x14ac:dyDescent="0.25">
      <c r="A46" s="398">
        <f t="shared" si="44"/>
        <v>2022.07</v>
      </c>
      <c r="B46" s="76">
        <f t="shared" si="45"/>
        <v>1.965357827203015</v>
      </c>
      <c r="C46" s="312">
        <f t="shared" ca="1" si="46"/>
        <v>6224.5411764705887</v>
      </c>
      <c r="D46" s="76">
        <f t="shared" ca="1" si="43"/>
        <v>1.1913034085966021</v>
      </c>
      <c r="E46" s="76">
        <f t="shared" ca="1" si="47"/>
        <v>2.3413374786589634</v>
      </c>
      <c r="F46" s="313">
        <f t="shared" ca="1" si="48"/>
        <v>3.7614619492107499E-4</v>
      </c>
    </row>
    <row r="47" spans="1:47" ht="14.5" x14ac:dyDescent="0.25">
      <c r="A47" s="398">
        <f t="shared" si="44"/>
        <v>2022.08</v>
      </c>
      <c r="B47" s="76">
        <f t="shared" si="45"/>
        <v>1.965357827203015</v>
      </c>
      <c r="C47" s="312">
        <f t="shared" ca="1" si="46"/>
        <v>6243.0645872377117</v>
      </c>
      <c r="D47" s="76">
        <f t="shared" ca="1" si="43"/>
        <v>1.2100645608547789</v>
      </c>
      <c r="E47" s="76">
        <f t="shared" ca="1" si="47"/>
        <v>2.3782098560969187</v>
      </c>
      <c r="F47" s="313">
        <f t="shared" ca="1" si="48"/>
        <v>3.8093628903960682E-4</v>
      </c>
    </row>
    <row r="48" spans="1:47" ht="14.5" x14ac:dyDescent="0.25">
      <c r="A48" s="398">
        <f t="shared" si="44"/>
        <v>2022.09</v>
      </c>
      <c r="B48" s="76">
        <f t="shared" si="45"/>
        <v>1.965357827203015</v>
      </c>
      <c r="C48" s="312">
        <f t="shared" ca="1" si="46"/>
        <v>6163.1325695482419</v>
      </c>
      <c r="D48" s="76">
        <f t="shared" ca="1" si="43"/>
        <v>1.1940186557442094</v>
      </c>
      <c r="E48" s="76">
        <f t="shared" ca="1" si="47"/>
        <v>2.3466739108933043</v>
      </c>
      <c r="F48" s="313">
        <f t="shared" ca="1" si="48"/>
        <v>3.8075992758749238E-4</v>
      </c>
    </row>
    <row r="49" spans="1:6" ht="14.5" x14ac:dyDescent="0.25">
      <c r="A49" s="398" t="str">
        <f t="shared" si="44"/>
        <v>2022.10</v>
      </c>
      <c r="B49" s="76">
        <f t="shared" si="45"/>
        <v>1.965357827203015</v>
      </c>
      <c r="C49" s="312">
        <f t="shared" ca="1" si="46"/>
        <v>6178.9726215426308</v>
      </c>
      <c r="D49" s="76">
        <f t="shared" ca="1" si="43"/>
        <v>1.2155806328987264</v>
      </c>
      <c r="E49" s="76">
        <f t="shared" ca="1" si="47"/>
        <v>2.3890509114639067</v>
      </c>
      <c r="F49" s="313">
        <f t="shared" ca="1" si="48"/>
        <v>3.8664209372519614E-4</v>
      </c>
    </row>
    <row r="50" spans="1:6" ht="14.5" x14ac:dyDescent="0.25">
      <c r="A50" s="398">
        <f t="shared" si="44"/>
        <v>2022.11</v>
      </c>
      <c r="B50" s="76">
        <f t="shared" si="45"/>
        <v>1.965357827203015</v>
      </c>
      <c r="C50" s="312">
        <f t="shared" ca="1" si="46"/>
        <v>6197.8233625562443</v>
      </c>
      <c r="D50" s="76">
        <f t="shared" ca="1" si="43"/>
        <v>1.1822712733504375</v>
      </c>
      <c r="E50" s="76">
        <f t="shared" ca="1" si="47"/>
        <v>2.3235861009565575</v>
      </c>
      <c r="F50" s="313">
        <f t="shared" ca="1" si="48"/>
        <v>3.7490356937152405E-4</v>
      </c>
    </row>
    <row r="51" spans="1:6" ht="14.5" x14ac:dyDescent="0.25">
      <c r="A51" s="398">
        <f t="shared" si="44"/>
        <v>2022.12</v>
      </c>
      <c r="B51" s="76">
        <f t="shared" si="45"/>
        <v>1.965357827203015</v>
      </c>
      <c r="C51" s="312">
        <f t="shared" ca="1" si="46"/>
        <v>6139.166393039618</v>
      </c>
      <c r="D51" s="76">
        <f t="shared" ca="1" si="43"/>
        <v>1.210345851592306</v>
      </c>
      <c r="E51" s="76">
        <f t="shared" ca="1" si="47"/>
        <v>2.3787626930496373</v>
      </c>
      <c r="F51" s="313">
        <f t="shared" ca="1" si="48"/>
        <v>3.8747323997385036E-4</v>
      </c>
    </row>
  </sheetData>
  <mergeCells count="26">
    <mergeCell ref="A32:F32"/>
    <mergeCell ref="B33:F33"/>
    <mergeCell ref="A35:F35"/>
    <mergeCell ref="B36:F36"/>
    <mergeCell ref="A38:F38"/>
    <mergeCell ref="B29:F29"/>
    <mergeCell ref="B30:F30"/>
    <mergeCell ref="A17:F17"/>
    <mergeCell ref="B18:F18"/>
    <mergeCell ref="B19:F19"/>
    <mergeCell ref="B20:F20"/>
    <mergeCell ref="B21:F21"/>
    <mergeCell ref="A24:F24"/>
    <mergeCell ref="A25:F25"/>
    <mergeCell ref="B26:F26"/>
    <mergeCell ref="B27:F27"/>
    <mergeCell ref="B28:F28"/>
    <mergeCell ref="AV2:AV3"/>
    <mergeCell ref="AW2:AW3"/>
    <mergeCell ref="A16:F16"/>
    <mergeCell ref="AM2:AU2"/>
    <mergeCell ref="A1:F1"/>
    <mergeCell ref="C2:K2"/>
    <mergeCell ref="L2:T2"/>
    <mergeCell ref="U2:AC2"/>
    <mergeCell ref="AD2:AL2"/>
  </mergeCells>
  <phoneticPr fontId="36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65"/>
  <sheetViews>
    <sheetView zoomScale="55" zoomScaleNormal="55" workbookViewId="0">
      <selection activeCell="B68" sqref="B68"/>
    </sheetView>
  </sheetViews>
  <sheetFormatPr defaultColWidth="9.1796875" defaultRowHeight="12.5" x14ac:dyDescent="0.25"/>
  <cols>
    <col min="1" max="1" width="25" customWidth="1"/>
    <col min="2" max="2" width="17" bestFit="1" customWidth="1"/>
    <col min="3" max="3" width="24" bestFit="1" customWidth="1"/>
    <col min="4" max="4" width="23.81640625" bestFit="1" customWidth="1"/>
    <col min="5" max="5" width="22.453125" bestFit="1" customWidth="1"/>
    <col min="6" max="6" width="24.54296875" bestFit="1" customWidth="1"/>
    <col min="7" max="7" width="24.1796875" bestFit="1" customWidth="1"/>
    <col min="8" max="8" width="15.54296875" customWidth="1"/>
  </cols>
  <sheetData>
    <row r="1" spans="1:8" ht="14.5" x14ac:dyDescent="0.35">
      <c r="A1" s="556" t="s">
        <v>302</v>
      </c>
      <c r="B1" s="557"/>
      <c r="C1" s="557"/>
      <c r="D1" s="557"/>
      <c r="E1" s="557"/>
      <c r="F1" s="557"/>
      <c r="G1" s="558"/>
      <c r="H1" s="318"/>
    </row>
    <row r="2" spans="1:8" ht="25" customHeight="1" x14ac:dyDescent="0.35">
      <c r="A2" s="336" t="s">
        <v>326</v>
      </c>
      <c r="B2" s="337">
        <v>2022.01</v>
      </c>
      <c r="C2" s="337"/>
      <c r="D2" s="337"/>
      <c r="E2" s="337"/>
      <c r="F2" s="337"/>
      <c r="G2" s="338"/>
      <c r="H2" s="318"/>
    </row>
    <row r="3" spans="1:8" ht="14.5" x14ac:dyDescent="0.35">
      <c r="A3" s="559" t="s">
        <v>354</v>
      </c>
      <c r="B3" s="560"/>
      <c r="C3" s="560"/>
      <c r="D3" s="560"/>
      <c r="E3" s="560"/>
      <c r="F3" s="560"/>
      <c r="G3" s="561"/>
      <c r="H3" s="318"/>
    </row>
    <row r="4" spans="1:8" ht="14.5" x14ac:dyDescent="0.35">
      <c r="A4" s="319"/>
      <c r="B4" s="562" t="s">
        <v>327</v>
      </c>
      <c r="C4" s="563"/>
      <c r="D4" s="564"/>
      <c r="E4" s="562" t="s">
        <v>328</v>
      </c>
      <c r="F4" s="563"/>
      <c r="G4" s="564"/>
      <c r="H4" s="318"/>
    </row>
    <row r="5" spans="1:8" ht="14.5" x14ac:dyDescent="0.35">
      <c r="A5" s="320" t="s">
        <v>329</v>
      </c>
      <c r="B5" s="321" t="s">
        <v>330</v>
      </c>
      <c r="C5" s="321" t="s">
        <v>331</v>
      </c>
      <c r="D5" s="321" t="s">
        <v>332</v>
      </c>
      <c r="E5" s="321" t="s">
        <v>333</v>
      </c>
      <c r="F5" s="321" t="s">
        <v>334</v>
      </c>
      <c r="G5" s="321" t="s">
        <v>335</v>
      </c>
      <c r="H5" s="318"/>
    </row>
    <row r="6" spans="1:8" ht="14.5" x14ac:dyDescent="0.35">
      <c r="A6" s="320">
        <v>1</v>
      </c>
      <c r="B6" s="322">
        <v>42</v>
      </c>
      <c r="C6" s="322">
        <v>54</v>
      </c>
      <c r="D6" s="322">
        <v>82.1</v>
      </c>
      <c r="E6" s="322">
        <v>25</v>
      </c>
      <c r="F6" s="322">
        <v>78.7</v>
      </c>
      <c r="G6" s="322">
        <v>107.1</v>
      </c>
      <c r="H6" s="318"/>
    </row>
    <row r="7" spans="1:8" ht="14.5" x14ac:dyDescent="0.35">
      <c r="A7" s="320">
        <v>2</v>
      </c>
      <c r="B7" s="322">
        <v>39.299999999999997</v>
      </c>
      <c r="C7" s="322">
        <v>71.8</v>
      </c>
      <c r="D7" s="322">
        <v>88.2</v>
      </c>
      <c r="E7" s="322">
        <v>37.700000000000003</v>
      </c>
      <c r="F7" s="322">
        <v>84.7</v>
      </c>
      <c r="G7" s="322">
        <v>101.8</v>
      </c>
      <c r="H7" s="318"/>
    </row>
    <row r="8" spans="1:8" ht="14.5" x14ac:dyDescent="0.35">
      <c r="A8" s="320">
        <v>3</v>
      </c>
      <c r="B8" s="322">
        <v>28.2</v>
      </c>
      <c r="C8" s="322">
        <v>54.5</v>
      </c>
      <c r="D8" s="322">
        <v>91.1</v>
      </c>
      <c r="E8" s="322">
        <v>26.2</v>
      </c>
      <c r="F8" s="322">
        <v>77.599999999999994</v>
      </c>
      <c r="G8" s="322">
        <v>105.5</v>
      </c>
      <c r="H8" s="318"/>
    </row>
    <row r="9" spans="1:8" ht="14.5" x14ac:dyDescent="0.35">
      <c r="A9" s="320">
        <v>4</v>
      </c>
      <c r="B9" s="322">
        <v>25.7</v>
      </c>
      <c r="C9" s="322">
        <v>74</v>
      </c>
      <c r="D9" s="322">
        <v>84.5</v>
      </c>
      <c r="E9" s="322">
        <v>35.6</v>
      </c>
      <c r="F9" s="322">
        <v>67.400000000000006</v>
      </c>
      <c r="G9" s="322">
        <v>115.3</v>
      </c>
      <c r="H9" s="318"/>
    </row>
    <row r="10" spans="1:8" ht="14.5" x14ac:dyDescent="0.35">
      <c r="A10" s="320">
        <v>5</v>
      </c>
      <c r="B10" s="322">
        <v>25.4</v>
      </c>
      <c r="C10" s="322">
        <v>45.1</v>
      </c>
      <c r="D10" s="322">
        <v>80.3</v>
      </c>
      <c r="E10" s="322"/>
      <c r="F10" s="322">
        <v>90</v>
      </c>
      <c r="G10" s="322">
        <v>100.4</v>
      </c>
      <c r="H10" s="318"/>
    </row>
    <row r="11" spans="1:8" ht="14.5" x14ac:dyDescent="0.35">
      <c r="A11" s="320">
        <v>6</v>
      </c>
      <c r="B11" s="322">
        <v>21.9</v>
      </c>
      <c r="C11" s="322">
        <v>77.400000000000006</v>
      </c>
      <c r="D11" s="322">
        <v>94.1</v>
      </c>
      <c r="E11" s="322"/>
      <c r="F11" s="322">
        <v>87.9</v>
      </c>
      <c r="G11" s="322">
        <v>113.3</v>
      </c>
      <c r="H11" s="318"/>
    </row>
    <row r="12" spans="1:8" ht="14.5" x14ac:dyDescent="0.35">
      <c r="A12" s="320">
        <v>7</v>
      </c>
      <c r="B12" s="322">
        <v>22.2</v>
      </c>
      <c r="C12" s="322">
        <v>56.7</v>
      </c>
      <c r="D12" s="322">
        <v>83.9</v>
      </c>
      <c r="E12" s="322"/>
      <c r="F12" s="322"/>
      <c r="G12" s="322">
        <v>109.1</v>
      </c>
      <c r="H12" s="318"/>
    </row>
    <row r="13" spans="1:8" ht="14.5" x14ac:dyDescent="0.35">
      <c r="A13" s="320">
        <v>8</v>
      </c>
      <c r="B13" s="322">
        <v>25.9</v>
      </c>
      <c r="C13" s="322">
        <v>74.099999999999994</v>
      </c>
      <c r="D13" s="322">
        <v>83.9</v>
      </c>
      <c r="E13" s="322"/>
      <c r="F13" s="322"/>
      <c r="G13" s="322"/>
      <c r="H13" s="318"/>
    </row>
    <row r="14" spans="1:8" ht="14.5" x14ac:dyDescent="0.35">
      <c r="A14" s="320">
        <v>9</v>
      </c>
      <c r="B14" s="322">
        <v>43.6</v>
      </c>
      <c r="C14" s="322">
        <v>78</v>
      </c>
      <c r="D14" s="322">
        <v>93.4</v>
      </c>
      <c r="E14" s="322"/>
      <c r="F14" s="322"/>
      <c r="G14" s="322"/>
      <c r="H14" s="318"/>
    </row>
    <row r="15" spans="1:8" ht="14.5" x14ac:dyDescent="0.35">
      <c r="A15" s="320">
        <v>10</v>
      </c>
      <c r="B15" s="322">
        <v>40.5</v>
      </c>
      <c r="C15" s="322">
        <v>75.400000000000006</v>
      </c>
      <c r="D15" s="322">
        <v>87.6</v>
      </c>
      <c r="E15" s="322"/>
      <c r="F15" s="322"/>
      <c r="G15" s="322"/>
      <c r="H15" s="318"/>
    </row>
    <row r="16" spans="1:8" ht="14.5" x14ac:dyDescent="0.35">
      <c r="A16" s="320">
        <v>11</v>
      </c>
      <c r="B16" s="322">
        <v>34.6</v>
      </c>
      <c r="C16" s="322">
        <v>59.3</v>
      </c>
      <c r="D16" s="322">
        <v>83.8</v>
      </c>
      <c r="E16" s="322"/>
      <c r="F16" s="322"/>
      <c r="G16" s="322"/>
      <c r="H16" s="318"/>
    </row>
    <row r="17" spans="1:8" ht="14.5" x14ac:dyDescent="0.35">
      <c r="A17" s="320">
        <v>12</v>
      </c>
      <c r="B17" s="322">
        <v>38.299999999999997</v>
      </c>
      <c r="C17" s="322">
        <v>49.8</v>
      </c>
      <c r="D17" s="322">
        <v>84.9</v>
      </c>
      <c r="E17" s="322"/>
      <c r="F17" s="322"/>
      <c r="G17" s="322"/>
      <c r="H17" s="318"/>
    </row>
    <row r="18" spans="1:8" ht="14.5" x14ac:dyDescent="0.35">
      <c r="A18" s="320">
        <v>13</v>
      </c>
      <c r="B18" s="322">
        <v>39.200000000000003</v>
      </c>
      <c r="C18" s="322">
        <v>52.8</v>
      </c>
      <c r="D18" s="322">
        <v>97</v>
      </c>
      <c r="E18" s="322"/>
      <c r="F18" s="322"/>
      <c r="G18" s="322"/>
      <c r="H18" s="318"/>
    </row>
    <row r="19" spans="1:8" ht="14.5" x14ac:dyDescent="0.35">
      <c r="A19" s="320">
        <v>14</v>
      </c>
      <c r="B19" s="322">
        <v>32.6</v>
      </c>
      <c r="C19" s="322">
        <v>48</v>
      </c>
      <c r="D19" s="322">
        <v>94.9</v>
      </c>
      <c r="E19" s="322"/>
      <c r="F19" s="322"/>
      <c r="G19" s="322"/>
      <c r="H19" s="318"/>
    </row>
    <row r="20" spans="1:8" ht="14.5" x14ac:dyDescent="0.35">
      <c r="A20" s="320">
        <v>15</v>
      </c>
      <c r="B20" s="322">
        <v>34</v>
      </c>
      <c r="C20" s="322">
        <v>73</v>
      </c>
      <c r="D20" s="322">
        <v>83.7</v>
      </c>
      <c r="E20" s="322"/>
      <c r="F20" s="322"/>
      <c r="G20" s="322"/>
      <c r="H20" s="318"/>
    </row>
    <row r="21" spans="1:8" ht="14.5" x14ac:dyDescent="0.35">
      <c r="A21" s="320">
        <v>16</v>
      </c>
      <c r="B21" s="322">
        <v>20.3</v>
      </c>
      <c r="C21" s="322">
        <v>60.3</v>
      </c>
      <c r="D21" s="322">
        <v>97.7</v>
      </c>
      <c r="E21" s="322"/>
      <c r="F21" s="322"/>
      <c r="G21" s="322"/>
      <c r="H21" s="318"/>
    </row>
    <row r="22" spans="1:8" ht="14.5" x14ac:dyDescent="0.35">
      <c r="A22" s="320">
        <v>17</v>
      </c>
      <c r="B22" s="322">
        <v>31.4</v>
      </c>
      <c r="C22" s="322">
        <v>78.5</v>
      </c>
      <c r="D22" s="322">
        <v>89.9</v>
      </c>
      <c r="E22" s="322"/>
      <c r="F22" s="322"/>
      <c r="G22" s="322"/>
      <c r="H22" s="318"/>
    </row>
    <row r="23" spans="1:8" ht="14.5" x14ac:dyDescent="0.35">
      <c r="A23" s="320">
        <v>18</v>
      </c>
      <c r="B23" s="322">
        <v>20.399999999999999</v>
      </c>
      <c r="C23" s="322">
        <v>45.4</v>
      </c>
      <c r="D23" s="322">
        <v>92.5</v>
      </c>
      <c r="E23" s="322"/>
      <c r="F23" s="322"/>
      <c r="G23" s="322"/>
      <c r="H23" s="318"/>
    </row>
    <row r="24" spans="1:8" ht="14.5" x14ac:dyDescent="0.35">
      <c r="A24" s="320">
        <v>19</v>
      </c>
      <c r="B24" s="322">
        <v>36</v>
      </c>
      <c r="C24" s="322">
        <v>58.9</v>
      </c>
      <c r="D24" s="322">
        <v>88.8</v>
      </c>
      <c r="E24" s="322"/>
      <c r="F24" s="322"/>
      <c r="G24" s="322"/>
      <c r="H24" s="318"/>
    </row>
    <row r="25" spans="1:8" ht="14.5" x14ac:dyDescent="0.35">
      <c r="A25" s="320">
        <v>20</v>
      </c>
      <c r="B25" s="322">
        <v>30.6</v>
      </c>
      <c r="C25" s="322">
        <v>56.5</v>
      </c>
      <c r="D25" s="322">
        <v>92.2</v>
      </c>
      <c r="E25" s="322"/>
      <c r="F25" s="322"/>
      <c r="G25" s="322"/>
      <c r="H25" s="318"/>
    </row>
    <row r="26" spans="1:8" ht="14.5" x14ac:dyDescent="0.35">
      <c r="A26" s="320">
        <v>21</v>
      </c>
      <c r="B26" s="322">
        <v>28.2</v>
      </c>
      <c r="C26" s="322">
        <v>77.099999999999994</v>
      </c>
      <c r="D26" s="322">
        <v>80.599999999999994</v>
      </c>
      <c r="E26" s="322"/>
      <c r="F26" s="322"/>
      <c r="G26" s="322"/>
      <c r="H26" s="318"/>
    </row>
    <row r="27" spans="1:8" ht="14.5" x14ac:dyDescent="0.35">
      <c r="A27" s="320">
        <v>22</v>
      </c>
      <c r="B27" s="322">
        <v>44.5</v>
      </c>
      <c r="C27" s="322">
        <v>76.3</v>
      </c>
      <c r="D27" s="322">
        <v>96.1</v>
      </c>
      <c r="E27" s="322"/>
      <c r="F27" s="322"/>
      <c r="G27" s="322"/>
      <c r="H27" s="318"/>
    </row>
    <row r="28" spans="1:8" ht="14.5" x14ac:dyDescent="0.35">
      <c r="A28" s="320">
        <v>23</v>
      </c>
      <c r="B28" s="322">
        <v>38.9</v>
      </c>
      <c r="C28" s="322">
        <v>73.5</v>
      </c>
      <c r="D28" s="322">
        <v>90.9</v>
      </c>
      <c r="E28" s="322"/>
      <c r="F28" s="322"/>
      <c r="G28" s="322"/>
      <c r="H28" s="318"/>
    </row>
    <row r="29" spans="1:8" ht="14.5" x14ac:dyDescent="0.35">
      <c r="A29" s="320">
        <v>24</v>
      </c>
      <c r="B29" s="322">
        <v>41.2</v>
      </c>
      <c r="C29" s="322">
        <v>75.400000000000006</v>
      </c>
      <c r="D29" s="322">
        <v>90.8</v>
      </c>
      <c r="E29" s="322"/>
      <c r="F29" s="322"/>
      <c r="G29" s="322"/>
      <c r="H29" s="318"/>
    </row>
    <row r="30" spans="1:8" ht="14.5" x14ac:dyDescent="0.35">
      <c r="A30" s="320">
        <v>25</v>
      </c>
      <c r="B30" s="322">
        <v>27.9</v>
      </c>
      <c r="C30" s="322">
        <v>77.400000000000006</v>
      </c>
      <c r="D30" s="322">
        <v>89.7</v>
      </c>
      <c r="E30" s="322"/>
      <c r="F30" s="322"/>
      <c r="G30" s="322"/>
      <c r="H30" s="318"/>
    </row>
    <row r="31" spans="1:8" ht="14.5" x14ac:dyDescent="0.35">
      <c r="A31" s="320">
        <v>26</v>
      </c>
      <c r="B31" s="322">
        <v>38.9</v>
      </c>
      <c r="C31" s="322">
        <v>76.900000000000006</v>
      </c>
      <c r="D31" s="322">
        <v>90.4</v>
      </c>
      <c r="E31" s="322"/>
      <c r="F31" s="322"/>
      <c r="G31" s="322"/>
      <c r="H31" s="318"/>
    </row>
    <row r="32" spans="1:8" ht="14.5" x14ac:dyDescent="0.35">
      <c r="A32" s="320">
        <v>27</v>
      </c>
      <c r="B32" s="322">
        <v>38.5</v>
      </c>
      <c r="C32" s="322">
        <v>50.3</v>
      </c>
      <c r="D32" s="322">
        <v>87.8</v>
      </c>
      <c r="E32" s="322"/>
      <c r="F32" s="322"/>
      <c r="G32" s="322"/>
      <c r="H32" s="318"/>
    </row>
    <row r="33" spans="1:8" ht="14.5" x14ac:dyDescent="0.35">
      <c r="A33" s="320">
        <v>28</v>
      </c>
      <c r="B33" s="322">
        <v>27.4</v>
      </c>
      <c r="C33" s="322">
        <v>52.4</v>
      </c>
      <c r="D33" s="322">
        <v>84.1</v>
      </c>
      <c r="E33" s="322"/>
      <c r="F33" s="322"/>
      <c r="G33" s="322"/>
      <c r="H33" s="318"/>
    </row>
    <row r="34" spans="1:8" ht="14.5" x14ac:dyDescent="0.35">
      <c r="A34" s="320">
        <v>29</v>
      </c>
      <c r="B34" s="322">
        <v>44.6</v>
      </c>
      <c r="C34" s="322">
        <v>45</v>
      </c>
      <c r="D34" s="322">
        <v>92.8</v>
      </c>
      <c r="E34" s="322"/>
      <c r="F34" s="322"/>
      <c r="G34" s="322"/>
      <c r="H34" s="318"/>
    </row>
    <row r="35" spans="1:8" ht="14.5" x14ac:dyDescent="0.35">
      <c r="A35" s="320">
        <v>30</v>
      </c>
      <c r="B35" s="322">
        <v>26.6</v>
      </c>
      <c r="C35" s="322">
        <v>74.5</v>
      </c>
      <c r="D35" s="322">
        <v>81</v>
      </c>
      <c r="E35" s="322"/>
      <c r="F35" s="322"/>
      <c r="G35" s="322"/>
      <c r="H35" s="318"/>
    </row>
    <row r="36" spans="1:8" ht="14.5" x14ac:dyDescent="0.35">
      <c r="A36" s="320">
        <v>31</v>
      </c>
      <c r="B36" s="322">
        <v>21.3</v>
      </c>
      <c r="C36" s="322">
        <v>71.3</v>
      </c>
      <c r="D36" s="322">
        <v>83.4</v>
      </c>
      <c r="E36" s="322"/>
      <c r="F36" s="322"/>
      <c r="G36" s="322"/>
      <c r="H36" s="318"/>
    </row>
    <row r="37" spans="1:8" ht="14.5" x14ac:dyDescent="0.35">
      <c r="A37" s="320">
        <v>32</v>
      </c>
      <c r="B37" s="322">
        <v>24.2</v>
      </c>
      <c r="C37" s="322">
        <v>74.599999999999994</v>
      </c>
      <c r="D37" s="322">
        <v>96.9</v>
      </c>
      <c r="E37" s="322"/>
      <c r="F37" s="322"/>
      <c r="G37" s="322"/>
      <c r="H37" s="318"/>
    </row>
    <row r="38" spans="1:8" ht="14.5" x14ac:dyDescent="0.35">
      <c r="A38" s="320">
        <v>33</v>
      </c>
      <c r="B38" s="322">
        <v>32</v>
      </c>
      <c r="C38" s="322">
        <v>46</v>
      </c>
      <c r="D38" s="322">
        <v>95.4</v>
      </c>
      <c r="E38" s="322"/>
      <c r="F38" s="322"/>
      <c r="G38" s="322"/>
      <c r="H38" s="318"/>
    </row>
    <row r="39" spans="1:8" ht="14.5" x14ac:dyDescent="0.35">
      <c r="A39" s="320">
        <v>34</v>
      </c>
      <c r="B39" s="322">
        <v>42.9</v>
      </c>
      <c r="C39" s="322">
        <v>61.3</v>
      </c>
      <c r="D39" s="322">
        <v>84.6</v>
      </c>
      <c r="E39" s="322"/>
      <c r="F39" s="322"/>
      <c r="G39" s="322"/>
      <c r="H39" s="318"/>
    </row>
    <row r="40" spans="1:8" ht="14.5" x14ac:dyDescent="0.35">
      <c r="A40" s="320">
        <v>35</v>
      </c>
      <c r="B40" s="322">
        <v>23.7</v>
      </c>
      <c r="C40" s="322">
        <v>48.8</v>
      </c>
      <c r="D40" s="322">
        <v>97.1</v>
      </c>
      <c r="E40" s="322"/>
      <c r="F40" s="322"/>
      <c r="G40" s="322"/>
      <c r="H40" s="318"/>
    </row>
    <row r="41" spans="1:8" ht="14.5" x14ac:dyDescent="0.35">
      <c r="A41" s="320">
        <v>36</v>
      </c>
      <c r="B41" s="322">
        <v>36.1</v>
      </c>
      <c r="C41" s="322">
        <v>48.3</v>
      </c>
      <c r="D41" s="322">
        <v>83.6</v>
      </c>
      <c r="E41" s="322"/>
      <c r="F41" s="322"/>
      <c r="G41" s="322"/>
      <c r="H41" s="318"/>
    </row>
    <row r="42" spans="1:8" ht="14.5" x14ac:dyDescent="0.35">
      <c r="A42" s="320">
        <v>37</v>
      </c>
      <c r="B42" s="322">
        <v>21.7</v>
      </c>
      <c r="C42" s="322">
        <v>47.2</v>
      </c>
      <c r="D42" s="322">
        <v>86.5</v>
      </c>
      <c r="E42" s="322"/>
      <c r="F42" s="322"/>
      <c r="G42" s="322"/>
      <c r="H42" s="318"/>
    </row>
    <row r="43" spans="1:8" ht="14.5" x14ac:dyDescent="0.35">
      <c r="A43" s="320">
        <v>38</v>
      </c>
      <c r="B43" s="322">
        <v>40.4</v>
      </c>
      <c r="C43" s="322">
        <v>79.2</v>
      </c>
      <c r="D43" s="322">
        <v>95.9</v>
      </c>
      <c r="E43" s="322"/>
      <c r="F43" s="322"/>
      <c r="G43" s="322"/>
      <c r="H43" s="318"/>
    </row>
    <row r="44" spans="1:8" ht="14.5" x14ac:dyDescent="0.35">
      <c r="A44" s="320">
        <v>39</v>
      </c>
      <c r="B44" s="322"/>
      <c r="C44" s="322">
        <v>70.7</v>
      </c>
      <c r="D44" s="322">
        <v>91.1</v>
      </c>
      <c r="E44" s="322"/>
      <c r="F44" s="322"/>
      <c r="G44" s="322"/>
      <c r="H44" s="318"/>
    </row>
    <row r="45" spans="1:8" ht="14.5" x14ac:dyDescent="0.35">
      <c r="A45" s="320">
        <v>40</v>
      </c>
      <c r="B45" s="322"/>
      <c r="C45" s="322"/>
      <c r="D45" s="322">
        <v>80.3</v>
      </c>
      <c r="E45" s="322"/>
      <c r="F45" s="322"/>
      <c r="G45" s="322"/>
      <c r="H45" s="318"/>
    </row>
    <row r="46" spans="1:8" ht="14.5" x14ac:dyDescent="0.35">
      <c r="A46" s="559" t="s">
        <v>356</v>
      </c>
      <c r="B46" s="560"/>
      <c r="C46" s="560"/>
      <c r="D46" s="560"/>
      <c r="E46" s="560"/>
      <c r="F46" s="560"/>
      <c r="G46" s="561"/>
      <c r="H46" s="318"/>
    </row>
    <row r="47" spans="1:8" ht="14.5" x14ac:dyDescent="0.35">
      <c r="A47" s="319"/>
      <c r="B47" s="562" t="s">
        <v>327</v>
      </c>
      <c r="C47" s="563"/>
      <c r="D47" s="564"/>
      <c r="E47" s="562" t="s">
        <v>328</v>
      </c>
      <c r="F47" s="563"/>
      <c r="G47" s="564"/>
      <c r="H47" s="318"/>
    </row>
    <row r="48" spans="1:8" ht="14.5" x14ac:dyDescent="0.35">
      <c r="A48" s="320" t="s">
        <v>329</v>
      </c>
      <c r="B48" s="321" t="s">
        <v>330</v>
      </c>
      <c r="C48" s="321" t="s">
        <v>331</v>
      </c>
      <c r="D48" s="321" t="s">
        <v>332</v>
      </c>
      <c r="E48" s="321" t="s">
        <v>333</v>
      </c>
      <c r="F48" s="321" t="s">
        <v>334</v>
      </c>
      <c r="G48" s="321" t="s">
        <v>335</v>
      </c>
      <c r="H48" s="318"/>
    </row>
    <row r="49" spans="1:8" ht="14.5" x14ac:dyDescent="0.35">
      <c r="A49" s="320">
        <v>1</v>
      </c>
      <c r="B49" s="322">
        <v>21.5</v>
      </c>
      <c r="C49" s="322">
        <v>72.7</v>
      </c>
      <c r="D49" s="322">
        <v>93.8</v>
      </c>
      <c r="E49" s="322">
        <v>49.1</v>
      </c>
      <c r="F49" s="322">
        <v>71.099999999999994</v>
      </c>
      <c r="G49" s="322">
        <v>97.8</v>
      </c>
      <c r="H49" s="318"/>
    </row>
    <row r="50" spans="1:8" ht="14.5" x14ac:dyDescent="0.35">
      <c r="A50" s="320">
        <v>2</v>
      </c>
      <c r="B50" s="322">
        <v>32.799999999999997</v>
      </c>
      <c r="C50" s="322">
        <v>64.7</v>
      </c>
      <c r="D50" s="322">
        <v>89.8</v>
      </c>
      <c r="E50" s="322">
        <v>33.1</v>
      </c>
      <c r="F50" s="322">
        <v>71.900000000000006</v>
      </c>
      <c r="G50" s="322">
        <v>93.2</v>
      </c>
      <c r="H50" s="318"/>
    </row>
    <row r="51" spans="1:8" ht="14.5" x14ac:dyDescent="0.35">
      <c r="A51" s="320">
        <v>3</v>
      </c>
      <c r="B51" s="322">
        <v>36.4</v>
      </c>
      <c r="C51" s="322">
        <v>53.3</v>
      </c>
      <c r="D51" s="322">
        <v>89.9</v>
      </c>
      <c r="E51" s="322"/>
      <c r="F51" s="322">
        <v>83.4</v>
      </c>
      <c r="G51" s="322">
        <v>116.4</v>
      </c>
      <c r="H51" s="318"/>
    </row>
    <row r="52" spans="1:8" ht="14.5" x14ac:dyDescent="0.35">
      <c r="A52" s="320">
        <v>4</v>
      </c>
      <c r="B52" s="322">
        <v>28.6</v>
      </c>
      <c r="C52" s="322">
        <v>58.5</v>
      </c>
      <c r="D52" s="322">
        <v>83</v>
      </c>
      <c r="E52" s="322"/>
      <c r="F52" s="322">
        <v>77.900000000000006</v>
      </c>
      <c r="G52" s="322">
        <v>107.1</v>
      </c>
      <c r="H52" s="318"/>
    </row>
    <row r="53" spans="1:8" ht="14.5" x14ac:dyDescent="0.35">
      <c r="A53" s="320">
        <v>5</v>
      </c>
      <c r="B53" s="322">
        <v>43.4</v>
      </c>
      <c r="C53" s="322">
        <v>49.7</v>
      </c>
      <c r="D53" s="322">
        <v>97</v>
      </c>
      <c r="E53" s="322"/>
      <c r="F53" s="322"/>
      <c r="G53" s="322"/>
      <c r="H53" s="318"/>
    </row>
    <row r="54" spans="1:8" ht="14.5" x14ac:dyDescent="0.35">
      <c r="A54" s="320">
        <v>6</v>
      </c>
      <c r="B54" s="322">
        <v>41.1</v>
      </c>
      <c r="C54" s="322">
        <v>65.900000000000006</v>
      </c>
      <c r="D54" s="322">
        <v>90.3</v>
      </c>
      <c r="E54" s="322"/>
      <c r="F54" s="322"/>
      <c r="G54" s="322"/>
      <c r="H54" s="318"/>
    </row>
    <row r="55" spans="1:8" ht="14.5" x14ac:dyDescent="0.35">
      <c r="A55" s="320">
        <v>7</v>
      </c>
      <c r="B55" s="322">
        <v>30.1</v>
      </c>
      <c r="C55" s="322">
        <v>68.900000000000006</v>
      </c>
      <c r="D55" s="322">
        <v>91.7</v>
      </c>
      <c r="E55" s="322"/>
      <c r="F55" s="322"/>
      <c r="G55" s="322"/>
      <c r="H55" s="318"/>
    </row>
    <row r="56" spans="1:8" ht="14.5" x14ac:dyDescent="0.35">
      <c r="A56" s="320">
        <v>8</v>
      </c>
      <c r="B56" s="322">
        <v>26.3</v>
      </c>
      <c r="C56" s="322">
        <v>72.3</v>
      </c>
      <c r="D56" s="322">
        <v>97.4</v>
      </c>
      <c r="E56" s="322"/>
      <c r="F56" s="322"/>
      <c r="G56" s="322"/>
      <c r="H56" s="318"/>
    </row>
    <row r="57" spans="1:8" ht="14.5" x14ac:dyDescent="0.35">
      <c r="A57" s="320">
        <v>9</v>
      </c>
      <c r="B57" s="322">
        <v>33.4</v>
      </c>
      <c r="C57" s="322">
        <v>63.5</v>
      </c>
      <c r="D57" s="322">
        <v>91.9</v>
      </c>
      <c r="E57" s="322"/>
      <c r="F57" s="322"/>
      <c r="G57" s="322"/>
      <c r="H57" s="318"/>
    </row>
    <row r="58" spans="1:8" ht="14.5" x14ac:dyDescent="0.35">
      <c r="A58" s="320">
        <v>10</v>
      </c>
      <c r="B58" s="322">
        <v>28.9</v>
      </c>
      <c r="C58" s="322">
        <v>63.5</v>
      </c>
      <c r="D58" s="322">
        <v>81.3</v>
      </c>
      <c r="E58" s="322"/>
      <c r="F58" s="322"/>
      <c r="G58" s="322"/>
      <c r="H58" s="318"/>
    </row>
    <row r="59" spans="1:8" ht="14.5" x14ac:dyDescent="0.35">
      <c r="A59" s="320">
        <v>11</v>
      </c>
      <c r="B59" s="322">
        <v>23.1</v>
      </c>
      <c r="C59" s="322">
        <v>75.099999999999994</v>
      </c>
      <c r="D59" s="322">
        <v>83.6</v>
      </c>
      <c r="E59" s="322"/>
      <c r="F59" s="322"/>
      <c r="G59" s="322"/>
      <c r="H59" s="318"/>
    </row>
    <row r="60" spans="1:8" ht="14.5" x14ac:dyDescent="0.35">
      <c r="A60" s="320">
        <v>12</v>
      </c>
      <c r="B60" s="322">
        <v>36.4</v>
      </c>
      <c r="C60" s="322">
        <v>76.3</v>
      </c>
      <c r="D60" s="322">
        <v>80.900000000000006</v>
      </c>
      <c r="E60" s="322"/>
      <c r="F60" s="322"/>
      <c r="G60" s="322"/>
      <c r="H60" s="318"/>
    </row>
    <row r="61" spans="1:8" ht="14.5" x14ac:dyDescent="0.35">
      <c r="A61" s="320">
        <v>13</v>
      </c>
      <c r="B61" s="322">
        <v>40.299999999999997</v>
      </c>
      <c r="C61" s="322">
        <v>47.3</v>
      </c>
      <c r="D61" s="322">
        <v>88</v>
      </c>
      <c r="E61" s="322"/>
      <c r="F61" s="322"/>
      <c r="G61" s="322"/>
      <c r="H61" s="318"/>
    </row>
    <row r="62" spans="1:8" ht="14.5" x14ac:dyDescent="0.35">
      <c r="A62" s="320">
        <v>14</v>
      </c>
      <c r="B62" s="322">
        <v>32.9</v>
      </c>
      <c r="C62" s="322">
        <v>77.5</v>
      </c>
      <c r="D62" s="322">
        <v>80.099999999999994</v>
      </c>
      <c r="E62" s="322"/>
      <c r="F62" s="322"/>
      <c r="G62" s="322"/>
      <c r="H62" s="318"/>
    </row>
    <row r="63" spans="1:8" ht="14.5" x14ac:dyDescent="0.35">
      <c r="A63" s="320">
        <v>15</v>
      </c>
      <c r="B63" s="322">
        <v>40.5</v>
      </c>
      <c r="C63" s="322">
        <v>54.2</v>
      </c>
      <c r="D63" s="322">
        <v>80.2</v>
      </c>
      <c r="E63" s="322"/>
      <c r="F63" s="322"/>
      <c r="G63" s="322"/>
      <c r="H63" s="318"/>
    </row>
    <row r="64" spans="1:8" ht="14.5" x14ac:dyDescent="0.35">
      <c r="A64" s="320">
        <v>16</v>
      </c>
      <c r="B64" s="322">
        <v>26.9</v>
      </c>
      <c r="C64" s="322">
        <v>45.3</v>
      </c>
      <c r="D64" s="322">
        <v>89.6</v>
      </c>
      <c r="E64" s="322"/>
      <c r="F64" s="322"/>
      <c r="G64" s="322"/>
      <c r="H64" s="318"/>
    </row>
    <row r="65" spans="1:8" ht="14.5" x14ac:dyDescent="0.35">
      <c r="A65" s="320">
        <v>17</v>
      </c>
      <c r="B65" s="322">
        <v>31.2</v>
      </c>
      <c r="C65" s="322">
        <v>54.8</v>
      </c>
      <c r="D65" s="322">
        <v>93.7</v>
      </c>
      <c r="E65" s="322"/>
      <c r="F65" s="322"/>
      <c r="G65" s="322"/>
      <c r="H65" s="318"/>
    </row>
    <row r="66" spans="1:8" ht="14.5" x14ac:dyDescent="0.35">
      <c r="A66" s="320">
        <v>18</v>
      </c>
      <c r="B66" s="322">
        <v>22</v>
      </c>
      <c r="C66" s="322">
        <v>58.9</v>
      </c>
      <c r="D66" s="322">
        <v>89.4</v>
      </c>
      <c r="E66" s="322"/>
      <c r="F66" s="322"/>
      <c r="G66" s="322"/>
      <c r="H66" s="318"/>
    </row>
    <row r="67" spans="1:8" ht="14.5" x14ac:dyDescent="0.35">
      <c r="A67" s="320">
        <v>19</v>
      </c>
      <c r="B67" s="322"/>
      <c r="C67" s="322">
        <v>75.5</v>
      </c>
      <c r="D67" s="322">
        <v>85.2</v>
      </c>
      <c r="E67" s="322"/>
      <c r="F67" s="322"/>
      <c r="G67" s="322"/>
      <c r="H67" s="318"/>
    </row>
    <row r="68" spans="1:8" ht="14.5" x14ac:dyDescent="0.35">
      <c r="A68" s="320">
        <v>20</v>
      </c>
      <c r="B68" s="322"/>
      <c r="C68" s="322">
        <v>70.8</v>
      </c>
      <c r="D68" s="322">
        <v>86</v>
      </c>
      <c r="E68" s="322"/>
      <c r="F68" s="322"/>
      <c r="G68" s="322"/>
      <c r="H68" s="318"/>
    </row>
    <row r="69" spans="1:8" ht="14.5" x14ac:dyDescent="0.35">
      <c r="A69" s="320">
        <v>21</v>
      </c>
      <c r="B69" s="322"/>
      <c r="C69" s="322">
        <v>78.400000000000006</v>
      </c>
      <c r="D69" s="322">
        <v>80.400000000000006</v>
      </c>
      <c r="E69" s="322"/>
      <c r="F69" s="322"/>
      <c r="G69" s="322"/>
      <c r="H69" s="318"/>
    </row>
    <row r="70" spans="1:8" ht="14.5" x14ac:dyDescent="0.35">
      <c r="A70" s="320">
        <v>22</v>
      </c>
      <c r="B70" s="322"/>
      <c r="C70" s="322">
        <v>48.4</v>
      </c>
      <c r="D70" s="322">
        <v>80.5</v>
      </c>
      <c r="E70" s="322"/>
      <c r="F70" s="322"/>
      <c r="G70" s="322"/>
      <c r="H70" s="318"/>
    </row>
    <row r="71" spans="1:8" ht="14.5" x14ac:dyDescent="0.35">
      <c r="A71" s="320">
        <v>23</v>
      </c>
      <c r="B71" s="322"/>
      <c r="C71" s="322">
        <v>48</v>
      </c>
      <c r="D71" s="322">
        <v>87.3</v>
      </c>
      <c r="E71" s="322"/>
      <c r="F71" s="322"/>
      <c r="G71" s="322"/>
      <c r="H71" s="318"/>
    </row>
    <row r="72" spans="1:8" ht="14.5" x14ac:dyDescent="0.35">
      <c r="A72" s="320">
        <v>24</v>
      </c>
      <c r="B72" s="322"/>
      <c r="C72" s="322"/>
      <c r="D72" s="322">
        <v>94.9</v>
      </c>
      <c r="E72" s="322"/>
      <c r="F72" s="322"/>
      <c r="G72" s="322"/>
      <c r="H72" s="318"/>
    </row>
    <row r="73" spans="1:8" ht="14.5" x14ac:dyDescent="0.35">
      <c r="A73" s="320">
        <v>25</v>
      </c>
      <c r="B73" s="322"/>
      <c r="C73" s="322"/>
      <c r="D73" s="322">
        <v>91</v>
      </c>
      <c r="E73" s="322"/>
      <c r="F73" s="322"/>
      <c r="G73" s="322"/>
      <c r="H73" s="318"/>
    </row>
    <row r="74" spans="1:8" ht="14.5" x14ac:dyDescent="0.35">
      <c r="A74" s="559" t="s">
        <v>358</v>
      </c>
      <c r="B74" s="560"/>
      <c r="C74" s="560"/>
      <c r="D74" s="560"/>
      <c r="E74" s="560"/>
      <c r="F74" s="560"/>
      <c r="G74" s="561"/>
      <c r="H74" s="318"/>
    </row>
    <row r="75" spans="1:8" ht="14.5" x14ac:dyDescent="0.35">
      <c r="A75" s="319"/>
      <c r="B75" s="562" t="s">
        <v>327</v>
      </c>
      <c r="C75" s="563"/>
      <c r="D75" s="564"/>
      <c r="E75" s="562" t="s">
        <v>328</v>
      </c>
      <c r="F75" s="563"/>
      <c r="G75" s="564"/>
      <c r="H75" s="318"/>
    </row>
    <row r="76" spans="1:8" ht="14.5" x14ac:dyDescent="0.35">
      <c r="A76" s="320" t="s">
        <v>329</v>
      </c>
      <c r="B76" s="321" t="s">
        <v>330</v>
      </c>
      <c r="C76" s="321" t="s">
        <v>331</v>
      </c>
      <c r="D76" s="321" t="s">
        <v>332</v>
      </c>
      <c r="E76" s="321" t="s">
        <v>333</v>
      </c>
      <c r="F76" s="321" t="s">
        <v>334</v>
      </c>
      <c r="G76" s="321" t="s">
        <v>335</v>
      </c>
      <c r="H76" s="318"/>
    </row>
    <row r="77" spans="1:8" ht="14.5" x14ac:dyDescent="0.35">
      <c r="A77" s="320">
        <v>1</v>
      </c>
      <c r="B77" s="322">
        <v>27.4</v>
      </c>
      <c r="C77" s="322">
        <v>77.900000000000006</v>
      </c>
      <c r="D77" s="322">
        <v>95.4</v>
      </c>
      <c r="E77" s="322">
        <v>29.9</v>
      </c>
      <c r="F77" s="322">
        <v>85.8</v>
      </c>
      <c r="G77" s="322">
        <v>107.2</v>
      </c>
      <c r="H77" s="318"/>
    </row>
    <row r="78" spans="1:8" ht="14.5" x14ac:dyDescent="0.35">
      <c r="A78" s="320">
        <v>2</v>
      </c>
      <c r="B78" s="322">
        <v>44.2</v>
      </c>
      <c r="C78" s="322">
        <v>65.7</v>
      </c>
      <c r="D78" s="322">
        <v>84</v>
      </c>
      <c r="E78" s="322">
        <v>28.6</v>
      </c>
      <c r="F78" s="322">
        <v>62.5</v>
      </c>
      <c r="G78" s="322">
        <v>94.4</v>
      </c>
      <c r="H78" s="318"/>
    </row>
    <row r="79" spans="1:8" ht="14.5" x14ac:dyDescent="0.35">
      <c r="A79" s="320">
        <v>3</v>
      </c>
      <c r="B79" s="322">
        <v>30.4</v>
      </c>
      <c r="C79" s="322">
        <v>53.2</v>
      </c>
      <c r="D79" s="322">
        <v>91.3</v>
      </c>
      <c r="E79" s="322">
        <v>58.3</v>
      </c>
      <c r="F79" s="322">
        <v>63.9</v>
      </c>
      <c r="G79" s="322">
        <v>112.4</v>
      </c>
      <c r="H79" s="318"/>
    </row>
    <row r="80" spans="1:8" ht="14.5" x14ac:dyDescent="0.35">
      <c r="A80" s="320">
        <v>4</v>
      </c>
      <c r="B80" s="322">
        <v>32.1</v>
      </c>
      <c r="C80" s="322">
        <v>53.2</v>
      </c>
      <c r="D80" s="322">
        <v>94.8</v>
      </c>
      <c r="E80" s="322"/>
      <c r="F80" s="322">
        <v>76.5</v>
      </c>
      <c r="G80" s="322">
        <v>113.6</v>
      </c>
      <c r="H80" s="318"/>
    </row>
    <row r="81" spans="1:8" ht="14.5" x14ac:dyDescent="0.35">
      <c r="A81" s="320">
        <v>5</v>
      </c>
      <c r="B81" s="322">
        <v>27.5</v>
      </c>
      <c r="C81" s="322">
        <v>69.599999999999994</v>
      </c>
      <c r="D81" s="322">
        <v>97.6</v>
      </c>
      <c r="E81" s="322"/>
      <c r="F81" s="322">
        <v>69.900000000000006</v>
      </c>
      <c r="G81" s="322">
        <v>97.7</v>
      </c>
      <c r="H81" s="318"/>
    </row>
    <row r="82" spans="1:8" ht="14.5" x14ac:dyDescent="0.35">
      <c r="A82" s="320">
        <v>6</v>
      </c>
      <c r="B82" s="322">
        <v>44.8</v>
      </c>
      <c r="C82" s="322">
        <v>63.3</v>
      </c>
      <c r="D82" s="322">
        <v>80.900000000000006</v>
      </c>
      <c r="E82" s="322"/>
      <c r="F82" s="322"/>
      <c r="G82" s="322">
        <v>118.7</v>
      </c>
      <c r="H82" s="318"/>
    </row>
    <row r="83" spans="1:8" ht="14.5" x14ac:dyDescent="0.35">
      <c r="A83" s="320">
        <v>7</v>
      </c>
      <c r="B83" s="322">
        <v>30.3</v>
      </c>
      <c r="C83" s="322">
        <v>65</v>
      </c>
      <c r="D83" s="322">
        <v>88.6</v>
      </c>
      <c r="E83" s="322"/>
      <c r="F83" s="322"/>
      <c r="G83" s="322"/>
      <c r="H83" s="318"/>
    </row>
    <row r="84" spans="1:8" ht="14.5" x14ac:dyDescent="0.35">
      <c r="A84" s="320">
        <v>8</v>
      </c>
      <c r="B84" s="322">
        <v>22.9</v>
      </c>
      <c r="C84" s="322">
        <v>79.7</v>
      </c>
      <c r="D84" s="322">
        <v>94.3</v>
      </c>
      <c r="E84" s="322"/>
      <c r="F84" s="322"/>
      <c r="G84" s="322"/>
      <c r="H84" s="318"/>
    </row>
    <row r="85" spans="1:8" ht="14.5" x14ac:dyDescent="0.35">
      <c r="A85" s="320">
        <v>9</v>
      </c>
      <c r="B85" s="322">
        <v>40.299999999999997</v>
      </c>
      <c r="C85" s="322">
        <v>69.599999999999994</v>
      </c>
      <c r="D85" s="322">
        <v>95.6</v>
      </c>
      <c r="E85" s="322"/>
      <c r="F85" s="322"/>
      <c r="G85" s="322"/>
      <c r="H85" s="318"/>
    </row>
    <row r="86" spans="1:8" ht="14.5" x14ac:dyDescent="0.35">
      <c r="A86" s="320">
        <v>10</v>
      </c>
      <c r="B86" s="322">
        <v>21.8</v>
      </c>
      <c r="C86" s="322">
        <v>45.3</v>
      </c>
      <c r="D86" s="322">
        <v>89.8</v>
      </c>
      <c r="E86" s="322"/>
      <c r="F86" s="322"/>
      <c r="G86" s="322"/>
      <c r="H86" s="318"/>
    </row>
    <row r="87" spans="1:8" ht="14.5" x14ac:dyDescent="0.35">
      <c r="A87" s="320">
        <v>11</v>
      </c>
      <c r="B87" s="322">
        <v>32.799999999999997</v>
      </c>
      <c r="C87" s="322">
        <v>67.900000000000006</v>
      </c>
      <c r="D87" s="322">
        <v>85.7</v>
      </c>
      <c r="E87" s="322"/>
      <c r="F87" s="322"/>
      <c r="G87" s="322"/>
      <c r="H87" s="318"/>
    </row>
    <row r="88" spans="1:8" ht="14.5" x14ac:dyDescent="0.35">
      <c r="A88" s="320">
        <v>12</v>
      </c>
      <c r="B88" s="322">
        <v>33.200000000000003</v>
      </c>
      <c r="C88" s="322">
        <v>68.900000000000006</v>
      </c>
      <c r="D88" s="322">
        <v>92.4</v>
      </c>
      <c r="E88" s="322"/>
      <c r="F88" s="322"/>
      <c r="G88" s="322"/>
      <c r="H88" s="318"/>
    </row>
    <row r="89" spans="1:8" ht="14.5" x14ac:dyDescent="0.35">
      <c r="A89" s="320">
        <v>13</v>
      </c>
      <c r="B89" s="322">
        <v>25.5</v>
      </c>
      <c r="C89" s="322">
        <v>71.900000000000006</v>
      </c>
      <c r="D89" s="322">
        <v>92.1</v>
      </c>
      <c r="E89" s="322"/>
      <c r="F89" s="322"/>
      <c r="G89" s="322"/>
      <c r="H89" s="318"/>
    </row>
    <row r="90" spans="1:8" ht="14.5" x14ac:dyDescent="0.35">
      <c r="A90" s="320">
        <v>14</v>
      </c>
      <c r="B90" s="322">
        <v>45</v>
      </c>
      <c r="C90" s="322">
        <v>50.6</v>
      </c>
      <c r="D90" s="322">
        <v>89.8</v>
      </c>
      <c r="E90" s="322"/>
      <c r="F90" s="322"/>
      <c r="G90" s="322"/>
      <c r="H90" s="318"/>
    </row>
    <row r="91" spans="1:8" ht="14.5" x14ac:dyDescent="0.35">
      <c r="A91" s="320">
        <v>15</v>
      </c>
      <c r="B91" s="322">
        <v>36.200000000000003</v>
      </c>
      <c r="C91" s="322">
        <v>61.7</v>
      </c>
      <c r="D91" s="322">
        <v>90.8</v>
      </c>
      <c r="E91" s="322"/>
      <c r="F91" s="322"/>
      <c r="G91" s="322"/>
      <c r="H91" s="318"/>
    </row>
    <row r="92" spans="1:8" ht="14.5" x14ac:dyDescent="0.35">
      <c r="A92" s="320">
        <v>16</v>
      </c>
      <c r="B92" s="322">
        <v>33.299999999999997</v>
      </c>
      <c r="C92" s="322">
        <v>53.6</v>
      </c>
      <c r="D92" s="322">
        <v>91.2</v>
      </c>
      <c r="E92" s="322"/>
      <c r="F92" s="322"/>
      <c r="G92" s="322"/>
      <c r="H92" s="318"/>
    </row>
    <row r="93" spans="1:8" ht="14.5" x14ac:dyDescent="0.35">
      <c r="A93" s="320">
        <v>17</v>
      </c>
      <c r="B93" s="322">
        <v>37.799999999999997</v>
      </c>
      <c r="C93" s="322">
        <v>71.599999999999994</v>
      </c>
      <c r="D93" s="322">
        <v>94</v>
      </c>
      <c r="E93" s="322"/>
      <c r="F93" s="322"/>
      <c r="G93" s="322"/>
      <c r="H93" s="318"/>
    </row>
    <row r="94" spans="1:8" ht="14.5" x14ac:dyDescent="0.35">
      <c r="A94" s="320">
        <v>18</v>
      </c>
      <c r="B94" s="322">
        <v>42.4</v>
      </c>
      <c r="C94" s="322">
        <v>54</v>
      </c>
      <c r="D94" s="322">
        <v>85.4</v>
      </c>
      <c r="E94" s="322"/>
      <c r="F94" s="322"/>
      <c r="G94" s="322"/>
      <c r="H94" s="318"/>
    </row>
    <row r="95" spans="1:8" ht="14.5" x14ac:dyDescent="0.35">
      <c r="A95" s="320">
        <v>19</v>
      </c>
      <c r="B95" s="322">
        <v>38.1</v>
      </c>
      <c r="C95" s="322">
        <v>80</v>
      </c>
      <c r="D95" s="322">
        <v>96.1</v>
      </c>
      <c r="E95" s="322"/>
      <c r="F95" s="322"/>
      <c r="G95" s="322"/>
      <c r="H95" s="318"/>
    </row>
    <row r="96" spans="1:8" ht="14.5" x14ac:dyDescent="0.35">
      <c r="A96" s="320">
        <v>20</v>
      </c>
      <c r="B96" s="322">
        <v>30.7</v>
      </c>
      <c r="C96" s="322">
        <v>47.4</v>
      </c>
      <c r="D96" s="322">
        <v>95.3</v>
      </c>
      <c r="E96" s="322"/>
      <c r="F96" s="322"/>
      <c r="G96" s="322"/>
      <c r="H96" s="318"/>
    </row>
    <row r="97" spans="1:8" ht="14.5" x14ac:dyDescent="0.35">
      <c r="A97" s="320">
        <v>21</v>
      </c>
      <c r="B97" s="322">
        <v>38.5</v>
      </c>
      <c r="C97" s="322">
        <v>55</v>
      </c>
      <c r="D97" s="322">
        <v>80.8</v>
      </c>
      <c r="E97" s="322"/>
      <c r="F97" s="322"/>
      <c r="G97" s="322"/>
      <c r="H97" s="318"/>
    </row>
    <row r="98" spans="1:8" ht="14.5" x14ac:dyDescent="0.35">
      <c r="A98" s="320">
        <v>22</v>
      </c>
      <c r="B98" s="322">
        <v>22.3</v>
      </c>
      <c r="C98" s="322">
        <v>55</v>
      </c>
      <c r="D98" s="322">
        <v>81.400000000000006</v>
      </c>
      <c r="E98" s="322"/>
      <c r="F98" s="322"/>
      <c r="G98" s="322"/>
      <c r="H98" s="318"/>
    </row>
    <row r="99" spans="1:8" ht="14.5" x14ac:dyDescent="0.35">
      <c r="A99" s="320">
        <v>23</v>
      </c>
      <c r="B99" s="322">
        <v>28.5</v>
      </c>
      <c r="C99" s="322">
        <v>63.9</v>
      </c>
      <c r="D99" s="322">
        <v>89.1</v>
      </c>
      <c r="E99" s="322"/>
      <c r="F99" s="322"/>
      <c r="G99" s="322"/>
      <c r="H99" s="318"/>
    </row>
    <row r="100" spans="1:8" ht="14.5" x14ac:dyDescent="0.35">
      <c r="A100" s="320">
        <v>24</v>
      </c>
      <c r="B100" s="322"/>
      <c r="C100" s="322">
        <v>47</v>
      </c>
      <c r="D100" s="322">
        <v>82.6</v>
      </c>
      <c r="E100" s="322"/>
      <c r="F100" s="322"/>
      <c r="G100" s="322"/>
      <c r="H100" s="318"/>
    </row>
    <row r="101" spans="1:8" ht="14.5" x14ac:dyDescent="0.35">
      <c r="A101" s="320">
        <v>25</v>
      </c>
      <c r="B101" s="322"/>
      <c r="C101" s="322">
        <v>75.400000000000006</v>
      </c>
      <c r="D101" s="322">
        <v>82.6</v>
      </c>
      <c r="E101" s="322"/>
      <c r="F101" s="322"/>
      <c r="G101" s="322"/>
      <c r="H101" s="318"/>
    </row>
    <row r="102" spans="1:8" ht="14.5" x14ac:dyDescent="0.35">
      <c r="A102" s="320">
        <v>26</v>
      </c>
      <c r="B102" s="322"/>
      <c r="C102" s="322">
        <v>61.2</v>
      </c>
      <c r="D102" s="322">
        <v>91.5</v>
      </c>
      <c r="E102" s="322"/>
      <c r="F102" s="322"/>
      <c r="G102" s="322"/>
      <c r="H102" s="318"/>
    </row>
    <row r="103" spans="1:8" ht="14.5" x14ac:dyDescent="0.35">
      <c r="A103" s="559" t="s">
        <v>360</v>
      </c>
      <c r="B103" s="560"/>
      <c r="C103" s="560"/>
      <c r="D103" s="560"/>
      <c r="E103" s="560"/>
      <c r="F103" s="560"/>
      <c r="G103" s="561"/>
      <c r="H103" s="318"/>
    </row>
    <row r="104" spans="1:8" ht="14.5" x14ac:dyDescent="0.35">
      <c r="A104" s="319"/>
      <c r="B104" s="562" t="s">
        <v>327</v>
      </c>
      <c r="C104" s="563"/>
      <c r="D104" s="564"/>
      <c r="E104" s="562" t="s">
        <v>328</v>
      </c>
      <c r="F104" s="563"/>
      <c r="G104" s="564"/>
      <c r="H104" s="318"/>
    </row>
    <row r="105" spans="1:8" ht="14.5" x14ac:dyDescent="0.35">
      <c r="A105" s="320" t="s">
        <v>329</v>
      </c>
      <c r="B105" s="321" t="s">
        <v>330</v>
      </c>
      <c r="C105" s="321" t="s">
        <v>331</v>
      </c>
      <c r="D105" s="321" t="s">
        <v>332</v>
      </c>
      <c r="E105" s="321" t="s">
        <v>333</v>
      </c>
      <c r="F105" s="321" t="s">
        <v>334</v>
      </c>
      <c r="G105" s="321" t="s">
        <v>335</v>
      </c>
      <c r="H105" s="318"/>
    </row>
    <row r="106" spans="1:8" ht="14.5" x14ac:dyDescent="0.35">
      <c r="A106" s="320">
        <v>1</v>
      </c>
      <c r="B106" s="322">
        <v>38.799999999999997</v>
      </c>
      <c r="C106" s="322">
        <v>76.3</v>
      </c>
      <c r="D106" s="322">
        <v>85.8</v>
      </c>
      <c r="E106" s="322">
        <v>40</v>
      </c>
      <c r="F106" s="322">
        <v>73.400000000000006</v>
      </c>
      <c r="G106" s="322">
        <v>115.2</v>
      </c>
      <c r="H106" s="318"/>
    </row>
    <row r="107" spans="1:8" ht="14.5" x14ac:dyDescent="0.35">
      <c r="A107" s="320">
        <v>2</v>
      </c>
      <c r="B107" s="322">
        <v>23.6</v>
      </c>
      <c r="C107" s="322">
        <v>67.8</v>
      </c>
      <c r="D107" s="322">
        <v>86.8</v>
      </c>
      <c r="E107" s="322">
        <v>32.299999999999997</v>
      </c>
      <c r="F107" s="322">
        <v>75.8</v>
      </c>
      <c r="G107" s="322">
        <v>113.6</v>
      </c>
      <c r="H107" s="318"/>
    </row>
    <row r="108" spans="1:8" ht="14.5" x14ac:dyDescent="0.35">
      <c r="A108" s="320">
        <v>3</v>
      </c>
      <c r="B108" s="322">
        <v>29.3</v>
      </c>
      <c r="C108" s="322">
        <v>65</v>
      </c>
      <c r="D108" s="322">
        <v>96.6</v>
      </c>
      <c r="E108" s="322"/>
      <c r="F108" s="322">
        <v>67.900000000000006</v>
      </c>
      <c r="G108" s="322">
        <v>102.4</v>
      </c>
      <c r="H108" s="318"/>
    </row>
    <row r="109" spans="1:8" ht="14.5" x14ac:dyDescent="0.35">
      <c r="A109" s="320">
        <v>4</v>
      </c>
      <c r="B109" s="322">
        <v>31.4</v>
      </c>
      <c r="C109" s="322">
        <v>65.8</v>
      </c>
      <c r="D109" s="322">
        <v>97.1</v>
      </c>
      <c r="E109" s="322"/>
      <c r="F109" s="322"/>
      <c r="G109" s="322"/>
      <c r="H109" s="318"/>
    </row>
    <row r="110" spans="1:8" ht="14.5" x14ac:dyDescent="0.35">
      <c r="A110" s="320">
        <v>5</v>
      </c>
      <c r="B110" s="322">
        <v>27.5</v>
      </c>
      <c r="C110" s="322">
        <v>62.9</v>
      </c>
      <c r="D110" s="322">
        <v>93.1</v>
      </c>
      <c r="E110" s="322"/>
      <c r="F110" s="322"/>
      <c r="G110" s="322"/>
      <c r="H110" s="318"/>
    </row>
    <row r="111" spans="1:8" ht="14.5" x14ac:dyDescent="0.35">
      <c r="A111" s="320">
        <v>6</v>
      </c>
      <c r="B111" s="322">
        <v>41.6</v>
      </c>
      <c r="C111" s="322">
        <v>60.3</v>
      </c>
      <c r="D111" s="322">
        <v>88.6</v>
      </c>
      <c r="E111" s="322"/>
      <c r="F111" s="322"/>
      <c r="G111" s="322"/>
      <c r="H111" s="318"/>
    </row>
    <row r="112" spans="1:8" ht="14.5" x14ac:dyDescent="0.35">
      <c r="A112" s="320">
        <v>7</v>
      </c>
      <c r="B112" s="322">
        <v>22.6</v>
      </c>
      <c r="C112" s="322">
        <v>71.2</v>
      </c>
      <c r="D112" s="322">
        <v>83.4</v>
      </c>
      <c r="E112" s="322"/>
      <c r="F112" s="322"/>
      <c r="G112" s="322"/>
      <c r="H112" s="318"/>
    </row>
    <row r="113" spans="1:8" ht="14.5" x14ac:dyDescent="0.35">
      <c r="A113" s="320">
        <v>8</v>
      </c>
      <c r="B113" s="322">
        <v>20.2</v>
      </c>
      <c r="C113" s="322">
        <v>78.099999999999994</v>
      </c>
      <c r="D113" s="322">
        <v>81.7</v>
      </c>
      <c r="E113" s="322"/>
      <c r="F113" s="322"/>
      <c r="G113" s="322"/>
      <c r="H113" s="318"/>
    </row>
    <row r="114" spans="1:8" ht="14.5" x14ac:dyDescent="0.35">
      <c r="A114" s="320">
        <v>9</v>
      </c>
      <c r="B114" s="322">
        <v>22.2</v>
      </c>
      <c r="C114" s="322">
        <v>77.2</v>
      </c>
      <c r="D114" s="322">
        <v>85.2</v>
      </c>
      <c r="E114" s="322"/>
      <c r="F114" s="322"/>
      <c r="G114" s="322"/>
      <c r="H114" s="318"/>
    </row>
    <row r="115" spans="1:8" ht="14.5" x14ac:dyDescent="0.35">
      <c r="A115" s="320">
        <v>10</v>
      </c>
      <c r="B115" s="322">
        <v>44.9</v>
      </c>
      <c r="C115" s="322">
        <v>77.599999999999994</v>
      </c>
      <c r="D115" s="322">
        <v>87.4</v>
      </c>
      <c r="E115" s="322"/>
      <c r="F115" s="322"/>
      <c r="G115" s="322"/>
      <c r="H115" s="318"/>
    </row>
    <row r="116" spans="1:8" ht="14.5" x14ac:dyDescent="0.35">
      <c r="A116" s="320">
        <v>11</v>
      </c>
      <c r="B116" s="322">
        <v>23.9</v>
      </c>
      <c r="C116" s="322">
        <v>66.5</v>
      </c>
      <c r="D116" s="322">
        <v>91</v>
      </c>
      <c r="E116" s="322"/>
      <c r="F116" s="322"/>
      <c r="G116" s="322"/>
      <c r="H116" s="318"/>
    </row>
    <row r="117" spans="1:8" ht="14.5" x14ac:dyDescent="0.35">
      <c r="A117" s="320">
        <v>12</v>
      </c>
      <c r="B117" s="322">
        <v>35.700000000000003</v>
      </c>
      <c r="C117" s="322">
        <v>62.7</v>
      </c>
      <c r="D117" s="322">
        <v>83.8</v>
      </c>
      <c r="E117" s="322"/>
      <c r="F117" s="322"/>
      <c r="G117" s="322"/>
      <c r="H117" s="318"/>
    </row>
    <row r="118" spans="1:8" ht="14.5" x14ac:dyDescent="0.35">
      <c r="A118" s="320">
        <v>13</v>
      </c>
      <c r="B118" s="322">
        <v>30.3</v>
      </c>
      <c r="C118" s="322">
        <v>73.3</v>
      </c>
      <c r="D118" s="322">
        <v>92.9</v>
      </c>
      <c r="E118" s="322"/>
      <c r="F118" s="322"/>
      <c r="G118" s="322"/>
      <c r="H118" s="318"/>
    </row>
    <row r="119" spans="1:8" ht="14.5" x14ac:dyDescent="0.35">
      <c r="A119" s="320">
        <v>14</v>
      </c>
      <c r="B119" s="322">
        <v>23.7</v>
      </c>
      <c r="C119" s="322">
        <v>59.5</v>
      </c>
      <c r="D119" s="322">
        <v>93.2</v>
      </c>
      <c r="E119" s="322"/>
      <c r="F119" s="322"/>
      <c r="G119" s="322"/>
      <c r="H119" s="318"/>
    </row>
    <row r="120" spans="1:8" ht="14.5" x14ac:dyDescent="0.35">
      <c r="A120" s="320">
        <v>15</v>
      </c>
      <c r="B120" s="322">
        <v>26.3</v>
      </c>
      <c r="C120" s="322">
        <v>51.5</v>
      </c>
      <c r="D120" s="322">
        <v>87</v>
      </c>
      <c r="E120" s="322"/>
      <c r="F120" s="322"/>
      <c r="G120" s="322"/>
      <c r="H120" s="318"/>
    </row>
    <row r="121" spans="1:8" ht="14.5" x14ac:dyDescent="0.35">
      <c r="A121" s="320">
        <v>16</v>
      </c>
      <c r="B121" s="322">
        <v>41.1</v>
      </c>
      <c r="C121" s="322">
        <v>77.5</v>
      </c>
      <c r="D121" s="322">
        <v>93.4</v>
      </c>
      <c r="E121" s="322"/>
      <c r="F121" s="322"/>
      <c r="G121" s="322"/>
      <c r="H121" s="318"/>
    </row>
    <row r="122" spans="1:8" ht="14.5" x14ac:dyDescent="0.35">
      <c r="A122" s="320">
        <v>17</v>
      </c>
      <c r="B122" s="322"/>
      <c r="C122" s="322">
        <v>76.900000000000006</v>
      </c>
      <c r="D122" s="322">
        <v>86.1</v>
      </c>
      <c r="E122" s="322"/>
      <c r="F122" s="322"/>
      <c r="G122" s="322"/>
      <c r="H122" s="318"/>
    </row>
    <row r="123" spans="1:8" ht="14.5" x14ac:dyDescent="0.35">
      <c r="A123" s="320">
        <v>18</v>
      </c>
      <c r="B123" s="322"/>
      <c r="C123" s="322"/>
      <c r="D123" s="322">
        <v>83.6</v>
      </c>
      <c r="E123" s="322"/>
      <c r="F123" s="322"/>
      <c r="G123" s="322"/>
      <c r="H123" s="318"/>
    </row>
    <row r="124" spans="1:8" ht="14.5" x14ac:dyDescent="0.35">
      <c r="A124" s="559" t="s">
        <v>362</v>
      </c>
      <c r="B124" s="560"/>
      <c r="C124" s="560"/>
      <c r="D124" s="560"/>
      <c r="E124" s="560"/>
      <c r="F124" s="560"/>
      <c r="G124" s="561"/>
      <c r="H124" s="318"/>
    </row>
    <row r="125" spans="1:8" ht="14.5" x14ac:dyDescent="0.35">
      <c r="A125" s="319"/>
      <c r="B125" s="562" t="s">
        <v>327</v>
      </c>
      <c r="C125" s="563"/>
      <c r="D125" s="564"/>
      <c r="E125" s="562" t="s">
        <v>328</v>
      </c>
      <c r="F125" s="563"/>
      <c r="G125" s="564"/>
      <c r="H125" s="318"/>
    </row>
    <row r="126" spans="1:8" ht="14.5" x14ac:dyDescent="0.35">
      <c r="A126" s="320" t="s">
        <v>329</v>
      </c>
      <c r="B126" s="321" t="s">
        <v>330</v>
      </c>
      <c r="C126" s="321" t="s">
        <v>331</v>
      </c>
      <c r="D126" s="321" t="s">
        <v>332</v>
      </c>
      <c r="E126" s="321" t="s">
        <v>333</v>
      </c>
      <c r="F126" s="321" t="s">
        <v>334</v>
      </c>
      <c r="G126" s="321" t="s">
        <v>335</v>
      </c>
      <c r="H126" s="318"/>
    </row>
    <row r="127" spans="1:8" ht="14.5" x14ac:dyDescent="0.35">
      <c r="A127" s="320">
        <v>1</v>
      </c>
      <c r="B127" s="322">
        <v>30.7</v>
      </c>
      <c r="C127" s="322">
        <v>47.2</v>
      </c>
      <c r="D127" s="322">
        <v>83</v>
      </c>
      <c r="E127" s="322">
        <v>39.799999999999997</v>
      </c>
      <c r="F127" s="322">
        <v>80</v>
      </c>
      <c r="G127" s="322">
        <v>118.2</v>
      </c>
      <c r="H127" s="318"/>
    </row>
    <row r="128" spans="1:8" ht="14.5" x14ac:dyDescent="0.35">
      <c r="A128" s="320">
        <v>2</v>
      </c>
      <c r="B128" s="322">
        <v>23.7</v>
      </c>
      <c r="C128" s="322">
        <v>68.5</v>
      </c>
      <c r="D128" s="322">
        <v>87.7</v>
      </c>
      <c r="E128" s="322">
        <v>47</v>
      </c>
      <c r="F128" s="322">
        <v>78.599999999999994</v>
      </c>
      <c r="G128" s="322">
        <v>95.6</v>
      </c>
      <c r="H128" s="318"/>
    </row>
    <row r="129" spans="1:8" ht="14.5" x14ac:dyDescent="0.35">
      <c r="A129" s="320">
        <v>3</v>
      </c>
      <c r="B129" s="322">
        <v>25.8</v>
      </c>
      <c r="C129" s="322">
        <v>55.3</v>
      </c>
      <c r="D129" s="322">
        <v>95.1</v>
      </c>
      <c r="E129" s="322">
        <v>53.5</v>
      </c>
      <c r="F129" s="322">
        <v>87.9</v>
      </c>
      <c r="G129" s="322">
        <v>111.3</v>
      </c>
      <c r="H129" s="318"/>
    </row>
    <row r="130" spans="1:8" ht="14.5" x14ac:dyDescent="0.35">
      <c r="A130" s="320">
        <v>4</v>
      </c>
      <c r="B130" s="322">
        <v>40.700000000000003</v>
      </c>
      <c r="C130" s="322">
        <v>77.400000000000006</v>
      </c>
      <c r="D130" s="322">
        <v>86.5</v>
      </c>
      <c r="E130" s="322">
        <v>38.799999999999997</v>
      </c>
      <c r="F130" s="322">
        <v>68.400000000000006</v>
      </c>
      <c r="G130" s="322">
        <v>108.6</v>
      </c>
      <c r="H130" s="318"/>
    </row>
    <row r="131" spans="1:8" ht="14.5" x14ac:dyDescent="0.35">
      <c r="A131" s="320">
        <v>5</v>
      </c>
      <c r="B131" s="322">
        <v>42</v>
      </c>
      <c r="C131" s="322">
        <v>64.3</v>
      </c>
      <c r="D131" s="322">
        <v>88.4</v>
      </c>
      <c r="E131" s="322"/>
      <c r="F131" s="322">
        <v>88.4</v>
      </c>
      <c r="G131" s="322">
        <v>117.5</v>
      </c>
      <c r="H131" s="318"/>
    </row>
    <row r="132" spans="1:8" ht="14.5" x14ac:dyDescent="0.35">
      <c r="A132" s="320">
        <v>6</v>
      </c>
      <c r="B132" s="322">
        <v>42.3</v>
      </c>
      <c r="C132" s="322">
        <v>52.5</v>
      </c>
      <c r="D132" s="322">
        <v>89</v>
      </c>
      <c r="E132" s="322"/>
      <c r="F132" s="322"/>
      <c r="G132" s="322">
        <v>97.5</v>
      </c>
      <c r="H132" s="318"/>
    </row>
    <row r="133" spans="1:8" ht="14.5" x14ac:dyDescent="0.35">
      <c r="A133" s="320">
        <v>7</v>
      </c>
      <c r="B133" s="322">
        <v>24.9</v>
      </c>
      <c r="C133" s="322">
        <v>65.599999999999994</v>
      </c>
      <c r="D133" s="322">
        <v>94.8</v>
      </c>
      <c r="E133" s="322"/>
      <c r="F133" s="322"/>
      <c r="G133" s="322"/>
      <c r="H133" s="318"/>
    </row>
    <row r="134" spans="1:8" ht="14.5" x14ac:dyDescent="0.35">
      <c r="A134" s="320">
        <v>8</v>
      </c>
      <c r="B134" s="322">
        <v>28.5</v>
      </c>
      <c r="C134" s="322">
        <v>59.8</v>
      </c>
      <c r="D134" s="322">
        <v>96.9</v>
      </c>
      <c r="E134" s="322"/>
      <c r="F134" s="322"/>
      <c r="G134" s="322"/>
      <c r="H134" s="318"/>
    </row>
    <row r="135" spans="1:8" ht="14.5" x14ac:dyDescent="0.35">
      <c r="A135" s="320">
        <v>9</v>
      </c>
      <c r="B135" s="322">
        <v>27.1</v>
      </c>
      <c r="C135" s="322">
        <v>69.2</v>
      </c>
      <c r="D135" s="322">
        <v>92.9</v>
      </c>
      <c r="E135" s="322"/>
      <c r="F135" s="322"/>
      <c r="G135" s="322"/>
      <c r="H135" s="318"/>
    </row>
    <row r="136" spans="1:8" ht="14.5" x14ac:dyDescent="0.35">
      <c r="A136" s="320">
        <v>10</v>
      </c>
      <c r="B136" s="322">
        <v>30.1</v>
      </c>
      <c r="C136" s="322">
        <v>51.7</v>
      </c>
      <c r="D136" s="322">
        <v>92.9</v>
      </c>
      <c r="E136" s="322"/>
      <c r="F136" s="322"/>
      <c r="G136" s="322"/>
      <c r="H136" s="318"/>
    </row>
    <row r="137" spans="1:8" ht="14.5" x14ac:dyDescent="0.35">
      <c r="A137" s="320">
        <v>11</v>
      </c>
      <c r="B137" s="322">
        <v>20.8</v>
      </c>
      <c r="C137" s="322">
        <v>67</v>
      </c>
      <c r="D137" s="322">
        <v>97.3</v>
      </c>
      <c r="E137" s="322"/>
      <c r="F137" s="322"/>
      <c r="G137" s="322"/>
      <c r="H137" s="318"/>
    </row>
    <row r="138" spans="1:8" ht="14.5" x14ac:dyDescent="0.35">
      <c r="A138" s="320">
        <v>12</v>
      </c>
      <c r="B138" s="322">
        <v>33.299999999999997</v>
      </c>
      <c r="C138" s="322">
        <v>70.8</v>
      </c>
      <c r="D138" s="322">
        <v>93.7</v>
      </c>
      <c r="E138" s="322"/>
      <c r="F138" s="322"/>
      <c r="G138" s="322"/>
      <c r="H138" s="318"/>
    </row>
    <row r="139" spans="1:8" ht="14.5" x14ac:dyDescent="0.35">
      <c r="A139" s="320">
        <v>13</v>
      </c>
      <c r="B139" s="322">
        <v>36.5</v>
      </c>
      <c r="C139" s="322">
        <v>45.1</v>
      </c>
      <c r="D139" s="322">
        <v>96</v>
      </c>
      <c r="E139" s="322"/>
      <c r="F139" s="322"/>
      <c r="G139" s="322"/>
      <c r="H139" s="318"/>
    </row>
    <row r="140" spans="1:8" ht="14.5" x14ac:dyDescent="0.35">
      <c r="A140" s="320">
        <v>14</v>
      </c>
      <c r="B140" s="322">
        <v>27.5</v>
      </c>
      <c r="C140" s="322">
        <v>71.3</v>
      </c>
      <c r="D140" s="322">
        <v>83.2</v>
      </c>
      <c r="E140" s="322"/>
      <c r="F140" s="322"/>
      <c r="G140" s="322"/>
      <c r="H140" s="318"/>
    </row>
    <row r="141" spans="1:8" ht="14.5" x14ac:dyDescent="0.35">
      <c r="A141" s="320">
        <v>15</v>
      </c>
      <c r="B141" s="322">
        <v>38.6</v>
      </c>
      <c r="C141" s="322">
        <v>61.1</v>
      </c>
      <c r="D141" s="322">
        <v>92.3</v>
      </c>
      <c r="E141" s="322"/>
      <c r="F141" s="322"/>
      <c r="G141" s="322"/>
      <c r="H141" s="318"/>
    </row>
    <row r="142" spans="1:8" ht="14.5" x14ac:dyDescent="0.35">
      <c r="A142" s="320">
        <v>16</v>
      </c>
      <c r="B142" s="322">
        <v>24</v>
      </c>
      <c r="C142" s="322">
        <v>62.2</v>
      </c>
      <c r="D142" s="322">
        <v>87.3</v>
      </c>
      <c r="E142" s="322"/>
      <c r="F142" s="322"/>
      <c r="G142" s="322"/>
      <c r="H142" s="318"/>
    </row>
    <row r="143" spans="1:8" ht="14.5" x14ac:dyDescent="0.35">
      <c r="A143" s="320">
        <v>17</v>
      </c>
      <c r="B143" s="322">
        <v>35.1</v>
      </c>
      <c r="C143" s="322">
        <v>72.3</v>
      </c>
      <c r="D143" s="322">
        <v>85.2</v>
      </c>
      <c r="E143" s="322"/>
      <c r="F143" s="322"/>
      <c r="G143" s="322"/>
      <c r="H143" s="318"/>
    </row>
    <row r="144" spans="1:8" ht="14.5" x14ac:dyDescent="0.35">
      <c r="A144" s="320">
        <v>18</v>
      </c>
      <c r="B144" s="322">
        <v>35.200000000000003</v>
      </c>
      <c r="C144" s="322">
        <v>70.599999999999994</v>
      </c>
      <c r="D144" s="322">
        <v>96</v>
      </c>
      <c r="E144" s="322"/>
      <c r="F144" s="322"/>
      <c r="G144" s="322"/>
      <c r="H144" s="318"/>
    </row>
    <row r="145" spans="1:8" ht="14.5" x14ac:dyDescent="0.35">
      <c r="A145" s="320">
        <v>19</v>
      </c>
      <c r="B145" s="322">
        <v>37.1</v>
      </c>
      <c r="C145" s="322">
        <v>76.400000000000006</v>
      </c>
      <c r="D145" s="322">
        <v>95.4</v>
      </c>
      <c r="E145" s="322"/>
      <c r="F145" s="322"/>
      <c r="G145" s="322"/>
      <c r="H145" s="318"/>
    </row>
    <row r="146" spans="1:8" ht="14.5" x14ac:dyDescent="0.35">
      <c r="A146" s="320">
        <v>20</v>
      </c>
      <c r="B146" s="322">
        <v>44.6</v>
      </c>
      <c r="C146" s="322">
        <v>49.1</v>
      </c>
      <c r="D146" s="322">
        <v>83.5</v>
      </c>
      <c r="E146" s="322"/>
      <c r="F146" s="322"/>
      <c r="G146" s="322"/>
      <c r="H146" s="318"/>
    </row>
    <row r="147" spans="1:8" ht="14.5" x14ac:dyDescent="0.35">
      <c r="A147" s="320">
        <v>21</v>
      </c>
      <c r="B147" s="322">
        <v>41.7</v>
      </c>
      <c r="C147" s="322">
        <v>55.6</v>
      </c>
      <c r="D147" s="322">
        <v>89.7</v>
      </c>
      <c r="E147" s="322"/>
      <c r="F147" s="322"/>
      <c r="G147" s="322"/>
      <c r="H147" s="318"/>
    </row>
    <row r="148" spans="1:8" ht="14.5" x14ac:dyDescent="0.35">
      <c r="A148" s="320">
        <v>22</v>
      </c>
      <c r="B148" s="322">
        <v>25</v>
      </c>
      <c r="C148" s="322">
        <v>77.8</v>
      </c>
      <c r="D148" s="322">
        <v>88.7</v>
      </c>
      <c r="E148" s="322"/>
      <c r="F148" s="322"/>
      <c r="G148" s="322"/>
      <c r="H148" s="318"/>
    </row>
    <row r="149" spans="1:8" ht="14.5" x14ac:dyDescent="0.35">
      <c r="A149" s="320">
        <v>23</v>
      </c>
      <c r="B149" s="322"/>
      <c r="C149" s="322"/>
      <c r="D149" s="322">
        <v>80.099999999999994</v>
      </c>
      <c r="E149" s="322"/>
      <c r="F149" s="322"/>
      <c r="G149" s="322"/>
      <c r="H149" s="318"/>
    </row>
    <row r="150" spans="1:8" ht="14.5" x14ac:dyDescent="0.35">
      <c r="A150" s="320">
        <v>24</v>
      </c>
      <c r="B150" s="322"/>
      <c r="C150" s="322"/>
      <c r="D150" s="322">
        <v>92</v>
      </c>
      <c r="E150" s="322"/>
      <c r="F150" s="322"/>
      <c r="G150" s="322"/>
      <c r="H150" s="318"/>
    </row>
    <row r="151" spans="1:8" ht="13" x14ac:dyDescent="0.25">
      <c r="A151" s="323"/>
      <c r="B151" s="324"/>
      <c r="C151" s="324"/>
      <c r="D151" s="324"/>
      <c r="E151" s="281"/>
      <c r="F151" s="324"/>
      <c r="G151" s="324"/>
    </row>
    <row r="152" spans="1:8" ht="13" x14ac:dyDescent="0.25">
      <c r="A152" s="323"/>
      <c r="B152" s="324"/>
      <c r="C152" s="324"/>
      <c r="D152" s="324"/>
      <c r="E152" s="281"/>
      <c r="F152" s="281"/>
      <c r="G152" s="281"/>
    </row>
    <row r="153" spans="1:8" ht="13" x14ac:dyDescent="0.25">
      <c r="A153" s="565" t="s">
        <v>303</v>
      </c>
      <c r="B153" s="562" t="s">
        <v>304</v>
      </c>
      <c r="C153" s="564"/>
      <c r="D153" s="562" t="s">
        <v>305</v>
      </c>
      <c r="E153" s="564"/>
      <c r="F153" s="562" t="s">
        <v>306</v>
      </c>
      <c r="G153" s="564"/>
    </row>
    <row r="154" spans="1:8" ht="13" x14ac:dyDescent="0.25">
      <c r="A154" s="566"/>
      <c r="B154" s="320" t="s">
        <v>307</v>
      </c>
      <c r="C154" s="320" t="s">
        <v>308</v>
      </c>
      <c r="D154" s="320" t="s">
        <v>307</v>
      </c>
      <c r="E154" s="320" t="s">
        <v>308</v>
      </c>
      <c r="F154" s="320" t="s">
        <v>307</v>
      </c>
      <c r="G154" s="320" t="s">
        <v>308</v>
      </c>
    </row>
    <row r="155" spans="1:8" ht="13" x14ac:dyDescent="0.25">
      <c r="A155" s="321" t="s">
        <v>354</v>
      </c>
      <c r="B155" s="325">
        <f>ROUNDDOWN(AVERAGE(B6:D45),1)</f>
        <v>62</v>
      </c>
      <c r="C155" s="325">
        <f>ROUNDDOWN(AVERAGE(E6:G45),1)</f>
        <v>80.099999999999994</v>
      </c>
      <c r="D155" s="320">
        <v>94502</v>
      </c>
      <c r="E155" s="320">
        <v>12732</v>
      </c>
      <c r="F155" s="325">
        <f>B155*D155</f>
        <v>5859124</v>
      </c>
      <c r="G155" s="325">
        <f>C155*E155</f>
        <v>1019833.2</v>
      </c>
    </row>
    <row r="156" spans="1:8" ht="13" x14ac:dyDescent="0.25">
      <c r="A156" s="321" t="s">
        <v>356</v>
      </c>
      <c r="B156" s="325">
        <f>ROUNDDOWN(AVERAGE(B49:D73),1)</f>
        <v>63.8</v>
      </c>
      <c r="C156" s="325">
        <f>ROUNDDOWN(AVERAGE(E49:G73),1)</f>
        <v>80.099999999999994</v>
      </c>
      <c r="D156" s="320">
        <v>52390</v>
      </c>
      <c r="E156" s="320">
        <v>6879</v>
      </c>
      <c r="F156" s="325">
        <f t="shared" ref="F156:G159" si="0">B156*D156</f>
        <v>3342482</v>
      </c>
      <c r="G156" s="325">
        <f t="shared" si="0"/>
        <v>551007.89999999991</v>
      </c>
    </row>
    <row r="157" spans="1:8" ht="13" x14ac:dyDescent="0.25">
      <c r="A157" s="321" t="s">
        <v>358</v>
      </c>
      <c r="B157" s="325">
        <f>ROUNDDOWN(AVERAGE(B77:D102),1)</f>
        <v>63</v>
      </c>
      <c r="C157" s="325">
        <f>ROUNDDOWN(AVERAGE(E77:G102),1)</f>
        <v>79.900000000000006</v>
      </c>
      <c r="D157" s="320">
        <v>60472</v>
      </c>
      <c r="E157" s="320">
        <v>10184</v>
      </c>
      <c r="F157" s="325">
        <f t="shared" si="0"/>
        <v>3809736</v>
      </c>
      <c r="G157" s="325">
        <f t="shared" si="0"/>
        <v>813701.60000000009</v>
      </c>
    </row>
    <row r="158" spans="1:8" ht="13" x14ac:dyDescent="0.25">
      <c r="A158" s="321" t="s">
        <v>360</v>
      </c>
      <c r="B158" s="325">
        <f>ROUNDDOWN(AVERAGE(B106:D123),1)</f>
        <v>63.7</v>
      </c>
      <c r="C158" s="325">
        <f>ROUNDDOWN(AVERAGE(E106:G123),1)</f>
        <v>77.5</v>
      </c>
      <c r="D158" s="320">
        <v>40323</v>
      </c>
      <c r="E158" s="320">
        <v>5097</v>
      </c>
      <c r="F158" s="325">
        <f t="shared" si="0"/>
        <v>2568575.1</v>
      </c>
      <c r="G158" s="325">
        <f t="shared" si="0"/>
        <v>395017.5</v>
      </c>
    </row>
    <row r="159" spans="1:8" ht="13" x14ac:dyDescent="0.25">
      <c r="A159" s="321" t="s">
        <v>362</v>
      </c>
      <c r="B159" s="325">
        <f>ROUNDDOWN(AVERAGE(B127:D150),1)</f>
        <v>62.8</v>
      </c>
      <c r="C159" s="325">
        <f>ROUNDDOWN(AVERAGE(E127:G150),1)</f>
        <v>82</v>
      </c>
      <c r="D159" s="320">
        <v>54596</v>
      </c>
      <c r="E159" s="320">
        <v>11030</v>
      </c>
      <c r="F159" s="325">
        <f t="shared" si="0"/>
        <v>3428628.8</v>
      </c>
      <c r="G159" s="325">
        <f t="shared" si="0"/>
        <v>904460</v>
      </c>
    </row>
    <row r="160" spans="1:8" ht="13" x14ac:dyDescent="0.25">
      <c r="A160" s="321" t="s">
        <v>309</v>
      </c>
      <c r="B160" s="321"/>
      <c r="C160" s="321"/>
      <c r="D160" s="320">
        <f>SUM(D155:D159)</f>
        <v>302283</v>
      </c>
      <c r="E160" s="320">
        <f>SUM(E155:E159)</f>
        <v>45922</v>
      </c>
      <c r="F160" s="325">
        <f>SUM(F155:F159)</f>
        <v>19008545.899999999</v>
      </c>
      <c r="G160" s="325">
        <f>SUM(G155:G159)</f>
        <v>3684020.2</v>
      </c>
    </row>
    <row r="161" spans="1:7" ht="13" x14ac:dyDescent="0.25">
      <c r="A161" s="281"/>
      <c r="B161" s="281"/>
      <c r="C161" s="281"/>
      <c r="D161" s="323"/>
      <c r="E161" s="323"/>
      <c r="F161" s="323"/>
      <c r="G161" s="323"/>
    </row>
    <row r="163" spans="1:7" ht="13" x14ac:dyDescent="0.25">
      <c r="C163" s="562" t="s">
        <v>310</v>
      </c>
      <c r="D163" s="564"/>
    </row>
    <row r="164" spans="1:7" ht="13" x14ac:dyDescent="0.25">
      <c r="C164" s="320" t="s">
        <v>307</v>
      </c>
      <c r="D164" s="320" t="s">
        <v>308</v>
      </c>
    </row>
    <row r="165" spans="1:7" ht="13" x14ac:dyDescent="0.25">
      <c r="C165" s="326">
        <f>ROUNDDOWN(F160/D160,1)</f>
        <v>62.8</v>
      </c>
      <c r="D165" s="383">
        <f>ROUNDDOWN(G160/E160,1)</f>
        <v>80.2</v>
      </c>
    </row>
  </sheetData>
  <mergeCells count="21">
    <mergeCell ref="C163:D163"/>
    <mergeCell ref="A103:G103"/>
    <mergeCell ref="B104:D104"/>
    <mergeCell ref="E104:G104"/>
    <mergeCell ref="A124:G124"/>
    <mergeCell ref="B125:D125"/>
    <mergeCell ref="E125:G125"/>
    <mergeCell ref="A153:A154"/>
    <mergeCell ref="B153:C153"/>
    <mergeCell ref="D153:E153"/>
    <mergeCell ref="F153:G153"/>
    <mergeCell ref="B47:D47"/>
    <mergeCell ref="E47:G47"/>
    <mergeCell ref="A74:G74"/>
    <mergeCell ref="B75:D75"/>
    <mergeCell ref="E75:G75"/>
    <mergeCell ref="A1:G1"/>
    <mergeCell ref="A3:G3"/>
    <mergeCell ref="B4:D4"/>
    <mergeCell ref="E4:G4"/>
    <mergeCell ref="A46:G46"/>
  </mergeCells>
  <phoneticPr fontId="3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Cover page</vt:lpstr>
      <vt:lpstr>SDG Outcomes</vt:lpstr>
      <vt:lpstr>Baseline emission</vt:lpstr>
      <vt:lpstr>Project emission</vt:lpstr>
      <vt:lpstr>Leakage</vt:lpstr>
      <vt:lpstr>Emission Reduction</vt:lpstr>
      <vt:lpstr>monitoring results</vt:lpstr>
      <vt:lpstr>Reliability Check</vt:lpstr>
      <vt:lpstr>2022.01</vt:lpstr>
      <vt:lpstr>2022.02</vt:lpstr>
      <vt:lpstr>2022.03</vt:lpstr>
      <vt:lpstr>2022.04</vt:lpstr>
      <vt:lpstr>2022.05</vt:lpstr>
      <vt:lpstr>2022.06</vt:lpstr>
      <vt:lpstr>2022.07</vt:lpstr>
      <vt:lpstr>2022.08</vt:lpstr>
      <vt:lpstr>2022.09</vt:lpstr>
      <vt:lpstr>2022.10</vt:lpstr>
      <vt:lpstr>2022.11</vt:lpstr>
      <vt:lpstr>2022.12</vt:lpstr>
    </vt:vector>
  </TitlesOfParts>
  <Manager>ywert.visser@carbonvietnam.com</Manager>
  <Company>INTRACO Co., Ltd Carbon Consulting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</dc:creator>
  <cp:lastModifiedBy>user01</cp:lastModifiedBy>
  <cp:lastPrinted>2022-10-27T08:39:50Z</cp:lastPrinted>
  <dcterms:created xsi:type="dcterms:W3CDTF">2006-12-11T01:48:55Z</dcterms:created>
  <dcterms:modified xsi:type="dcterms:W3CDTF">2023-03-04T13:32:30Z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Ywert Visser</vt:lpwstr>
  </property>
</Properties>
</file>