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showInkAnnotation="0"/>
  <mc:AlternateContent xmlns:mc="http://schemas.openxmlformats.org/markup-compatibility/2006">
    <mc:Choice Requires="x15">
      <x15ac:absPath xmlns:x15ac="http://schemas.microsoft.com/office/spreadsheetml/2010/11/ac" url="D:\01 Project\畜禽粪便项目\铁骑力士\GS11712-sichuan\3. VVB Document\e. Process File\20230217 TO CTI\"/>
    </mc:Choice>
  </mc:AlternateContent>
  <xr:revisionPtr revIDLastSave="0" documentId="13_ncr:1_{836D3815-BA1C-487A-988D-C76750ECE11E}" xr6:coauthVersionLast="47" xr6:coauthVersionMax="47" xr10:uidLastSave="{00000000-0000-0000-0000-000000000000}"/>
  <bookViews>
    <workbookView xWindow="-110" yWindow="-110" windowWidth="19420" windowHeight="10300" tabRatio="726" xr2:uid="{00000000-000D-0000-FFFF-FFFF00000000}"/>
  </bookViews>
  <sheets>
    <sheet name="Cover Page" sheetId="7" r:id="rId1"/>
    <sheet name="Result of SDGs" sheetId="8" r:id="rId2"/>
    <sheet name="Baseline Emission" sheetId="1" r:id="rId3"/>
    <sheet name="PROJECT EMISSION" sheetId="2" r:id="rId4"/>
    <sheet name="LEAKAGE" sheetId="3" r:id="rId5"/>
    <sheet name="EMISSION REDUCTIONS" sheetId="4" r:id="rId6"/>
  </sheets>
  <externalReferences>
    <externalReference r:id="rId7"/>
  </externalReferences>
  <definedNames>
    <definedName name="_Toc147547213" localSheetId="3">'PROJECT EMISSION'!#REF!</definedName>
    <definedName name="_xlnm.Print_Area" localSheetId="5">'EMISSION REDUCTIONS'!$B$3:$F$11</definedName>
    <definedName name="Z_2C071143_29D6_4036_A926_BF7E54293313_.wvu.Rows" localSheetId="4" hidden="1">LEAKAGE!$23:$23,LEAKAGE!#REF!,LEAKAGE!#REF!,LEAKAGE!#REF!,LEAKAGE!#REF!,LEAKAGE!#REF!,LEAKAGE!#REF!</definedName>
    <definedName name="Z_2C071143_29D6_4036_A926_BF7E54293313_.wvu.Rows" localSheetId="3" hidden="1">'PROJECT EMISSION'!#REF!,'PROJECT EMISSION'!#REF!</definedName>
  </definedNames>
  <calcPr calcId="191029"/>
  <customWorkbookViews>
    <customWorkbookView name="HIEU - Personal View" guid="{2C071143-29D6-4036-A926-BF7E54293313}" personalView="1" maximized="1" windowWidth="1020" windowHeight="573" activeSheetId="1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2" l="1"/>
  <c r="E5" i="8"/>
  <c r="B15" i="2"/>
  <c r="E14" i="8"/>
  <c r="E15" i="8"/>
  <c r="E16" i="8"/>
  <c r="E17" i="8"/>
  <c r="E18" i="8"/>
  <c r="E19" i="8"/>
  <c r="D5" i="8"/>
  <c r="D14" i="8"/>
  <c r="D23" i="8"/>
  <c r="D6" i="8"/>
  <c r="D15" i="8"/>
  <c r="D24" i="8"/>
  <c r="D7" i="8"/>
  <c r="D16" i="8"/>
  <c r="D25" i="8"/>
  <c r="D8" i="8"/>
  <c r="D17" i="8"/>
  <c r="D26" i="8"/>
  <c r="D4" i="8"/>
  <c r="D13" i="8"/>
  <c r="D22" i="8"/>
  <c r="D19" i="8"/>
  <c r="D18" i="8"/>
  <c r="B40" i="2"/>
  <c r="C51" i="2"/>
  <c r="C11" i="1"/>
  <c r="C13" i="1"/>
  <c r="B17" i="2"/>
  <c r="E56" i="2"/>
  <c r="B46" i="1"/>
  <c r="C79" i="2"/>
  <c r="C99" i="2"/>
  <c r="B99" i="2"/>
  <c r="C57" i="3"/>
  <c r="B57" i="3"/>
  <c r="C22" i="3"/>
  <c r="B22" i="3"/>
  <c r="C91" i="2"/>
  <c r="B91" i="2"/>
  <c r="B98" i="2"/>
  <c r="C73" i="2"/>
  <c r="C78" i="2"/>
  <c r="B73" i="2"/>
  <c r="B78" i="2"/>
  <c r="B40" i="1"/>
  <c r="B38" i="1"/>
  <c r="B39" i="1"/>
  <c r="B43" i="1"/>
  <c r="B13" i="1"/>
  <c r="C40" i="1"/>
  <c r="C39" i="1"/>
  <c r="C43" i="1"/>
  <c r="C107" i="3"/>
  <c r="B107" i="3"/>
  <c r="C106" i="3"/>
  <c r="B106" i="3"/>
  <c r="C91" i="3"/>
  <c r="B91" i="3"/>
  <c r="C90" i="3"/>
  <c r="D90" i="3"/>
  <c r="E90" i="3"/>
  <c r="B90" i="3"/>
  <c r="E86" i="3"/>
  <c r="B66" i="3"/>
  <c r="C66" i="3"/>
  <c r="D66" i="3"/>
  <c r="E66" i="3"/>
  <c r="D24" i="3"/>
  <c r="C23" i="3"/>
  <c r="E22" i="3"/>
  <c r="D22" i="3"/>
  <c r="D98" i="2"/>
  <c r="E98" i="2"/>
  <c r="E97" i="2"/>
  <c r="E71" i="2"/>
  <c r="C74" i="2"/>
  <c r="D78" i="2"/>
  <c r="D91" i="2"/>
  <c r="D77" i="2"/>
  <c r="D90" i="2"/>
  <c r="D97" i="2"/>
  <c r="D55" i="1"/>
  <c r="C52" i="2"/>
  <c r="B52" i="2"/>
  <c r="C54" i="2"/>
  <c r="B54" i="2"/>
  <c r="D55" i="2"/>
  <c r="E54" i="2"/>
  <c r="E73" i="2"/>
  <c r="D54" i="2"/>
  <c r="B53" i="2"/>
  <c r="C53" i="2"/>
  <c r="D53" i="2"/>
  <c r="E53" i="2"/>
  <c r="C49" i="2"/>
  <c r="D49" i="2"/>
  <c r="E49" i="2"/>
  <c r="B49" i="2"/>
  <c r="C48" i="2"/>
  <c r="E48" i="2"/>
  <c r="B48" i="2"/>
  <c r="B17" i="1"/>
  <c r="B19" i="1"/>
  <c r="B55" i="2"/>
  <c r="B57" i="2"/>
  <c r="C47" i="2"/>
  <c r="B47" i="2"/>
  <c r="D25" i="2"/>
  <c r="D37" i="2"/>
  <c r="D95" i="2"/>
  <c r="C17" i="1"/>
  <c r="C19" i="1"/>
  <c r="E18" i="1"/>
  <c r="E20" i="1"/>
  <c r="B36" i="1"/>
  <c r="B52" i="1"/>
  <c r="C36" i="1"/>
  <c r="C52" i="1"/>
  <c r="B44" i="1"/>
  <c r="C44" i="1"/>
  <c r="C45" i="1"/>
  <c r="C46" i="1"/>
  <c r="D44" i="1"/>
  <c r="D56" i="1"/>
  <c r="B45" i="1"/>
  <c r="B57" i="1"/>
  <c r="C57" i="1"/>
  <c r="D45" i="1"/>
  <c r="D57" i="1"/>
  <c r="B56" i="1"/>
  <c r="C56" i="1"/>
  <c r="B59" i="1"/>
  <c r="C59" i="1"/>
  <c r="B87" i="2"/>
  <c r="B85" i="3"/>
  <c r="B101" i="3"/>
  <c r="C87" i="2"/>
  <c r="C85" i="3"/>
  <c r="C101" i="3"/>
  <c r="C88" i="2"/>
  <c r="C95" i="2"/>
  <c r="C59" i="3"/>
  <c r="C102" i="3"/>
  <c r="C93" i="3"/>
  <c r="B102" i="3"/>
  <c r="C108" i="3"/>
  <c r="B21" i="3"/>
  <c r="C21" i="3"/>
  <c r="B144" i="3"/>
  <c r="C144" i="3"/>
  <c r="B145" i="3"/>
  <c r="B23" i="3"/>
  <c r="E6" i="8"/>
  <c r="E7" i="8"/>
  <c r="B28" i="2"/>
  <c r="B41" i="2"/>
  <c r="C98" i="2"/>
  <c r="C22" i="1"/>
  <c r="B24" i="3"/>
  <c r="B55" i="1"/>
  <c r="C55" i="2"/>
  <c r="C57" i="2"/>
  <c r="B58" i="2"/>
  <c r="C89" i="3"/>
  <c r="E8" i="8"/>
  <c r="E9" i="8"/>
  <c r="E10" i="8"/>
  <c r="B89" i="3"/>
  <c r="B105" i="3"/>
  <c r="B111" i="3"/>
  <c r="C24" i="3"/>
  <c r="C55" i="1"/>
  <c r="E93" i="2"/>
  <c r="B22" i="1"/>
  <c r="B23" i="1"/>
  <c r="C34" i="3"/>
  <c r="C32" i="3"/>
  <c r="C36" i="3"/>
  <c r="C58" i="3"/>
  <c r="B32" i="3"/>
  <c r="B33" i="3"/>
  <c r="B58" i="3"/>
  <c r="B36" i="3"/>
  <c r="B34" i="3"/>
  <c r="B35" i="3"/>
  <c r="C94" i="3"/>
  <c r="C105" i="3"/>
  <c r="C111" i="3"/>
  <c r="B112" i="3"/>
  <c r="B116" i="3"/>
  <c r="B60" i="1"/>
  <c r="C60" i="1"/>
  <c r="B61" i="1"/>
  <c r="E63" i="1"/>
  <c r="E69" i="1" s="1"/>
  <c r="B72" i="2"/>
  <c r="C72" i="2"/>
  <c r="B94" i="3"/>
  <c r="C69" i="3"/>
  <c r="C71" i="3"/>
  <c r="C67" i="3"/>
  <c r="B77" i="2"/>
  <c r="B80" i="2"/>
  <c r="B75" i="2"/>
  <c r="B90" i="2"/>
  <c r="B95" i="3"/>
  <c r="B115" i="3"/>
  <c r="B37" i="3"/>
  <c r="B38" i="3"/>
  <c r="B117" i="3"/>
  <c r="C77" i="2"/>
  <c r="C80" i="2"/>
  <c r="C90" i="2"/>
  <c r="C75" i="2"/>
  <c r="B69" i="3"/>
  <c r="B71" i="3"/>
  <c r="B67" i="3"/>
  <c r="C97" i="2"/>
  <c r="C101" i="2"/>
  <c r="C94" i="2"/>
  <c r="B72" i="3"/>
  <c r="B97" i="2"/>
  <c r="B101" i="2"/>
  <c r="B94" i="2"/>
  <c r="B102" i="2"/>
  <c r="B68" i="3"/>
  <c r="B70" i="3"/>
  <c r="B81" i="2"/>
  <c r="C104" i="2"/>
  <c r="B108" i="2"/>
  <c r="B73" i="3"/>
  <c r="B118" i="3"/>
  <c r="B121" i="3"/>
  <c r="E9" i="4"/>
  <c r="E8" i="4"/>
  <c r="E6" i="4"/>
  <c r="E10" i="4"/>
  <c r="E7" i="4"/>
  <c r="D6" i="4"/>
  <c r="D10" i="4"/>
  <c r="D8" i="4"/>
  <c r="D9" i="4"/>
  <c r="D7" i="4"/>
  <c r="D11" i="4"/>
  <c r="D12" i="4"/>
  <c r="E11" i="4"/>
  <c r="E12" i="4"/>
  <c r="C6" i="4" l="1"/>
  <c r="C7" i="4"/>
  <c r="F7" i="4" s="1"/>
  <c r="E23" i="8" s="1"/>
  <c r="C9" i="4"/>
  <c r="F9" i="4" s="1"/>
  <c r="E25" i="8" s="1"/>
  <c r="C8" i="4"/>
  <c r="F8" i="4" s="1"/>
  <c r="E24" i="8" s="1"/>
  <c r="C10" i="4"/>
  <c r="F10" i="4" s="1"/>
  <c r="E26" i="8" s="1"/>
  <c r="F6" i="4" l="1"/>
  <c r="C11" i="4"/>
  <c r="C12" i="4" s="1"/>
  <c r="E22" i="8" l="1"/>
  <c r="E27" i="8" s="1"/>
  <c r="E28" i="8" s="1"/>
  <c r="F11" i="4"/>
  <c r="F12" i="4" s="1"/>
</calcChain>
</file>

<file path=xl/sharedStrings.xml><?xml version="1.0" encoding="utf-8"?>
<sst xmlns="http://schemas.openxmlformats.org/spreadsheetml/2006/main" count="537" uniqueCount="286">
  <si>
    <t xml:space="preserve">BASELINE EMISSIONS </t>
  </si>
  <si>
    <t>i) CH4 emissions</t>
  </si>
  <si>
    <t>Parameter</t>
  </si>
  <si>
    <t xml:space="preserve">                              Value </t>
  </si>
  <si>
    <t>Unit</t>
  </si>
  <si>
    <t>Source</t>
  </si>
  <si>
    <t>Market Swine</t>
  </si>
  <si>
    <t>Breeding Swine</t>
  </si>
  <si>
    <t>%</t>
  </si>
  <si>
    <t>Conservative Factor</t>
  </si>
  <si>
    <t>A conservativeness factor should be applied by multiplying MCF values (estimated as per  above bullet) with a value of 0.94, to account for the 20% uncertainty in the MCF values as reported by IPCC 2006</t>
  </si>
  <si>
    <t>MCF with cons. Factor</t>
  </si>
  <si>
    <t xml:space="preserve">Calculated  </t>
  </si>
  <si>
    <t>2006 IPCC guideline, volume 4, chapter 10, tbl. 10A-7</t>
  </si>
  <si>
    <t>Max methane producing potential of VS generated, by animal type LT</t>
  </si>
  <si>
    <t>No of heads</t>
  </si>
  <si>
    <t>Livestock of a defined population</t>
  </si>
  <si>
    <t>kg</t>
  </si>
  <si>
    <t>Mass of the animals</t>
  </si>
  <si>
    <t xml:space="preserve">Average market swine mass </t>
  </si>
  <si>
    <t>Volatile solid for type LT entering AWMS</t>
  </si>
  <si>
    <t>Fraction of manure handled in system j</t>
  </si>
  <si>
    <t>days</t>
  </si>
  <si>
    <t>Days per year farm is operational</t>
  </si>
  <si>
    <t>ii) N2O emissions</t>
  </si>
  <si>
    <t>Direct N2O Emissions</t>
  </si>
  <si>
    <t xml:space="preserve">                               Value</t>
  </si>
  <si>
    <t>kg N/1000kg animal mass/day</t>
  </si>
  <si>
    <t>2006 IPCC default value, vol. 4, ch. 10, tbl. 10.19</t>
  </si>
  <si>
    <t>Calulated</t>
  </si>
  <si>
    <t>kg N/animal/year</t>
  </si>
  <si>
    <t>Calculated</t>
  </si>
  <si>
    <t>Indirect N2O Emissions</t>
  </si>
  <si>
    <t>2006 IPCC default value, vol. 4, ch. 10, tbl. 11.3</t>
  </si>
  <si>
    <t xml:space="preserve">2006 IPCC default value, vol. 4, ch. 10, tbl.10.22 </t>
  </si>
  <si>
    <t>BASELINE EMISSIONS       BEy =</t>
  </si>
  <si>
    <t xml:space="preserve">PROJECT EMISSION </t>
  </si>
  <si>
    <t xml:space="preserve">A) Phase I: Anaerobic digester </t>
  </si>
  <si>
    <t xml:space="preserve">Value </t>
  </si>
  <si>
    <t>MWh/yr</t>
  </si>
  <si>
    <t xml:space="preserve">                                      Value </t>
  </si>
  <si>
    <t>t CH4</t>
  </si>
  <si>
    <t xml:space="preserve">calculated </t>
  </si>
  <si>
    <t>iii) N2O emissions from manure management</t>
  </si>
  <si>
    <t>2006 IPCC Guidelines, volume 4, chapter 10</t>
  </si>
  <si>
    <t>B) PHASE II: Aerobic treatment</t>
  </si>
  <si>
    <t>2006 IPCC Guidelines, volume 4, chapter 11, table 11.3</t>
  </si>
  <si>
    <t>2006 IPCC default value, vol. 4, ch. 10, tbl.10.22 (According to Chapter 8.2 in US-EPA (2001), "a covered lagoon will not lose NH3-N to the atmosphere")</t>
  </si>
  <si>
    <t>LEAKEAGE</t>
  </si>
  <si>
    <t xml:space="preserve">i) Estimation of N2O emissions: </t>
  </si>
  <si>
    <t>numbers</t>
  </si>
  <si>
    <t>calculated</t>
  </si>
  <si>
    <t>EF1</t>
  </si>
  <si>
    <t>kg N2O-N/kg N</t>
  </si>
  <si>
    <t>table 11.1, chapter 11, volume 4, 2006 IPCC</t>
  </si>
  <si>
    <t>EF5</t>
  </si>
  <si>
    <t>table 11.3, chapter 11, volume 4, 2006 IPCC</t>
  </si>
  <si>
    <t>EF4</t>
  </si>
  <si>
    <t xml:space="preserve">2006 IPCC default value, vol. 4, ch. 11, tbl.11.3 </t>
  </si>
  <si>
    <t>at the project site</t>
  </si>
  <si>
    <t>2006 IPCC default value, vol. 4, ch. 11, tbl.11.3 (According to Chapter 8.2 in US-EPA (2001), "a covered lagoon will not lose NH3-N to the atmosphere")</t>
  </si>
  <si>
    <t>ii)Methane emissions from disposal of treated manure</t>
  </si>
  <si>
    <t>MCFd</t>
  </si>
  <si>
    <t>kg/animal/day</t>
  </si>
  <si>
    <t>m3 CH4/kg-VS</t>
  </si>
  <si>
    <t xml:space="preserve">2006 IPCC guideline, volume 4, chapter 10 </t>
  </si>
  <si>
    <t>LEAKAGE LEy =</t>
  </si>
  <si>
    <t>Rvs,n</t>
  </si>
  <si>
    <t>Annex 1, ACM0010</t>
  </si>
  <si>
    <t xml:space="preserve">Total CH4 emissions </t>
  </si>
  <si>
    <t>from Land Application(tCO2e)</t>
  </si>
  <si>
    <t>Year</t>
  </si>
  <si>
    <t>Estimation of</t>
  </si>
  <si>
    <t>baseline emissions</t>
  </si>
  <si>
    <t>Project activity emissions</t>
  </si>
  <si>
    <t>leakage</t>
  </si>
  <si>
    <t>overall emission reductions</t>
  </si>
  <si>
    <t>calculated</t>
    <phoneticPr fontId="5" type="noConversion"/>
  </si>
  <si>
    <t>-</t>
    <phoneticPr fontId="5" type="noConversion"/>
  </si>
  <si>
    <t>tCO2e</t>
    <phoneticPr fontId="5" type="noConversion"/>
  </si>
  <si>
    <t>ACM0010 Version 08.0, page 31</t>
    <phoneticPr fontId="5" type="noConversion"/>
  </si>
  <si>
    <t xml:space="preserve">2006 IPCC guideline, volume 4, chapter 10, tbl. 10.17 </t>
    <phoneticPr fontId="5" type="noConversion"/>
  </si>
  <si>
    <t>t/m3</t>
  </si>
  <si>
    <t>kg/hd/day</t>
    <phoneticPr fontId="5" type="noConversion"/>
  </si>
  <si>
    <t>ACM0010 Version 08.0, page 30</t>
    <phoneticPr fontId="5" type="noConversion"/>
  </si>
  <si>
    <t>Default value of Tool 06-project emission from flaring(Version 03.0)</t>
    <phoneticPr fontId="5" type="noConversion"/>
  </si>
  <si>
    <t>Baseline, project and/or leakage emissions from electricity consumption and monitoring of electricity generation</t>
    <phoneticPr fontId="5" type="noConversion"/>
  </si>
  <si>
    <t>Page 12 of tool 14: Project and leakage emissions from anaerobic digesters(Version 02.0)</t>
    <phoneticPr fontId="5" type="noConversion"/>
  </si>
  <si>
    <t>Calculated</t>
    <phoneticPr fontId="5" type="noConversion"/>
  </si>
  <si>
    <t xml:space="preserve">  Value </t>
    <phoneticPr fontId="5" type="noConversion"/>
  </si>
  <si>
    <t xml:space="preserve">Value </t>
    <phoneticPr fontId="5" type="noConversion"/>
  </si>
  <si>
    <t>MS%j</t>
    <phoneticPr fontId="5" type="noConversion"/>
  </si>
  <si>
    <t>2006 IPCC default value, vol. 4, ch. 10, tbl. 10.21,</t>
    <phoneticPr fontId="5" type="noConversion"/>
  </si>
  <si>
    <t>2006 IPCC default value, vol. 4, ch. 10, tbl.10.22 (According to Chapter 8.2 in US-EPA (2001), "a covered lagoon will not lose NH3-N to the atmosphere")</t>
    <phoneticPr fontId="5" type="noConversion"/>
  </si>
  <si>
    <t>Default value ACM0010,page 30</t>
    <phoneticPr fontId="5" type="noConversion"/>
  </si>
  <si>
    <t xml:space="preserve">Calculated  </t>
    <phoneticPr fontId="5" type="noConversion"/>
  </si>
  <si>
    <t>Title of the project activity</t>
  </si>
  <si>
    <t>Version number of this calculation sheet</t>
    <phoneticPr fontId="6" type="noConversion"/>
  </si>
  <si>
    <t>Date</t>
    <phoneticPr fontId="6" type="noConversion"/>
  </si>
  <si>
    <t>Duration of crediting period</t>
    <phoneticPr fontId="6" type="noConversion"/>
  </si>
  <si>
    <t>NLT</t>
  </si>
  <si>
    <t>MS%Bl,j</t>
  </si>
  <si>
    <t>Subtotal</t>
    <phoneticPr fontId="0" type="noConversion"/>
  </si>
  <si>
    <t>kg-dm/animal/yr</t>
    <phoneticPr fontId="9" type="noConversion"/>
  </si>
  <si>
    <t>IPCC AR5</t>
    <phoneticPr fontId="5" type="noConversion"/>
  </si>
  <si>
    <t>Project evaluation report</t>
    <phoneticPr fontId="9" type="noConversion"/>
  </si>
  <si>
    <t>/</t>
    <phoneticPr fontId="0" type="noConversion"/>
  </si>
  <si>
    <t>Clarification</t>
    <phoneticPr fontId="5" type="noConversion"/>
  </si>
  <si>
    <t>Aproved Global Warming Potential of CH4</t>
  </si>
  <si>
    <t>Density CH4 (20 oC, 1 atm)</t>
  </si>
  <si>
    <t>Annual volatile solid for livestock LT entering all AWMS [on a dry matter weight basis (kg-dm/animal/year)</t>
  </si>
  <si>
    <t>TAM</t>
  </si>
  <si>
    <t>2006 IPCC default value, vol. 4, ch. 10, tbl. 10.21</t>
  </si>
  <si>
    <t>Project evaluation report</t>
  </si>
  <si>
    <t>2006 IPCC default value, vol. 4, ch. 10, tbl. 10A-7,8</t>
  </si>
  <si>
    <t>IPCC AR5</t>
  </si>
  <si>
    <t>ACM0010 Version 08.0, page 14</t>
  </si>
  <si>
    <t>/</t>
    <phoneticPr fontId="5" type="noConversion"/>
  </si>
  <si>
    <t>Project evaluation report</t>
    <phoneticPr fontId="5" type="noConversion"/>
  </si>
  <si>
    <t>Project emissions from fossil fuel consumption associated with the anaerobic digester will not be taken into account</t>
    <phoneticPr fontId="5" type="noConversion"/>
  </si>
  <si>
    <t xml:space="preserve"> project evaluation report</t>
    <phoneticPr fontId="5" type="noConversion"/>
  </si>
  <si>
    <t xml:space="preserve"> Value </t>
    <phoneticPr fontId="5" type="noConversion"/>
  </si>
  <si>
    <t>Subtotal</t>
    <phoneticPr fontId="5" type="noConversion"/>
  </si>
  <si>
    <t>ACM0010 Version 08.0, page 17</t>
    <phoneticPr fontId="5" type="noConversion"/>
  </si>
  <si>
    <t>2006 IPCC Guidelines, volume 4, chapter 10</t>
    <phoneticPr fontId="5" type="noConversion"/>
  </si>
  <si>
    <t>kgN-N2O-N/kg NH3-N+NOX-N</t>
    <phoneticPr fontId="0" type="noConversion"/>
  </si>
  <si>
    <t xml:space="preserve">Estimated from Table provided in Annex 1 (anaerobic digester as "covered first cell of 2 cell lagoon") of ACM0010 </t>
    <phoneticPr fontId="5" type="noConversion"/>
  </si>
  <si>
    <t>kg/hd/y</t>
  </si>
  <si>
    <t>Estimated from Table provided in Annex 1 (uncovered anaerobic lagoon as "one cell lagoon") of ACM0010</t>
    <phoneticPr fontId="0" type="noConversion"/>
  </si>
  <si>
    <t>Project Evaluation report</t>
    <phoneticPr fontId="0" type="noConversion"/>
  </si>
  <si>
    <t>IPCC AR5</t>
    <phoneticPr fontId="0" type="noConversion"/>
  </si>
  <si>
    <t>ACM0010 Version 08.0, page 30</t>
    <phoneticPr fontId="0" type="noConversion"/>
  </si>
  <si>
    <t>ACM0010 Version 08.0, page 25</t>
  </si>
  <si>
    <t xml:space="preserve">VS 2006 IPCC guidelines default </t>
  </si>
  <si>
    <r>
      <t>(tCO</t>
    </r>
    <r>
      <rPr>
        <b/>
        <vertAlign val="subscript"/>
        <sz val="9"/>
        <color indexed="8"/>
        <rFont val="Franklin Gothic Book"/>
        <family val="2"/>
      </rPr>
      <t>2</t>
    </r>
    <r>
      <rPr>
        <b/>
        <sz val="9"/>
        <color indexed="8"/>
        <rFont val="Franklin Gothic Book"/>
        <family val="2"/>
      </rPr>
      <t>e)</t>
    </r>
  </si>
  <si>
    <r>
      <t>Total(tCO</t>
    </r>
    <r>
      <rPr>
        <b/>
        <vertAlign val="subscript"/>
        <sz val="9"/>
        <color indexed="8"/>
        <rFont val="Franklin Gothic Book"/>
        <family val="2"/>
      </rPr>
      <t>2</t>
    </r>
    <r>
      <rPr>
        <b/>
        <sz val="9"/>
        <color indexed="8"/>
        <rFont val="Franklin Gothic Book"/>
        <family val="2"/>
      </rPr>
      <t>e)</t>
    </r>
    <phoneticPr fontId="5" type="noConversion"/>
  </si>
  <si>
    <r>
      <t>Average(tCO</t>
    </r>
    <r>
      <rPr>
        <b/>
        <vertAlign val="subscript"/>
        <sz val="9"/>
        <color indexed="8"/>
        <rFont val="Franklin Gothic Book"/>
        <family val="2"/>
      </rPr>
      <t>2</t>
    </r>
    <r>
      <rPr>
        <b/>
        <sz val="9"/>
        <color indexed="8"/>
        <rFont val="Franklin Gothic Book"/>
        <family val="2"/>
      </rPr>
      <t>e)</t>
    </r>
    <phoneticPr fontId="5" type="noConversion"/>
  </si>
  <si>
    <t>project evaluation report</t>
    <phoneticPr fontId="5" type="noConversion"/>
  </si>
  <si>
    <r>
      <t>GWP</t>
    </r>
    <r>
      <rPr>
        <i/>
        <vertAlign val="subscript"/>
        <sz val="9"/>
        <color indexed="8"/>
        <rFont val="Verdana"/>
        <family val="2"/>
      </rPr>
      <t>CH4</t>
    </r>
  </si>
  <si>
    <r>
      <t>tCO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/tCH</t>
    </r>
    <r>
      <rPr>
        <vertAlign val="subscript"/>
        <sz val="9"/>
        <color indexed="8"/>
        <rFont val="Verdana"/>
        <family val="2"/>
      </rPr>
      <t>4</t>
    </r>
    <phoneticPr fontId="5" type="noConversion"/>
  </si>
  <si>
    <r>
      <t>D</t>
    </r>
    <r>
      <rPr>
        <i/>
        <vertAlign val="subscript"/>
        <sz val="9"/>
        <color indexed="8"/>
        <rFont val="Verdana"/>
        <family val="2"/>
      </rPr>
      <t>CH4</t>
    </r>
  </si>
  <si>
    <r>
      <t>t/m</t>
    </r>
    <r>
      <rPr>
        <vertAlign val="superscript"/>
        <sz val="9"/>
        <color indexed="8"/>
        <rFont val="Verdana"/>
        <family val="2"/>
      </rPr>
      <t>3</t>
    </r>
  </si>
  <si>
    <r>
      <t>MCF</t>
    </r>
    <r>
      <rPr>
        <vertAlign val="subscript"/>
        <sz val="9"/>
        <color indexed="8"/>
        <rFont val="Verdana"/>
        <family val="2"/>
      </rPr>
      <t>j</t>
    </r>
    <phoneticPr fontId="0" type="noConversion"/>
  </si>
  <si>
    <r>
      <t>B</t>
    </r>
    <r>
      <rPr>
        <i/>
        <vertAlign val="subscript"/>
        <sz val="9"/>
        <color indexed="8"/>
        <rFont val="Verdana"/>
        <family val="2"/>
      </rPr>
      <t>o,LT</t>
    </r>
    <phoneticPr fontId="0" type="noConversion"/>
  </si>
  <si>
    <r>
      <t>m</t>
    </r>
    <r>
      <rPr>
        <vertAlign val="superscript"/>
        <sz val="9"/>
        <color indexed="8"/>
        <rFont val="Verdana"/>
        <family val="2"/>
      </rPr>
      <t>3</t>
    </r>
    <r>
      <rPr>
        <sz val="9"/>
        <color indexed="8"/>
        <rFont val="Verdana"/>
        <family val="2"/>
      </rPr>
      <t xml:space="preserve"> CH</t>
    </r>
    <r>
      <rPr>
        <vertAlign val="subscript"/>
        <sz val="9"/>
        <color indexed="8"/>
        <rFont val="Verdana"/>
        <family val="2"/>
      </rPr>
      <t>4</t>
    </r>
    <r>
      <rPr>
        <sz val="9"/>
        <color indexed="8"/>
        <rFont val="Verdana"/>
        <family val="2"/>
      </rPr>
      <t xml:space="preserve"> /kg VS</t>
    </r>
    <phoneticPr fontId="5" type="noConversion"/>
  </si>
  <si>
    <r>
      <t>N</t>
    </r>
    <r>
      <rPr>
        <vertAlign val="subscript"/>
        <sz val="9"/>
        <color indexed="8"/>
        <rFont val="Verdana"/>
        <family val="2"/>
      </rPr>
      <t>LT</t>
    </r>
    <phoneticPr fontId="0" type="noConversion"/>
  </si>
  <si>
    <r>
      <t>W</t>
    </r>
    <r>
      <rPr>
        <vertAlign val="subscript"/>
        <sz val="9"/>
        <color indexed="8"/>
        <rFont val="Verdana"/>
        <family val="2"/>
      </rPr>
      <t>site</t>
    </r>
    <phoneticPr fontId="0" type="noConversion"/>
  </si>
  <si>
    <r>
      <t>W</t>
    </r>
    <r>
      <rPr>
        <vertAlign val="subscript"/>
        <sz val="9"/>
        <color indexed="8"/>
        <rFont val="Verdana"/>
        <family val="2"/>
      </rPr>
      <t>default</t>
    </r>
    <phoneticPr fontId="0" type="noConversion"/>
  </si>
  <si>
    <r>
      <t>VS</t>
    </r>
    <r>
      <rPr>
        <vertAlign val="subscript"/>
        <sz val="9"/>
        <color indexed="8"/>
        <rFont val="Verdana"/>
        <family val="2"/>
      </rPr>
      <t>default</t>
    </r>
    <phoneticPr fontId="0" type="noConversion"/>
  </si>
  <si>
    <r>
      <t>VS</t>
    </r>
    <r>
      <rPr>
        <vertAlign val="subscript"/>
        <sz val="9"/>
        <color indexed="8"/>
        <rFont val="Verdana"/>
        <family val="2"/>
      </rPr>
      <t>LT,y</t>
    </r>
    <phoneticPr fontId="0" type="noConversion"/>
  </si>
  <si>
    <r>
      <t>n</t>
    </r>
    <r>
      <rPr>
        <vertAlign val="subscript"/>
        <sz val="9"/>
        <color indexed="8"/>
        <rFont val="Verdana"/>
        <family val="2"/>
      </rPr>
      <t>dy</t>
    </r>
    <phoneticPr fontId="0" type="noConversion"/>
  </si>
  <si>
    <r>
      <t>tCO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e</t>
    </r>
    <phoneticPr fontId="0" type="noConversion"/>
  </si>
  <si>
    <r>
      <t>BE</t>
    </r>
    <r>
      <rPr>
        <b/>
        <vertAlign val="subscript"/>
        <sz val="9"/>
        <color indexed="8"/>
        <rFont val="Verdana"/>
        <family val="2"/>
      </rPr>
      <t xml:space="preserve">CH4 </t>
    </r>
    <phoneticPr fontId="0" type="noConversion"/>
  </si>
  <si>
    <r>
      <t>EF</t>
    </r>
    <r>
      <rPr>
        <i/>
        <vertAlign val="subscript"/>
        <sz val="9"/>
        <rFont val="Verdana"/>
        <family val="2"/>
      </rPr>
      <t>N2O,D,j</t>
    </r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</si>
  <si>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O-N/kg N</t>
    </r>
  </si>
  <si>
    <r>
      <t>N</t>
    </r>
    <r>
      <rPr>
        <i/>
        <vertAlign val="subscript"/>
        <sz val="9"/>
        <rFont val="Verdana"/>
        <family val="2"/>
      </rPr>
      <t>rate(T)</t>
    </r>
    <phoneticPr fontId="0" type="noConversion"/>
  </si>
  <si>
    <r>
      <t>NEX</t>
    </r>
    <r>
      <rPr>
        <i/>
        <vertAlign val="subscript"/>
        <sz val="9"/>
        <rFont val="Verdana"/>
        <family val="2"/>
      </rPr>
      <t>IPCCdefault</t>
    </r>
    <phoneticPr fontId="0" type="noConversion"/>
  </si>
  <si>
    <r>
      <t>W</t>
    </r>
    <r>
      <rPr>
        <i/>
        <vertAlign val="subscript"/>
        <sz val="9"/>
        <rFont val="Verdana"/>
        <family val="2"/>
      </rPr>
      <t>site</t>
    </r>
    <phoneticPr fontId="0" type="noConversion"/>
  </si>
  <si>
    <r>
      <t>W</t>
    </r>
    <r>
      <rPr>
        <i/>
        <vertAlign val="subscript"/>
        <sz val="9"/>
        <rFont val="Verdana"/>
        <family val="2"/>
      </rPr>
      <t>default</t>
    </r>
    <phoneticPr fontId="0" type="noConversion"/>
  </si>
  <si>
    <r>
      <t>NEX</t>
    </r>
    <r>
      <rPr>
        <i/>
        <vertAlign val="subscript"/>
        <sz val="9"/>
        <rFont val="Verdana"/>
        <family val="2"/>
      </rPr>
      <t>LT,y</t>
    </r>
    <phoneticPr fontId="0" type="noConversion"/>
  </si>
  <si>
    <r>
      <t>N</t>
    </r>
    <r>
      <rPr>
        <i/>
        <vertAlign val="subscript"/>
        <sz val="9"/>
        <rFont val="Verdana"/>
        <family val="2"/>
      </rPr>
      <t>LT</t>
    </r>
    <phoneticPr fontId="0" type="noConversion"/>
  </si>
  <si>
    <r>
      <t>MS%</t>
    </r>
    <r>
      <rPr>
        <vertAlign val="subscript"/>
        <sz val="9"/>
        <rFont val="Verdana"/>
        <family val="2"/>
      </rPr>
      <t>BL,j</t>
    </r>
    <phoneticPr fontId="0" type="noConversion"/>
  </si>
  <si>
    <r>
      <t>E</t>
    </r>
    <r>
      <rPr>
        <vertAlign val="subscript"/>
        <sz val="9"/>
        <rFont val="Verdana"/>
        <family val="2"/>
      </rPr>
      <t>N2O,D,y</t>
    </r>
    <phoneticPr fontId="0" type="noConversion"/>
  </si>
  <si>
    <r>
      <t>kg N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O-N/year</t>
    </r>
    <phoneticPr fontId="0" type="noConversion"/>
  </si>
  <si>
    <r>
      <t>EF</t>
    </r>
    <r>
      <rPr>
        <i/>
        <vertAlign val="subscript"/>
        <sz val="9"/>
        <rFont val="Verdana"/>
        <family val="2"/>
      </rPr>
      <t>N2O,ID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</si>
  <si>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O/kg N</t>
    </r>
  </si>
  <si>
    <r>
      <t>F</t>
    </r>
    <r>
      <rPr>
        <i/>
        <vertAlign val="subscript"/>
        <sz val="9"/>
        <rFont val="Verdana"/>
        <family val="2"/>
      </rPr>
      <t>gasMS,j,LT</t>
    </r>
    <phoneticPr fontId="0" type="noConversion"/>
  </si>
  <si>
    <r>
      <t>GWP</t>
    </r>
    <r>
      <rPr>
        <vertAlign val="subscript"/>
        <sz val="9"/>
        <rFont val="Verdana"/>
        <family val="2"/>
      </rPr>
      <t>N2O</t>
    </r>
    <phoneticPr fontId="0" type="noConversion"/>
  </si>
  <si>
    <r>
      <t>CF</t>
    </r>
    <r>
      <rPr>
        <vertAlign val="subscript"/>
        <sz val="9"/>
        <rFont val="Verdana"/>
        <family val="2"/>
      </rPr>
      <t>N20-N,N</t>
    </r>
    <phoneticPr fontId="0" type="noConversion"/>
  </si>
  <si>
    <r>
      <t>Conversion Factor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 to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5" type="noConversion"/>
  </si>
  <si>
    <r>
      <t>E</t>
    </r>
    <r>
      <rPr>
        <vertAlign val="subscript"/>
        <sz val="9"/>
        <rFont val="Verdana"/>
        <family val="2"/>
      </rPr>
      <t>N2O,ID,y</t>
    </r>
    <phoneticPr fontId="0" type="noConversion"/>
  </si>
  <si>
    <r>
      <t>BE</t>
    </r>
    <r>
      <rPr>
        <i/>
        <vertAlign val="subscript"/>
        <sz val="9"/>
        <rFont val="Verdana"/>
        <family val="2"/>
      </rPr>
      <t>N2O,y</t>
    </r>
    <r>
      <rPr>
        <i/>
        <sz val="9"/>
        <rFont val="Verdana"/>
        <family val="2"/>
      </rPr>
      <t xml:space="preserve"> </t>
    </r>
    <r>
      <rPr>
        <b/>
        <sz val="9"/>
        <rFont val="Verdana"/>
        <family val="2"/>
      </rPr>
      <t>= GWP</t>
    </r>
    <r>
      <rPr>
        <b/>
        <vertAlign val="subscript"/>
        <sz val="9"/>
        <rFont val="Verdana"/>
        <family val="2"/>
      </rPr>
      <t>N2O</t>
    </r>
    <r>
      <rPr>
        <b/>
        <sz val="9"/>
        <rFont val="Verdana"/>
        <family val="2"/>
      </rPr>
      <t>*CF</t>
    </r>
    <r>
      <rPr>
        <b/>
        <vertAlign val="subscript"/>
        <sz val="9"/>
        <rFont val="Verdana"/>
        <family val="2"/>
      </rPr>
      <t>N2O-N,N</t>
    </r>
    <r>
      <rPr>
        <b/>
        <sz val="9"/>
        <rFont val="Verdana"/>
        <family val="2"/>
      </rPr>
      <t>* 1/1000*(E</t>
    </r>
    <r>
      <rPr>
        <b/>
        <vertAlign val="subscript"/>
        <sz val="9"/>
        <rFont val="Verdana"/>
        <family val="2"/>
      </rPr>
      <t>N2O,D,y</t>
    </r>
    <r>
      <rPr>
        <b/>
        <sz val="9"/>
        <rFont val="Verdana"/>
        <family val="2"/>
      </rPr>
      <t xml:space="preserve"> + E</t>
    </r>
    <r>
      <rPr>
        <b/>
        <vertAlign val="subscript"/>
        <sz val="9"/>
        <rFont val="Verdana"/>
        <family val="2"/>
      </rPr>
      <t>N2O,ID,y</t>
    </r>
    <r>
      <rPr>
        <b/>
        <sz val="9"/>
        <rFont val="Verdana"/>
        <family val="2"/>
      </rPr>
      <t>) =</t>
    </r>
    <phoneticPr fontId="0" type="noConversion"/>
  </si>
  <si>
    <r>
      <t>Not applicable as baseline CO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 xml:space="preserve"> emissions from electricity or heat will not be claimed as emission reduction.</t>
    </r>
    <phoneticPr fontId="5" type="noConversion"/>
  </si>
  <si>
    <r>
      <t xml:space="preserve"> BE</t>
    </r>
    <r>
      <rPr>
        <b/>
        <vertAlign val="subscript"/>
        <sz val="9"/>
        <rFont val="Verdana"/>
        <family val="2"/>
      </rPr>
      <t xml:space="preserve">CH4,y </t>
    </r>
    <r>
      <rPr>
        <b/>
        <sz val="9"/>
        <rFont val="Verdana"/>
        <family val="2"/>
      </rPr>
      <t>+ BE</t>
    </r>
    <r>
      <rPr>
        <b/>
        <vertAlign val="subscript"/>
        <sz val="9"/>
        <rFont val="Verdana"/>
        <family val="2"/>
      </rPr>
      <t>N2O,y</t>
    </r>
    <r>
      <rPr>
        <b/>
        <sz val="9"/>
        <rFont val="Verdana"/>
        <family val="2"/>
      </rPr>
      <t xml:space="preserve"> =</t>
    </r>
    <phoneticPr fontId="0" type="noConversion"/>
  </si>
  <si>
    <r>
      <t>i) Methane emissions from AWMS where gas is captured (PE</t>
    </r>
    <r>
      <rPr>
        <vertAlign val="subscript"/>
        <sz val="8"/>
        <rFont val="Verdana"/>
        <family val="2"/>
      </rPr>
      <t>AD</t>
    </r>
    <r>
      <rPr>
        <sz val="8"/>
        <rFont val="Verdana"/>
        <family val="2"/>
      </rPr>
      <t xml:space="preserve">, y): </t>
    </r>
    <phoneticPr fontId="5" type="noConversion"/>
  </si>
  <si>
    <r>
      <t>EC</t>
    </r>
    <r>
      <rPr>
        <vertAlign val="subscript"/>
        <sz val="8"/>
        <rFont val="Verdana"/>
        <family val="2"/>
      </rPr>
      <t>PJ,j,y</t>
    </r>
  </si>
  <si>
    <r>
      <t>EF</t>
    </r>
    <r>
      <rPr>
        <vertAlign val="subscript"/>
        <sz val="8"/>
        <rFont val="Verdana"/>
        <family val="2"/>
      </rPr>
      <t>EF,j,y</t>
    </r>
  </si>
  <si>
    <r>
      <t>tCO</t>
    </r>
    <r>
      <rPr>
        <vertAlign val="subscript"/>
        <sz val="8"/>
        <rFont val="Verdana"/>
        <family val="2"/>
      </rPr>
      <t>2</t>
    </r>
    <r>
      <rPr>
        <sz val="8"/>
        <rFont val="Verdana"/>
        <family val="2"/>
      </rPr>
      <t>/MWh</t>
    </r>
  </si>
  <si>
    <r>
      <t>TDL</t>
    </r>
    <r>
      <rPr>
        <vertAlign val="subscript"/>
        <sz val="8"/>
        <rFont val="Verdana"/>
        <family val="2"/>
      </rPr>
      <t>j,y</t>
    </r>
  </si>
  <si>
    <r>
      <t>PE</t>
    </r>
    <r>
      <rPr>
        <b/>
        <vertAlign val="subscript"/>
        <sz val="8"/>
        <rFont val="Verdana"/>
        <family val="2"/>
      </rPr>
      <t>EC,y</t>
    </r>
  </si>
  <si>
    <r>
      <t>tCO</t>
    </r>
    <r>
      <rPr>
        <vertAlign val="subscript"/>
        <sz val="8"/>
        <rFont val="Verdana"/>
        <family val="2"/>
      </rPr>
      <t>2</t>
    </r>
    <r>
      <rPr>
        <sz val="8"/>
        <rFont val="Verdana"/>
        <family val="2"/>
      </rPr>
      <t>e</t>
    </r>
  </si>
  <si>
    <r>
      <t>PE</t>
    </r>
    <r>
      <rPr>
        <b/>
        <vertAlign val="subscript"/>
        <sz val="8"/>
        <rFont val="Verdana"/>
        <family val="2"/>
      </rPr>
      <t>FC,y</t>
    </r>
  </si>
  <si>
    <r>
      <t>GWP</t>
    </r>
    <r>
      <rPr>
        <i/>
        <vertAlign val="subscript"/>
        <sz val="8"/>
        <color indexed="8"/>
        <rFont val="Verdana"/>
        <family val="2"/>
      </rPr>
      <t>CH4</t>
    </r>
  </si>
  <si>
    <r>
      <t>EF</t>
    </r>
    <r>
      <rPr>
        <i/>
        <vertAlign val="subscript"/>
        <sz val="8"/>
        <color indexed="8"/>
        <rFont val="Verdana"/>
        <family val="2"/>
      </rPr>
      <t>CH4,default</t>
    </r>
  </si>
  <si>
    <r>
      <t>tCH</t>
    </r>
    <r>
      <rPr>
        <vertAlign val="subscript"/>
        <sz val="8"/>
        <rFont val="Verdana"/>
        <family val="2"/>
      </rPr>
      <t xml:space="preserve">4 </t>
    </r>
    <r>
      <rPr>
        <sz val="8"/>
        <rFont val="Verdana"/>
        <family val="2"/>
      </rPr>
      <t>leaked / tCH</t>
    </r>
    <r>
      <rPr>
        <vertAlign val="subscript"/>
        <sz val="8"/>
        <rFont val="Verdana"/>
        <family val="2"/>
      </rPr>
      <t>4</t>
    </r>
    <r>
      <rPr>
        <sz val="8"/>
        <rFont val="Verdana"/>
        <family val="2"/>
      </rPr>
      <t xml:space="preserve"> produced</t>
    </r>
    <phoneticPr fontId="5" type="noConversion"/>
  </si>
  <si>
    <r>
      <t>Q</t>
    </r>
    <r>
      <rPr>
        <vertAlign val="subscript"/>
        <sz val="8"/>
        <rFont val="Verdana"/>
        <family val="2"/>
      </rPr>
      <t>CH4,y</t>
    </r>
    <phoneticPr fontId="5" type="noConversion"/>
  </si>
  <si>
    <r>
      <t>PE</t>
    </r>
    <r>
      <rPr>
        <b/>
        <vertAlign val="subscript"/>
        <sz val="8"/>
        <rFont val="Verdana"/>
        <family val="2"/>
      </rPr>
      <t>CH4,y</t>
    </r>
  </si>
  <si>
    <r>
      <t>GWP</t>
    </r>
    <r>
      <rPr>
        <vertAlign val="subscript"/>
        <sz val="8"/>
        <rFont val="Verdana"/>
        <family val="2"/>
      </rPr>
      <t>CH4</t>
    </r>
    <phoneticPr fontId="5" type="noConversion"/>
  </si>
  <si>
    <r>
      <t>F</t>
    </r>
    <r>
      <rPr>
        <vertAlign val="subscript"/>
        <sz val="8"/>
        <rFont val="Verdana"/>
        <family val="2"/>
      </rPr>
      <t>CH4,RG,m</t>
    </r>
    <phoneticPr fontId="5" type="noConversion"/>
  </si>
  <si>
    <r>
      <t>η</t>
    </r>
    <r>
      <rPr>
        <vertAlign val="subscript"/>
        <sz val="8"/>
        <rFont val="Verdana"/>
        <family val="2"/>
      </rPr>
      <t>flare,m</t>
    </r>
    <phoneticPr fontId="5" type="noConversion"/>
  </si>
  <si>
    <r>
      <t>tCO</t>
    </r>
    <r>
      <rPr>
        <vertAlign val="subscript"/>
        <sz val="8"/>
        <rFont val="Verdana"/>
        <family val="2"/>
      </rPr>
      <t>2</t>
    </r>
    <r>
      <rPr>
        <sz val="8"/>
        <rFont val="Verdana"/>
        <family val="2"/>
      </rPr>
      <t>e</t>
    </r>
    <phoneticPr fontId="5" type="noConversion"/>
  </si>
  <si>
    <r>
      <t>PE</t>
    </r>
    <r>
      <rPr>
        <b/>
        <vertAlign val="subscript"/>
        <sz val="8"/>
        <rFont val="Verdana"/>
        <family val="2"/>
      </rPr>
      <t>AD,y</t>
    </r>
    <phoneticPr fontId="5" type="noConversion"/>
  </si>
  <si>
    <r>
      <t>GWP</t>
    </r>
    <r>
      <rPr>
        <vertAlign val="subscript"/>
        <sz val="8"/>
        <color indexed="8"/>
        <rFont val="Verdana"/>
        <family val="2"/>
      </rPr>
      <t>CH4</t>
    </r>
    <phoneticPr fontId="5" type="noConversion"/>
  </si>
  <si>
    <r>
      <t>D</t>
    </r>
    <r>
      <rPr>
        <vertAlign val="subscript"/>
        <sz val="8"/>
        <rFont val="Verdana"/>
        <family val="2"/>
      </rPr>
      <t>CH4</t>
    </r>
    <phoneticPr fontId="5" type="noConversion"/>
  </si>
  <si>
    <r>
      <t>F</t>
    </r>
    <r>
      <rPr>
        <vertAlign val="subscript"/>
        <sz val="8"/>
        <rFont val="Verdana"/>
        <family val="2"/>
      </rPr>
      <t>Aer</t>
    </r>
    <phoneticPr fontId="5" type="noConversion"/>
  </si>
  <si>
    <r>
      <t>1-R</t>
    </r>
    <r>
      <rPr>
        <vertAlign val="subscript"/>
        <sz val="8"/>
        <rFont val="Verdana"/>
        <family val="2"/>
      </rPr>
      <t>VS,n</t>
    </r>
    <phoneticPr fontId="5" type="noConversion"/>
  </si>
  <si>
    <r>
      <t>B</t>
    </r>
    <r>
      <rPr>
        <vertAlign val="subscript"/>
        <sz val="8"/>
        <rFont val="Verdana"/>
        <family val="2"/>
      </rPr>
      <t>o,LT</t>
    </r>
    <phoneticPr fontId="5" type="noConversion"/>
  </si>
  <si>
    <r>
      <t>N</t>
    </r>
    <r>
      <rPr>
        <vertAlign val="subscript"/>
        <sz val="8"/>
        <rFont val="Verdana"/>
        <family val="2"/>
      </rPr>
      <t>LT</t>
    </r>
    <phoneticPr fontId="5" type="noConversion"/>
  </si>
  <si>
    <r>
      <t>VS</t>
    </r>
    <r>
      <rPr>
        <vertAlign val="subscript"/>
        <sz val="8"/>
        <rFont val="Verdana"/>
        <family val="2"/>
      </rPr>
      <t>LT,y</t>
    </r>
    <phoneticPr fontId="5" type="noConversion"/>
  </si>
  <si>
    <r>
      <t>PE</t>
    </r>
    <r>
      <rPr>
        <b/>
        <vertAlign val="subscript"/>
        <sz val="8"/>
        <rFont val="Verdana"/>
        <family val="2"/>
      </rPr>
      <t>Aer,y</t>
    </r>
    <r>
      <rPr>
        <b/>
        <sz val="8"/>
        <rFont val="Verdana"/>
        <family val="2"/>
      </rPr>
      <t>(tCO</t>
    </r>
    <r>
      <rPr>
        <b/>
        <vertAlign val="subscript"/>
        <sz val="8"/>
        <rFont val="Verdana"/>
        <family val="2"/>
      </rPr>
      <t>2</t>
    </r>
    <r>
      <rPr>
        <b/>
        <sz val="8"/>
        <rFont val="Verdana"/>
        <family val="2"/>
      </rPr>
      <t>e)</t>
    </r>
    <phoneticPr fontId="5" type="noConversion"/>
  </si>
  <si>
    <r>
      <t>PE</t>
    </r>
    <r>
      <rPr>
        <b/>
        <vertAlign val="subscript"/>
        <sz val="8"/>
        <color indexed="9"/>
        <rFont val="Verdana"/>
        <family val="2"/>
      </rPr>
      <t>N2O,Y</t>
    </r>
    <r>
      <rPr>
        <b/>
        <sz val="8"/>
        <color indexed="9"/>
        <rFont val="Verdana"/>
        <family val="2"/>
      </rPr>
      <t>=310*(44/28)*1/1000*EF</t>
    </r>
    <r>
      <rPr>
        <b/>
        <vertAlign val="subscript"/>
        <sz val="8"/>
        <color indexed="9"/>
        <rFont val="Verdana"/>
        <family val="2"/>
      </rPr>
      <t>N2O</t>
    </r>
    <r>
      <rPr>
        <b/>
        <sz val="8"/>
        <color indexed="9"/>
        <rFont val="Verdana"/>
        <family val="2"/>
      </rPr>
      <t>*NEX*N</t>
    </r>
  </si>
  <si>
    <r>
      <t>EF</t>
    </r>
    <r>
      <rPr>
        <vertAlign val="subscript"/>
        <sz val="9"/>
        <rFont val="Verdana"/>
        <family val="2"/>
      </rPr>
      <t xml:space="preserve">N2O,D,j 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</si>
  <si>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O/kg N</t>
    </r>
    <phoneticPr fontId="10" type="noConversion"/>
  </si>
  <si>
    <r>
      <t>NEX</t>
    </r>
    <r>
      <rPr>
        <vertAlign val="subscript"/>
        <sz val="9"/>
        <rFont val="Verdana"/>
        <family val="2"/>
      </rPr>
      <t>LT,y</t>
    </r>
    <phoneticPr fontId="0" type="noConversion"/>
  </si>
  <si>
    <r>
      <t>N</t>
    </r>
    <r>
      <rPr>
        <vertAlign val="subscript"/>
        <sz val="9"/>
        <rFont val="Verdana"/>
        <family val="2"/>
      </rPr>
      <t>LT</t>
    </r>
    <phoneticPr fontId="0" type="noConversion"/>
  </si>
  <si>
    <r>
      <t>MS%</t>
    </r>
    <r>
      <rPr>
        <vertAlign val="subscript"/>
        <sz val="9"/>
        <rFont val="Verdana"/>
        <family val="2"/>
      </rPr>
      <t>j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</si>
  <si>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O-N/year</t>
    </r>
    <phoneticPr fontId="0" type="noConversion"/>
  </si>
  <si>
    <r>
      <t>E</t>
    </r>
    <r>
      <rPr>
        <b/>
        <vertAlign val="subscript"/>
        <sz val="8"/>
        <rFont val="Verdana"/>
        <family val="2"/>
      </rPr>
      <t>N2O,D,y</t>
    </r>
    <phoneticPr fontId="5" type="noConversion"/>
  </si>
  <si>
    <r>
      <t>a) CH4 emissions: PE</t>
    </r>
    <r>
      <rPr>
        <i/>
        <sz val="8"/>
        <color indexed="9"/>
        <rFont val="Verdana"/>
        <family val="2"/>
      </rPr>
      <t>Aer,y</t>
    </r>
  </si>
  <si>
    <r>
      <t>EF</t>
    </r>
    <r>
      <rPr>
        <vertAlign val="subscript"/>
        <sz val="9"/>
        <rFont val="Verdana"/>
        <family val="2"/>
      </rPr>
      <t>N2O,ID</t>
    </r>
    <phoneticPr fontId="0" type="noConversion"/>
  </si>
  <si>
    <r>
      <t>F</t>
    </r>
    <r>
      <rPr>
        <vertAlign val="subscript"/>
        <sz val="9"/>
        <rFont val="Verdana"/>
        <family val="2"/>
      </rPr>
      <t>gasMS,j,LT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</si>
  <si>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</si>
  <si>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E</t>
    </r>
    <r>
      <rPr>
        <b/>
        <vertAlign val="subscript"/>
        <sz val="9"/>
        <rFont val="Verdana"/>
        <family val="2"/>
      </rPr>
      <t>N2O,ID,j</t>
    </r>
    <phoneticPr fontId="0" type="noConversion"/>
  </si>
  <si>
    <r>
      <t>E</t>
    </r>
    <r>
      <rPr>
        <b/>
        <vertAlign val="subscript"/>
        <sz val="8"/>
        <rFont val="Verdana"/>
        <family val="2"/>
      </rPr>
      <t>N2O,ID,j</t>
    </r>
    <phoneticPr fontId="5" type="noConversion"/>
  </si>
  <si>
    <r>
      <t>PE</t>
    </r>
    <r>
      <rPr>
        <b/>
        <vertAlign val="subscript"/>
        <sz val="8"/>
        <rFont val="Verdana"/>
        <family val="2"/>
      </rPr>
      <t>N2O,Y</t>
    </r>
    <r>
      <rPr>
        <b/>
        <sz val="8"/>
        <rFont val="Verdana"/>
        <family val="2"/>
      </rPr>
      <t>=265*(44/28)*1/1000*(E</t>
    </r>
    <r>
      <rPr>
        <b/>
        <vertAlign val="subscript"/>
        <sz val="8"/>
        <rFont val="Verdana"/>
        <family val="2"/>
      </rPr>
      <t>N2O,D,y</t>
    </r>
    <r>
      <rPr>
        <b/>
        <sz val="8"/>
        <rFont val="Verdana"/>
        <family val="2"/>
      </rPr>
      <t>+E</t>
    </r>
    <r>
      <rPr>
        <b/>
        <vertAlign val="subscript"/>
        <sz val="8"/>
        <rFont val="Verdana"/>
        <family val="2"/>
      </rPr>
      <t>N2O,ID,y</t>
    </r>
    <r>
      <rPr>
        <b/>
        <sz val="8"/>
        <rFont val="Verdana"/>
        <family val="2"/>
      </rPr>
      <t>) =</t>
    </r>
    <phoneticPr fontId="5" type="noConversion"/>
  </si>
  <si>
    <r>
      <t>PROJECT EMISSIONS (tCO</t>
    </r>
    <r>
      <rPr>
        <b/>
        <vertAlign val="subscript"/>
        <sz val="8"/>
        <rFont val="Verdana"/>
        <family val="2"/>
      </rPr>
      <t>2</t>
    </r>
    <r>
      <rPr>
        <b/>
        <sz val="8"/>
        <rFont val="Verdana"/>
        <family val="2"/>
      </rPr>
      <t>e)</t>
    </r>
    <phoneticPr fontId="5" type="noConversion"/>
  </si>
  <si>
    <r>
      <t>N</t>
    </r>
    <r>
      <rPr>
        <vertAlign val="subscript"/>
        <sz val="9"/>
        <rFont val="Verdana"/>
        <family val="2"/>
      </rPr>
      <t>rate</t>
    </r>
    <phoneticPr fontId="5" type="noConversion"/>
  </si>
  <si>
    <r>
      <t>R</t>
    </r>
    <r>
      <rPr>
        <i/>
        <vertAlign val="subscript"/>
        <sz val="9"/>
        <rFont val="Verdana"/>
        <family val="2"/>
      </rPr>
      <t>N,n</t>
    </r>
    <phoneticPr fontId="0" type="noConversion"/>
  </si>
  <si>
    <r>
      <t>EF</t>
    </r>
    <r>
      <rPr>
        <vertAlign val="subscript"/>
        <sz val="9"/>
        <rFont val="Verdana"/>
        <family val="2"/>
      </rPr>
      <t>1</t>
    </r>
    <phoneticPr fontId="0" type="noConversion"/>
  </si>
  <si>
    <r>
      <t>EF</t>
    </r>
    <r>
      <rPr>
        <vertAlign val="subscript"/>
        <sz val="9"/>
        <rFont val="Verdana"/>
        <family val="2"/>
      </rPr>
      <t>5</t>
    </r>
    <phoneticPr fontId="0" type="noConversion"/>
  </si>
  <si>
    <r>
      <t>EF</t>
    </r>
    <r>
      <rPr>
        <vertAlign val="subscript"/>
        <sz val="9"/>
        <rFont val="Verdana"/>
        <family val="2"/>
      </rPr>
      <t>4</t>
    </r>
    <phoneticPr fontId="0" type="noConversion"/>
  </si>
  <si>
    <r>
      <t>F</t>
    </r>
    <r>
      <rPr>
        <vertAlign val="subscript"/>
        <sz val="9"/>
        <rFont val="Verdana"/>
        <family val="2"/>
      </rPr>
      <t>leach</t>
    </r>
    <phoneticPr fontId="0" type="noConversion"/>
  </si>
  <si>
    <r>
      <t>F</t>
    </r>
    <r>
      <rPr>
        <vertAlign val="subscript"/>
        <sz val="9"/>
        <rFont val="Verdana"/>
        <family val="2"/>
      </rPr>
      <t>gasm</t>
    </r>
    <phoneticPr fontId="0" type="noConversion"/>
  </si>
  <si>
    <r>
      <t>Global Warming Potential 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</si>
  <si>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LE</t>
    </r>
    <r>
      <rPr>
        <vertAlign val="subscript"/>
        <sz val="9"/>
        <rFont val="Verdana"/>
        <family val="2"/>
      </rPr>
      <t>N2O,land,y</t>
    </r>
    <phoneticPr fontId="0" type="noConversion"/>
  </si>
  <si>
    <r>
      <t>LE</t>
    </r>
    <r>
      <rPr>
        <vertAlign val="subscript"/>
        <sz val="9"/>
        <rFont val="Verdana"/>
        <family val="2"/>
      </rPr>
      <t>N2O,runoff,y</t>
    </r>
    <phoneticPr fontId="0" type="noConversion"/>
  </si>
  <si>
    <r>
      <t>LE</t>
    </r>
    <r>
      <rPr>
        <vertAlign val="subscript"/>
        <sz val="9"/>
        <rFont val="Verdana"/>
        <family val="2"/>
      </rPr>
      <t>N2O,vol,y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</si>
  <si>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BL,N2O,y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</si>
  <si>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e</t>
    </r>
    <phoneticPr fontId="0" type="noConversion"/>
  </si>
  <si>
    <r>
      <t>NEX</t>
    </r>
    <r>
      <rPr>
        <vertAlign val="subscript"/>
        <sz val="9"/>
        <rFont val="Verdana"/>
        <family val="2"/>
      </rPr>
      <t>LT</t>
    </r>
    <phoneticPr fontId="5" type="noConversion"/>
  </si>
  <si>
    <r>
      <t>R</t>
    </r>
    <r>
      <rPr>
        <i/>
        <sz val="9"/>
        <rFont val="Verdana"/>
        <family val="2"/>
      </rPr>
      <t>N</t>
    </r>
  </si>
  <si>
    <r>
      <t>LE</t>
    </r>
    <r>
      <rPr>
        <i/>
        <vertAlign val="subscript"/>
        <sz val="9"/>
        <rFont val="Verdana"/>
        <family val="2"/>
      </rPr>
      <t>N2O,land</t>
    </r>
    <r>
      <rPr>
        <vertAlign val="subscript"/>
        <sz val="9"/>
        <rFont val="Verdana"/>
        <family val="2"/>
      </rPr>
      <t>,y</t>
    </r>
    <phoneticPr fontId="0" type="noConversion"/>
  </si>
  <si>
    <r>
      <t>LE</t>
    </r>
    <r>
      <rPr>
        <i/>
        <vertAlign val="subscript"/>
        <sz val="9"/>
        <rFont val="Verdana"/>
        <family val="2"/>
      </rPr>
      <t>N2O,runoff</t>
    </r>
    <r>
      <rPr>
        <vertAlign val="subscript"/>
        <sz val="9"/>
        <rFont val="Verdana"/>
        <family val="2"/>
      </rPr>
      <t>,y</t>
    </r>
    <phoneticPr fontId="0" type="noConversion"/>
  </si>
  <si>
    <r>
      <t>LE</t>
    </r>
    <r>
      <rPr>
        <i/>
        <vertAlign val="subscript"/>
        <sz val="9"/>
        <rFont val="Verdana"/>
        <family val="2"/>
      </rPr>
      <t>N2O,vol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</si>
  <si>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</t>
    </r>
    <r>
      <rPr>
        <i/>
        <vertAlign val="subscript"/>
        <sz val="9"/>
        <rFont val="Verdana"/>
        <family val="2"/>
      </rPr>
      <t>,N2O</t>
    </r>
    <phoneticPr fontId="0" type="noConversion"/>
  </si>
  <si>
    <r>
      <t>GWP</t>
    </r>
    <r>
      <rPr>
        <vertAlign val="subscript"/>
        <sz val="9"/>
        <rFont val="Verdana"/>
        <family val="2"/>
      </rPr>
      <t>CH4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</si>
  <si>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/tCH</t>
    </r>
    <r>
      <rPr>
        <vertAlign val="subscript"/>
        <sz val="9"/>
        <rFont val="Verdana"/>
        <family val="2"/>
      </rPr>
      <t>4</t>
    </r>
    <phoneticPr fontId="0" type="noConversion"/>
  </si>
  <si>
    <r>
      <t>D</t>
    </r>
    <r>
      <rPr>
        <vertAlign val="subscript"/>
        <sz val="9"/>
        <rFont val="Verdana"/>
        <family val="2"/>
      </rPr>
      <t>CH4</t>
    </r>
    <phoneticPr fontId="0" type="noConversion"/>
  </si>
  <si>
    <r>
      <t>MCF</t>
    </r>
    <r>
      <rPr>
        <vertAlign val="subscript"/>
        <sz val="9"/>
        <rFont val="Verdana"/>
        <family val="2"/>
      </rPr>
      <t>d</t>
    </r>
    <phoneticPr fontId="0" type="noConversion"/>
  </si>
  <si>
    <r>
      <t>VS</t>
    </r>
    <r>
      <rPr>
        <vertAlign val="subscript"/>
        <sz val="9"/>
        <rFont val="Verdana"/>
        <family val="2"/>
      </rPr>
      <t>LT,y</t>
    </r>
    <phoneticPr fontId="0" type="noConversion"/>
  </si>
  <si>
    <r>
      <t>B</t>
    </r>
    <r>
      <rPr>
        <vertAlign val="subscript"/>
        <sz val="9"/>
        <rFont val="Verdana"/>
        <family val="2"/>
      </rPr>
      <t>o,LT</t>
    </r>
    <phoneticPr fontId="0" type="noConversion"/>
  </si>
  <si>
    <r>
      <t>m</t>
    </r>
    <r>
      <rPr>
        <vertAlign val="superscript"/>
        <sz val="9"/>
        <rFont val="Verdana"/>
        <family val="2"/>
      </rPr>
      <t>3</t>
    </r>
    <r>
      <rPr>
        <sz val="9"/>
        <rFont val="Verdana"/>
        <family val="2"/>
      </rPr>
      <t xml:space="preserve"> CH</t>
    </r>
    <r>
      <rPr>
        <vertAlign val="subscript"/>
        <sz val="9"/>
        <rFont val="Verdana"/>
        <family val="2"/>
      </rPr>
      <t>4</t>
    </r>
    <r>
      <rPr>
        <sz val="9"/>
        <rFont val="Verdana"/>
        <family val="2"/>
      </rPr>
      <t>/kg-VS</t>
    </r>
    <phoneticPr fontId="0" type="noConversion"/>
  </si>
  <si>
    <r>
      <t>R</t>
    </r>
    <r>
      <rPr>
        <vertAlign val="subscript"/>
        <sz val="9"/>
        <rFont val="Verdana"/>
        <family val="2"/>
      </rPr>
      <t xml:space="preserve">VS 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</si>
  <si>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BL,CH4,y</t>
    </r>
    <phoneticPr fontId="0" type="noConversion"/>
  </si>
  <si>
    <r>
      <t>t/m</t>
    </r>
    <r>
      <rPr>
        <vertAlign val="superscript"/>
        <sz val="9"/>
        <rFont val="Verdana"/>
        <family val="2"/>
      </rPr>
      <t>3</t>
    </r>
    <phoneticPr fontId="0" type="noConversion"/>
  </si>
  <si>
    <r>
      <t>B</t>
    </r>
    <r>
      <rPr>
        <vertAlign val="subscript"/>
        <sz val="9"/>
        <rFont val="Verdana"/>
        <family val="2"/>
      </rPr>
      <t>0,LT</t>
    </r>
    <phoneticPr fontId="0" type="noConversion"/>
  </si>
  <si>
    <r>
      <t>R</t>
    </r>
    <r>
      <rPr>
        <vertAlign val="subscript"/>
        <sz val="9"/>
        <rFont val="Verdana"/>
        <family val="2"/>
      </rPr>
      <t>VS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</si>
  <si>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 xml:space="preserve"> PJ</t>
    </r>
    <r>
      <rPr>
        <b/>
        <i/>
        <vertAlign val="subscript"/>
        <sz val="9"/>
        <rFont val="Verdana"/>
        <family val="2"/>
      </rPr>
      <t>,CH4</t>
    </r>
    <r>
      <rPr>
        <b/>
        <vertAlign val="subscript"/>
        <sz val="9"/>
        <rFont val="Verdana"/>
        <family val="2"/>
      </rPr>
      <t xml:space="preserve"> 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</si>
  <si>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PJ,CH4,y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</si>
  <si>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PJ,N2O</t>
    </r>
    <phoneticPr fontId="0" type="noConversion"/>
  </si>
  <si>
    <r>
      <t>a. LE</t>
    </r>
    <r>
      <rPr>
        <i/>
        <sz val="9"/>
        <color indexed="9"/>
        <rFont val="Verdana"/>
        <family val="2"/>
      </rPr>
      <t xml:space="preserve">B,CH4 </t>
    </r>
    <r>
      <rPr>
        <b/>
        <sz val="9"/>
        <color indexed="9"/>
        <rFont val="Verdana"/>
        <family val="2"/>
      </rPr>
      <t>CH4- land application</t>
    </r>
  </si>
  <si>
    <r>
      <t>VS</t>
    </r>
    <r>
      <rPr>
        <i/>
        <sz val="9"/>
        <color indexed="9"/>
        <rFont val="Verdana"/>
        <family val="2"/>
      </rPr>
      <t>LT,M</t>
    </r>
  </si>
  <si>
    <r>
      <t>N</t>
    </r>
    <r>
      <rPr>
        <i/>
        <vertAlign val="subscript"/>
        <sz val="9"/>
        <color indexed="9"/>
        <rFont val="Verdana"/>
        <family val="2"/>
      </rPr>
      <t>population(head, animal population)</t>
    </r>
  </si>
  <si>
    <r>
      <t>B</t>
    </r>
    <r>
      <rPr>
        <i/>
        <sz val="9"/>
        <color indexed="9"/>
        <rFont val="Verdana"/>
        <family val="2"/>
      </rPr>
      <t>0,LT</t>
    </r>
  </si>
  <si>
    <t>GS ID of the project activity</t>
    <phoneticPr fontId="6" type="noConversion"/>
  </si>
  <si>
    <t>SDG7</t>
  </si>
  <si>
    <t>Time</t>
  </si>
  <si>
    <t>Total</t>
  </si>
  <si>
    <t>Average</t>
  </si>
  <si>
    <t>SDG8</t>
  </si>
  <si>
    <t>Total number of jobs</t>
  </si>
  <si>
    <t>SDG13</t>
  </si>
  <si>
    <t>Time Interval</t>
  </si>
  <si>
    <t>01/01/2022-31/12/2022</t>
    <phoneticPr fontId="16" type="noConversion"/>
  </si>
  <si>
    <t>01/01/2023-31/12/2023</t>
    <phoneticPr fontId="16" type="noConversion"/>
  </si>
  <si>
    <t>01/01/2024-31/12/2024</t>
    <phoneticPr fontId="16" type="noConversion"/>
  </si>
  <si>
    <t>01/01/2025-31/12/2025</t>
    <phoneticPr fontId="16" type="noConversion"/>
  </si>
  <si>
    <r>
      <t>tCO</t>
    </r>
    <r>
      <rPr>
        <vertAlign val="subscript"/>
        <sz val="9"/>
        <color indexed="63"/>
        <rFont val="Verdana"/>
        <family val="2"/>
      </rPr>
      <t>2</t>
    </r>
    <r>
      <rPr>
        <sz val="9"/>
        <color indexed="63"/>
        <rFont val="Verdana"/>
        <family val="2"/>
      </rPr>
      <t>/tCH</t>
    </r>
    <r>
      <rPr>
        <vertAlign val="subscript"/>
        <sz val="9"/>
        <color indexed="63"/>
        <rFont val="Verdana"/>
        <family val="2"/>
      </rPr>
      <t>4</t>
    </r>
  </si>
  <si>
    <t>Amount of GHGs emission avoided or sequestered (tCO2eq)</t>
    <phoneticPr fontId="54" type="noConversion"/>
  </si>
  <si>
    <r>
      <t>BE</t>
    </r>
    <r>
      <rPr>
        <i/>
        <vertAlign val="subscript"/>
        <sz val="9"/>
        <rFont val="Verdana"/>
        <family val="2"/>
      </rPr>
      <t>CH4,y</t>
    </r>
    <r>
      <rPr>
        <b/>
        <sz val="9"/>
        <rFont val="Verdana"/>
        <family val="2"/>
      </rPr>
      <t xml:space="preserve"> = GWP</t>
    </r>
    <r>
      <rPr>
        <i/>
        <vertAlign val="subscript"/>
        <sz val="9"/>
        <rFont val="Verdana"/>
        <family val="2"/>
      </rPr>
      <t>CH4,y</t>
    </r>
    <r>
      <rPr>
        <b/>
        <sz val="9"/>
        <rFont val="Verdana"/>
        <family val="2"/>
      </rPr>
      <t xml:space="preserve"> * D</t>
    </r>
    <r>
      <rPr>
        <i/>
        <vertAlign val="subscript"/>
        <sz val="9"/>
        <rFont val="Verdana"/>
        <family val="2"/>
      </rPr>
      <t>CH4</t>
    </r>
    <r>
      <rPr>
        <b/>
        <vertAlign val="subscript"/>
        <sz val="9"/>
        <rFont val="Verdana"/>
        <family val="2"/>
      </rPr>
      <t xml:space="preserve"> </t>
    </r>
    <r>
      <rPr>
        <b/>
        <sz val="9"/>
        <rFont val="Verdana"/>
        <family val="2"/>
      </rPr>
      <t>* MCF</t>
    </r>
    <r>
      <rPr>
        <i/>
        <vertAlign val="subscript"/>
        <sz val="9"/>
        <rFont val="Verdana"/>
        <family val="2"/>
      </rPr>
      <t>j</t>
    </r>
    <r>
      <rPr>
        <b/>
        <vertAlign val="subscript"/>
        <sz val="9"/>
        <rFont val="Verdana"/>
        <family val="2"/>
      </rPr>
      <t xml:space="preserve"> </t>
    </r>
    <r>
      <rPr>
        <b/>
        <sz val="9"/>
        <rFont val="Verdana"/>
        <family val="2"/>
      </rPr>
      <t>* B</t>
    </r>
    <r>
      <rPr>
        <vertAlign val="subscript"/>
        <sz val="9"/>
        <rFont val="Verdana"/>
        <family val="2"/>
      </rPr>
      <t>o,LT</t>
    </r>
    <r>
      <rPr>
        <b/>
        <sz val="9"/>
        <rFont val="Verdana"/>
        <family val="2"/>
      </rPr>
      <t xml:space="preserve"> * N</t>
    </r>
    <r>
      <rPr>
        <b/>
        <vertAlign val="subscript"/>
        <sz val="9"/>
        <rFont val="Verdana"/>
        <family val="2"/>
      </rPr>
      <t>LT</t>
    </r>
    <r>
      <rPr>
        <b/>
        <sz val="9"/>
        <rFont val="Verdana"/>
        <family val="2"/>
      </rPr>
      <t xml:space="preserve"> * VS</t>
    </r>
    <r>
      <rPr>
        <i/>
        <vertAlign val="subscript"/>
        <sz val="9"/>
        <rFont val="Verdana"/>
        <family val="2"/>
      </rPr>
      <t>LT,y</t>
    </r>
    <r>
      <rPr>
        <b/>
        <sz val="9"/>
        <rFont val="Verdana"/>
        <family val="2"/>
      </rPr>
      <t xml:space="preserve"> * MS%</t>
    </r>
    <r>
      <rPr>
        <i/>
        <vertAlign val="subscript"/>
        <sz val="9"/>
        <rFont val="Verdana"/>
        <family val="2"/>
      </rPr>
      <t>Bl,j</t>
    </r>
    <phoneticPr fontId="5" type="noConversion"/>
  </si>
  <si>
    <r>
      <t>BE</t>
    </r>
    <r>
      <rPr>
        <i/>
        <vertAlign val="subscript"/>
        <sz val="9"/>
        <rFont val="Verdana"/>
        <family val="2"/>
      </rPr>
      <t>N2O,y</t>
    </r>
    <r>
      <rPr>
        <i/>
        <sz val="9"/>
        <rFont val="Verdana"/>
        <family val="2"/>
      </rPr>
      <t xml:space="preserve"> </t>
    </r>
    <r>
      <rPr>
        <b/>
        <sz val="9"/>
        <rFont val="Verdana"/>
        <family val="2"/>
      </rPr>
      <t>= GWP</t>
    </r>
    <r>
      <rPr>
        <b/>
        <vertAlign val="subscript"/>
        <sz val="9"/>
        <rFont val="Verdana"/>
        <family val="2"/>
      </rPr>
      <t>N2O</t>
    </r>
    <r>
      <rPr>
        <b/>
        <sz val="9"/>
        <rFont val="Verdana"/>
        <family val="2"/>
      </rPr>
      <t>*CF</t>
    </r>
    <r>
      <rPr>
        <b/>
        <vertAlign val="subscript"/>
        <sz val="9"/>
        <rFont val="Verdana"/>
        <family val="2"/>
      </rPr>
      <t>N2O-N,N</t>
    </r>
    <r>
      <rPr>
        <b/>
        <sz val="9"/>
        <rFont val="Verdana"/>
        <family val="2"/>
      </rPr>
      <t>* 1/1000*(E</t>
    </r>
    <r>
      <rPr>
        <b/>
        <vertAlign val="subscript"/>
        <sz val="9"/>
        <rFont val="Verdana"/>
        <family val="2"/>
      </rPr>
      <t>N2O,D,y</t>
    </r>
    <r>
      <rPr>
        <b/>
        <sz val="9"/>
        <rFont val="Verdana"/>
        <family val="2"/>
      </rPr>
      <t xml:space="preserve"> + E</t>
    </r>
    <r>
      <rPr>
        <b/>
        <vertAlign val="subscript"/>
        <sz val="9"/>
        <rFont val="Verdana"/>
        <family val="2"/>
      </rPr>
      <t>N2O,ID,y</t>
    </r>
    <r>
      <rPr>
        <b/>
        <sz val="9"/>
        <rFont val="Verdana"/>
        <family val="2"/>
      </rPr>
      <t>)</t>
    </r>
    <phoneticPr fontId="5" type="noConversion"/>
  </si>
  <si>
    <r>
      <t>E</t>
    </r>
    <r>
      <rPr>
        <b/>
        <i/>
        <vertAlign val="subscript"/>
        <sz val="9"/>
        <rFont val="Verdana"/>
        <family val="2"/>
      </rPr>
      <t>N2O,D,y</t>
    </r>
    <r>
      <rPr>
        <b/>
        <i/>
        <sz val="9"/>
        <rFont val="Verdana"/>
        <family val="2"/>
      </rPr>
      <t xml:space="preserve"> = EF</t>
    </r>
    <r>
      <rPr>
        <b/>
        <i/>
        <vertAlign val="subscript"/>
        <sz val="9"/>
        <rFont val="Verdana"/>
        <family val="2"/>
      </rPr>
      <t>N2O,D,j</t>
    </r>
    <r>
      <rPr>
        <b/>
        <i/>
        <sz val="9"/>
        <rFont val="Verdana"/>
        <family val="2"/>
      </rPr>
      <t xml:space="preserve"> * NEX</t>
    </r>
    <r>
      <rPr>
        <b/>
        <i/>
        <vertAlign val="subscript"/>
        <sz val="9"/>
        <rFont val="Verdana"/>
        <family val="2"/>
      </rPr>
      <t>LT,y</t>
    </r>
    <r>
      <rPr>
        <b/>
        <i/>
        <sz val="9"/>
        <rFont val="Verdana"/>
        <family val="2"/>
      </rPr>
      <t xml:space="preserve"> * N</t>
    </r>
    <r>
      <rPr>
        <b/>
        <i/>
        <vertAlign val="subscript"/>
        <sz val="9"/>
        <rFont val="Verdana"/>
        <family val="2"/>
      </rPr>
      <t>LT</t>
    </r>
    <r>
      <rPr>
        <b/>
        <i/>
        <sz val="9"/>
        <rFont val="Verdana"/>
        <family val="2"/>
      </rPr>
      <t xml:space="preserve"> * MS%</t>
    </r>
    <r>
      <rPr>
        <b/>
        <i/>
        <vertAlign val="subscript"/>
        <sz val="9"/>
        <rFont val="Verdana"/>
        <family val="2"/>
      </rPr>
      <t>BL,j</t>
    </r>
    <phoneticPr fontId="5" type="noConversion"/>
  </si>
  <si>
    <r>
      <t>NEX</t>
    </r>
    <r>
      <rPr>
        <b/>
        <i/>
        <vertAlign val="subscript"/>
        <sz val="9"/>
        <rFont val="Verdana"/>
        <family val="2"/>
      </rPr>
      <t>IPCC default</t>
    </r>
    <r>
      <rPr>
        <b/>
        <i/>
        <sz val="9"/>
        <rFont val="Verdana"/>
        <family val="2"/>
      </rPr>
      <t>=N</t>
    </r>
    <r>
      <rPr>
        <b/>
        <i/>
        <vertAlign val="subscript"/>
        <sz val="9"/>
        <rFont val="Verdana"/>
        <family val="2"/>
      </rPr>
      <t>rate(T)</t>
    </r>
    <r>
      <rPr>
        <b/>
        <i/>
        <sz val="9"/>
        <rFont val="Verdana"/>
        <family val="2"/>
      </rPr>
      <t>*TAM/1000*365</t>
    </r>
    <phoneticPr fontId="5" type="noConversion"/>
  </si>
  <si>
    <r>
      <t>E</t>
    </r>
    <r>
      <rPr>
        <b/>
        <i/>
        <vertAlign val="subscript"/>
        <sz val="9"/>
        <rFont val="Verdana"/>
        <family val="2"/>
      </rPr>
      <t>N2O,ID,</t>
    </r>
    <r>
      <rPr>
        <b/>
        <i/>
        <sz val="9"/>
        <rFont val="Verdana"/>
        <family val="2"/>
      </rPr>
      <t>y = EF</t>
    </r>
    <r>
      <rPr>
        <b/>
        <i/>
        <vertAlign val="subscript"/>
        <sz val="9"/>
        <rFont val="Verdana"/>
        <family val="2"/>
      </rPr>
      <t>N2O,ID,j</t>
    </r>
    <r>
      <rPr>
        <b/>
        <i/>
        <sz val="9"/>
        <rFont val="Verdana"/>
        <family val="2"/>
      </rPr>
      <t>* F</t>
    </r>
    <r>
      <rPr>
        <b/>
        <i/>
        <vertAlign val="subscript"/>
        <sz val="9"/>
        <rFont val="Verdana"/>
        <family val="2"/>
      </rPr>
      <t>gasm</t>
    </r>
    <r>
      <rPr>
        <b/>
        <i/>
        <sz val="9"/>
        <rFont val="Verdana"/>
        <family val="2"/>
      </rPr>
      <t xml:space="preserve"> * NEX</t>
    </r>
    <r>
      <rPr>
        <b/>
        <i/>
        <vertAlign val="subscript"/>
        <sz val="9"/>
        <rFont val="Verdana"/>
        <family val="2"/>
      </rPr>
      <t>LT,y</t>
    </r>
    <r>
      <rPr>
        <b/>
        <i/>
        <sz val="9"/>
        <rFont val="Verdana"/>
        <family val="2"/>
      </rPr>
      <t xml:space="preserve"> * N</t>
    </r>
    <r>
      <rPr>
        <b/>
        <i/>
        <vertAlign val="subscript"/>
        <sz val="9"/>
        <rFont val="Verdana"/>
        <family val="2"/>
      </rPr>
      <t>LT</t>
    </r>
    <r>
      <rPr>
        <b/>
        <i/>
        <sz val="9"/>
        <rFont val="Verdana"/>
        <family val="2"/>
      </rPr>
      <t xml:space="preserve"> * MS%</t>
    </r>
    <r>
      <rPr>
        <b/>
        <i/>
        <vertAlign val="subscript"/>
        <sz val="9"/>
        <rFont val="Verdana"/>
        <family val="2"/>
      </rPr>
      <t>BL,j</t>
    </r>
    <phoneticPr fontId="5" type="noConversion"/>
  </si>
  <si>
    <r>
      <t>iii) CO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 xml:space="preserve"> emission from electricity and heat </t>
    </r>
    <phoneticPr fontId="5" type="noConversion"/>
  </si>
  <si>
    <t>Published by DNA for SCPG</t>
    <phoneticPr fontId="5" type="noConversion"/>
  </si>
  <si>
    <t>01/01/2026-31/12/2026</t>
    <phoneticPr fontId="16" type="noConversion"/>
  </si>
  <si>
    <t>Tieqilishi AWMS GHG Mitigation Project in Sichuan  Province</t>
    <phoneticPr fontId="16" type="noConversion"/>
  </si>
  <si>
    <t>01/01/2022 - 31/12/2026 (both days included)</t>
    <phoneticPr fontId="6" type="noConversion"/>
  </si>
  <si>
    <t>10 full time jobs created,including 5 females and 5 males</t>
    <phoneticPr fontId="54" type="noConversion"/>
  </si>
  <si>
    <t>tCO2e</t>
    <phoneticPr fontId="0" type="noConversion"/>
  </si>
  <si>
    <t>15/02/2023</t>
    <phoneticPr fontId="6" type="noConversion"/>
  </si>
  <si>
    <t>GS 11712</t>
    <phoneticPr fontId="16" type="noConversion"/>
  </si>
  <si>
    <t>Total electricity produced (MWh)</t>
    <phoneticPr fontId="54" type="noConversion"/>
  </si>
  <si>
    <t>Methane Conversion Factor for the baseline AWMSj / T=16-18 degrees celcius</t>
    <phoneticPr fontId="5" type="noConversion"/>
  </si>
  <si>
    <r>
      <t>PE</t>
    </r>
    <r>
      <rPr>
        <b/>
        <vertAlign val="subscript"/>
        <sz val="8"/>
        <rFont val="Verdana"/>
        <family val="2"/>
      </rPr>
      <t>flare,y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</si>
</sst>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-* #,##0.00\ [$€]_-;\-* #,##0.00\ [$€]_-;_-* &quot;-&quot;??\ [$€]_-;_-@_-"/>
    <numFmt numFmtId="178" formatCode="_(* #,##0_);_(* \(#,##0\);_(* &quot;-&quot;??_);_(@_)"/>
    <numFmt numFmtId="179" formatCode="0.0%"/>
    <numFmt numFmtId="180" formatCode="_ * #,##0_ ;_ * \-#,##0_ ;_ * &quot;-&quot;??_ ;_ @_ "/>
    <numFmt numFmtId="181" formatCode="0_ "/>
    <numFmt numFmtId="182" formatCode="0.00_);[Red]\(0.00\)"/>
    <numFmt numFmtId="183" formatCode="#,##0.000"/>
    <numFmt numFmtId="184" formatCode="0.0_ "/>
    <numFmt numFmtId="185" formatCode="#,##0.0"/>
    <numFmt numFmtId="186" formatCode="#,##0_);\(#,##0\)"/>
    <numFmt numFmtId="187" formatCode="#,##0.00_);\(#,##0.00\)"/>
    <numFmt numFmtId="188" formatCode="#,##0.0000_ "/>
  </numFmts>
  <fonts count="61" x14ac:knownFonts="1">
    <font>
      <sz val="10"/>
      <name val="Arial"/>
      <family val="2"/>
    </font>
    <font>
      <sz val="12"/>
      <name val="宋体"/>
      <family val="3"/>
      <charset val="134"/>
    </font>
    <font>
      <u/>
      <sz val="10"/>
      <color indexed="12"/>
      <name val="Arial"/>
      <family val="2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Verdana"/>
      <family val="2"/>
    </font>
    <font>
      <sz val="9"/>
      <color indexed="8"/>
      <name val="Verdana"/>
      <family val="2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Franklin Gothic Book"/>
      <family val="2"/>
    </font>
    <font>
      <b/>
      <vertAlign val="subscript"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sz val="9"/>
      <name val="Franklin Gothic Book"/>
      <family val="2"/>
    </font>
    <font>
      <b/>
      <sz val="9"/>
      <name val="Franklin Gothic Book"/>
      <family val="2"/>
    </font>
    <font>
      <sz val="9"/>
      <name val="宋体"/>
      <family val="3"/>
      <charset val="134"/>
    </font>
    <font>
      <b/>
      <sz val="9"/>
      <color indexed="8"/>
      <name val="Verdana"/>
      <family val="2"/>
    </font>
    <font>
      <i/>
      <vertAlign val="subscript"/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vertAlign val="superscript"/>
      <sz val="9"/>
      <color indexed="8"/>
      <name val="Verdana"/>
      <family val="2"/>
    </font>
    <font>
      <b/>
      <sz val="9"/>
      <name val="Verdana"/>
      <family val="2"/>
    </font>
    <font>
      <b/>
      <vertAlign val="subscript"/>
      <sz val="9"/>
      <color indexed="8"/>
      <name val="Verdana"/>
      <family val="2"/>
    </font>
    <font>
      <sz val="9"/>
      <color indexed="46"/>
      <name val="Verdana"/>
      <family val="2"/>
    </font>
    <font>
      <i/>
      <sz val="9"/>
      <name val="Verdana"/>
      <family val="2"/>
    </font>
    <font>
      <b/>
      <vertAlign val="subscript"/>
      <sz val="9"/>
      <name val="Verdana"/>
      <family val="2"/>
    </font>
    <font>
      <sz val="9"/>
      <color indexed="10"/>
      <name val="Verdana"/>
      <family val="2"/>
    </font>
    <font>
      <u/>
      <sz val="9"/>
      <color indexed="10"/>
      <name val="Verdana"/>
      <family val="2"/>
    </font>
    <font>
      <b/>
      <i/>
      <sz val="9"/>
      <name val="Verdana"/>
      <family val="2"/>
    </font>
    <font>
      <b/>
      <i/>
      <vertAlign val="subscript"/>
      <sz val="9"/>
      <name val="Verdana"/>
      <family val="2"/>
    </font>
    <font>
      <i/>
      <vertAlign val="subscript"/>
      <sz val="9"/>
      <name val="Verdana"/>
      <family val="2"/>
    </font>
    <font>
      <vertAlign val="subscript"/>
      <sz val="9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indexed="46"/>
      <name val="Verdana"/>
      <family val="2"/>
    </font>
    <font>
      <b/>
      <sz val="8"/>
      <color indexed="9"/>
      <name val="Verdana"/>
      <family val="2"/>
    </font>
    <font>
      <vertAlign val="subscript"/>
      <sz val="8"/>
      <name val="Verdana"/>
      <family val="2"/>
    </font>
    <font>
      <b/>
      <vertAlign val="subscript"/>
      <sz val="8"/>
      <name val="Verdana"/>
      <family val="2"/>
    </font>
    <font>
      <sz val="8"/>
      <color indexed="8"/>
      <name val="Verdana"/>
      <family val="2"/>
    </font>
    <font>
      <i/>
      <vertAlign val="subscript"/>
      <sz val="8"/>
      <color indexed="8"/>
      <name val="Verdana"/>
      <family val="2"/>
    </font>
    <font>
      <b/>
      <sz val="8"/>
      <color indexed="8"/>
      <name val="Verdana"/>
      <family val="2"/>
    </font>
    <font>
      <vertAlign val="subscript"/>
      <sz val="8"/>
      <color indexed="8"/>
      <name val="Verdana"/>
      <family val="2"/>
    </font>
    <font>
      <b/>
      <vertAlign val="subscript"/>
      <sz val="8"/>
      <color indexed="9"/>
      <name val="Verdana"/>
      <family val="2"/>
    </font>
    <font>
      <sz val="8"/>
      <color indexed="9"/>
      <name val="Verdana"/>
      <family val="2"/>
    </font>
    <font>
      <sz val="8"/>
      <color indexed="10"/>
      <name val="Verdana"/>
      <family val="2"/>
    </font>
    <font>
      <sz val="10"/>
      <name val="Verdana"/>
      <family val="2"/>
    </font>
    <font>
      <i/>
      <sz val="8"/>
      <color indexed="9"/>
      <name val="Verdana"/>
      <family val="2"/>
    </font>
    <font>
      <b/>
      <sz val="9"/>
      <color indexed="12"/>
      <name val="Verdana"/>
      <family val="2"/>
    </font>
    <font>
      <vertAlign val="superscript"/>
      <sz val="9"/>
      <name val="Verdana"/>
      <family val="2"/>
    </font>
    <font>
      <b/>
      <sz val="9"/>
      <color indexed="46"/>
      <name val="Verdana"/>
      <family val="2"/>
    </font>
    <font>
      <b/>
      <sz val="9"/>
      <color indexed="9"/>
      <name val="Verdana"/>
      <family val="2"/>
    </font>
    <font>
      <i/>
      <sz val="9"/>
      <color indexed="9"/>
      <name val="Verdana"/>
      <family val="2"/>
    </font>
    <font>
      <sz val="9"/>
      <color indexed="9"/>
      <name val="Verdana"/>
      <family val="2"/>
    </font>
    <font>
      <i/>
      <vertAlign val="subscript"/>
      <sz val="9"/>
      <color indexed="9"/>
      <name val="Verdana"/>
      <family val="2"/>
    </font>
    <font>
      <sz val="9"/>
      <name val="宋体"/>
      <family val="3"/>
      <charset val="134"/>
    </font>
    <font>
      <sz val="9"/>
      <color indexed="63"/>
      <name val="Verdana"/>
      <family val="2"/>
    </font>
    <font>
      <vertAlign val="subscript"/>
      <sz val="9"/>
      <color indexed="63"/>
      <name val="Verdana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Verdana"/>
      <family val="2"/>
    </font>
    <font>
      <sz val="9"/>
      <color rgb="FF4D4D4C"/>
      <name val="Verdana"/>
      <family val="2"/>
    </font>
    <font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177" fontId="4" fillId="0" borderId="0" applyFont="0" applyFill="0" applyBorder="0" applyAlignment="0" applyProtection="0"/>
    <xf numFmtId="0" fontId="57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176" fontId="4" fillId="0" borderId="0" applyFont="0" applyFill="0" applyBorder="0" applyAlignment="0" applyProtection="0"/>
  </cellStyleXfs>
  <cellXfs count="336">
    <xf numFmtId="0" fontId="0" fillId="0" borderId="0" xfId="0"/>
    <xf numFmtId="0" fontId="7" fillId="0" borderId="0" xfId="0" applyFont="1"/>
    <xf numFmtId="3" fontId="7" fillId="0" borderId="0" xfId="0" applyNumberFormat="1" applyFont="1"/>
    <xf numFmtId="14" fontId="7" fillId="0" borderId="0" xfId="0" applyNumberFormat="1" applyFont="1"/>
    <xf numFmtId="176" fontId="7" fillId="0" borderId="0" xfId="11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7" fillId="4" borderId="3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0" fontId="7" fillId="0" borderId="3" xfId="7" applyNumberFormat="1" applyFont="1" applyFill="1" applyBorder="1" applyAlignment="1">
      <alignment horizontal="center" vertical="center"/>
    </xf>
    <xf numFmtId="3" fontId="7" fillId="0" borderId="3" xfId="11" applyNumberFormat="1" applyFont="1" applyFill="1" applyBorder="1" applyAlignment="1">
      <alignment horizontal="center" vertical="center"/>
    </xf>
    <xf numFmtId="4" fontId="7" fillId="0" borderId="3" xfId="11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78" fontId="21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3" fontId="21" fillId="2" borderId="8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1" fillId="0" borderId="0" xfId="0" applyFont="1"/>
    <xf numFmtId="0" fontId="23" fillId="0" borderId="0" xfId="0" applyFont="1"/>
    <xf numFmtId="0" fontId="21" fillId="3" borderId="0" xfId="0" applyFont="1" applyFill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6" fillId="0" borderId="0" xfId="0" applyFont="1"/>
    <xf numFmtId="0" fontId="27" fillId="0" borderId="0" xfId="10" applyFont="1" applyAlignment="1" applyProtection="1"/>
    <xf numFmtId="184" fontId="7" fillId="0" borderId="0" xfId="0" applyNumberFormat="1" applyFont="1"/>
    <xf numFmtId="0" fontId="7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8" fillId="0" borderId="0" xfId="0" applyFont="1"/>
    <xf numFmtId="0" fontId="7" fillId="0" borderId="0" xfId="0" applyFont="1" applyAlignment="1">
      <alignment horizontal="right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4" fillId="0" borderId="5" xfId="0" applyFont="1" applyBorder="1" applyAlignment="1">
      <alignment horizontal="center"/>
    </xf>
    <xf numFmtId="1" fontId="7" fillId="0" borderId="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24" fillId="5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5" borderId="5" xfId="0" applyFont="1" applyFill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58" fillId="5" borderId="8" xfId="0" applyFont="1" applyFill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24" fillId="0" borderId="5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7" fillId="0" borderId="3" xfId="11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2" fontId="7" fillId="0" borderId="3" xfId="11" applyNumberFormat="1" applyFont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78" fontId="21" fillId="0" borderId="0" xfId="0" applyNumberFormat="1" applyFont="1"/>
    <xf numFmtId="3" fontId="21" fillId="2" borderId="0" xfId="0" applyNumberFormat="1" applyFont="1" applyFill="1" applyAlignment="1">
      <alignment horizontal="left" vertical="center" wrapText="1"/>
    </xf>
    <xf numFmtId="0" fontId="7" fillId="3" borderId="0" xfId="0" applyFont="1" applyFill="1"/>
    <xf numFmtId="0" fontId="7" fillId="0" borderId="0" xfId="9" applyFont="1">
      <alignment vertical="center"/>
    </xf>
    <xf numFmtId="178" fontId="7" fillId="0" borderId="0" xfId="9" applyNumberFormat="1" applyFont="1">
      <alignment vertical="center"/>
    </xf>
    <xf numFmtId="181" fontId="7" fillId="0" borderId="0" xfId="9" applyNumberFormat="1" applyFont="1" applyAlignment="1">
      <alignment horizontal="center" vertical="center"/>
    </xf>
    <xf numFmtId="0" fontId="21" fillId="2" borderId="0" xfId="0" applyFont="1" applyFill="1"/>
    <xf numFmtId="0" fontId="7" fillId="2" borderId="0" xfId="0" applyFont="1" applyFill="1"/>
    <xf numFmtId="0" fontId="21" fillId="6" borderId="0" xfId="11" applyNumberFormat="1" applyFont="1" applyFill="1" applyBorder="1"/>
    <xf numFmtId="0" fontId="7" fillId="2" borderId="0" xfId="11" applyNumberFormat="1" applyFont="1" applyFill="1" applyBorder="1"/>
    <xf numFmtId="3" fontId="21" fillId="6" borderId="0" xfId="0" applyNumberFormat="1" applyFont="1" applyFill="1" applyAlignment="1">
      <alignment horizontal="left"/>
    </xf>
    <xf numFmtId="176" fontId="7" fillId="0" borderId="0" xfId="0" applyNumberFormat="1" applyFont="1"/>
    <xf numFmtId="178" fontId="7" fillId="0" borderId="0" xfId="0" applyNumberFormat="1" applyFont="1"/>
    <xf numFmtId="178" fontId="7" fillId="0" borderId="0" xfId="0" applyNumberFormat="1" applyFont="1" applyAlignment="1">
      <alignment horizont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3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 vertical="center"/>
    </xf>
    <xf numFmtId="0" fontId="32" fillId="0" borderId="0" xfId="4" applyFont="1">
      <alignment vertical="center"/>
    </xf>
    <xf numFmtId="0" fontId="33" fillId="0" borderId="0" xfId="4" applyFont="1" applyAlignment="1">
      <alignment horizontal="center" vertical="center"/>
    </xf>
    <xf numFmtId="0" fontId="34" fillId="0" borderId="0" xfId="9" applyFont="1" applyAlignment="1">
      <alignment horizontal="left" vertical="center"/>
    </xf>
    <xf numFmtId="0" fontId="33" fillId="0" borderId="0" xfId="9" applyFont="1">
      <alignment vertical="center"/>
    </xf>
    <xf numFmtId="0" fontId="32" fillId="0" borderId="4" xfId="4" applyFont="1" applyBorder="1">
      <alignment vertical="center"/>
    </xf>
    <xf numFmtId="0" fontId="32" fillId="0" borderId="1" xfId="0" applyFont="1" applyBorder="1" applyAlignment="1">
      <alignment horizontal="center" vertical="center"/>
    </xf>
    <xf numFmtId="0" fontId="33" fillId="0" borderId="5" xfId="4" applyFont="1" applyBorder="1">
      <alignment vertical="center"/>
    </xf>
    <xf numFmtId="1" fontId="33" fillId="0" borderId="3" xfId="0" applyNumberFormat="1" applyFont="1" applyBorder="1" applyAlignment="1">
      <alignment horizontal="center" vertical="center"/>
    </xf>
    <xf numFmtId="0" fontId="33" fillId="0" borderId="3" xfId="9" applyFont="1" applyBorder="1" applyAlignment="1">
      <alignment horizontal="center" vertical="center"/>
    </xf>
    <xf numFmtId="0" fontId="33" fillId="0" borderId="3" xfId="4" applyFont="1" applyBorder="1" applyAlignment="1">
      <alignment horizontal="center" vertical="center"/>
    </xf>
    <xf numFmtId="9" fontId="33" fillId="0" borderId="3" xfId="4" applyNumberFormat="1" applyFont="1" applyBorder="1" applyAlignment="1">
      <alignment horizontal="center" vertical="center"/>
    </xf>
    <xf numFmtId="0" fontId="32" fillId="0" borderId="5" xfId="4" applyFont="1" applyBorder="1">
      <alignment vertical="center"/>
    </xf>
    <xf numFmtId="186" fontId="32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0" borderId="7" xfId="4" applyFont="1" applyBorder="1">
      <alignment vertical="center"/>
    </xf>
    <xf numFmtId="186" fontId="32" fillId="0" borderId="8" xfId="0" applyNumberFormat="1" applyFont="1" applyBorder="1" applyAlignment="1">
      <alignment horizontal="center" vertical="center"/>
    </xf>
    <xf numFmtId="0" fontId="33" fillId="0" borderId="8" xfId="9" applyFont="1" applyBorder="1" applyAlignment="1">
      <alignment horizontal="center" vertical="center"/>
    </xf>
    <xf numFmtId="176" fontId="33" fillId="0" borderId="0" xfId="0" applyNumberFormat="1" applyFont="1" applyAlignment="1">
      <alignment vertical="center"/>
    </xf>
    <xf numFmtId="0" fontId="32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vertical="center"/>
    </xf>
    <xf numFmtId="182" fontId="33" fillId="0" borderId="3" xfId="4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3" fontId="32" fillId="0" borderId="0" xfId="9" applyNumberFormat="1" applyFont="1" applyAlignment="1">
      <alignment horizontal="center" vertical="center"/>
    </xf>
    <xf numFmtId="3" fontId="32" fillId="0" borderId="0" xfId="9" applyNumberFormat="1" applyFont="1" applyAlignment="1">
      <alignment horizontal="right" vertical="center"/>
    </xf>
    <xf numFmtId="178" fontId="32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3" fontId="32" fillId="0" borderId="1" xfId="9" applyNumberFormat="1" applyFont="1" applyBorder="1" applyAlignment="1">
      <alignment horizontal="center" vertical="center"/>
    </xf>
    <xf numFmtId="3" fontId="33" fillId="0" borderId="3" xfId="9" applyNumberFormat="1" applyFont="1" applyBorder="1" applyAlignment="1">
      <alignment horizontal="center" vertical="center"/>
    </xf>
    <xf numFmtId="0" fontId="33" fillId="0" borderId="5" xfId="0" applyFont="1" applyBorder="1" applyAlignment="1">
      <alignment vertical="center"/>
    </xf>
    <xf numFmtId="187" fontId="33" fillId="0" borderId="3" xfId="0" applyNumberFormat="1" applyFont="1" applyBorder="1" applyAlignment="1">
      <alignment horizontal="center" vertical="center"/>
    </xf>
    <xf numFmtId="9" fontId="33" fillId="0" borderId="3" xfId="7" applyFont="1" applyFill="1" applyBorder="1" applyAlignment="1">
      <alignment horizontal="center" vertical="center"/>
    </xf>
    <xf numFmtId="0" fontId="32" fillId="5" borderId="7" xfId="4" applyFont="1" applyFill="1" applyBorder="1">
      <alignment vertical="center"/>
    </xf>
    <xf numFmtId="178" fontId="32" fillId="6" borderId="8" xfId="11" applyNumberFormat="1" applyFont="1" applyFill="1" applyBorder="1" applyAlignment="1">
      <alignment horizontal="center" vertical="center"/>
    </xf>
    <xf numFmtId="0" fontId="33" fillId="5" borderId="0" xfId="4" applyFont="1" applyFill="1">
      <alignment vertical="center"/>
    </xf>
    <xf numFmtId="0" fontId="33" fillId="5" borderId="0" xfId="0" applyFont="1" applyFill="1" applyAlignment="1">
      <alignment horizontal="center" vertical="center"/>
    </xf>
    <xf numFmtId="0" fontId="33" fillId="0" borderId="0" xfId="4" applyFont="1">
      <alignment vertical="center"/>
    </xf>
    <xf numFmtId="0" fontId="34" fillId="0" borderId="0" xfId="0" applyFont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3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5" xfId="4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10" xfId="4" applyFont="1" applyBorder="1" applyAlignment="1">
      <alignment horizontal="center" vertical="center"/>
    </xf>
    <xf numFmtId="9" fontId="33" fillId="0" borderId="3" xfId="0" applyNumberFormat="1" applyFont="1" applyBorder="1" applyAlignment="1">
      <alignment horizontal="center" vertical="center"/>
    </xf>
    <xf numFmtId="179" fontId="33" fillId="0" borderId="3" xfId="0" applyNumberFormat="1" applyFont="1" applyBorder="1" applyAlignment="1">
      <alignment horizontal="center" vertical="center"/>
    </xf>
    <xf numFmtId="0" fontId="33" fillId="0" borderId="6" xfId="4" applyFont="1" applyBorder="1" applyAlignment="1">
      <alignment horizontal="left" vertical="center"/>
    </xf>
    <xf numFmtId="178" fontId="33" fillId="0" borderId="3" xfId="11" applyNumberFormat="1" applyFont="1" applyFill="1" applyBorder="1" applyAlignment="1">
      <alignment horizontal="center" vertical="center"/>
    </xf>
    <xf numFmtId="2" fontId="33" fillId="0" borderId="3" xfId="4" applyNumberFormat="1" applyFont="1" applyBorder="1" applyAlignment="1">
      <alignment horizontal="center" vertical="center"/>
    </xf>
    <xf numFmtId="186" fontId="32" fillId="0" borderId="11" xfId="0" applyNumberFormat="1" applyFont="1" applyBorder="1" applyAlignment="1">
      <alignment horizontal="center" vertical="center"/>
    </xf>
    <xf numFmtId="0" fontId="33" fillId="0" borderId="11" xfId="4" applyFont="1" applyBorder="1" applyAlignment="1">
      <alignment horizontal="center" vertical="center"/>
    </xf>
    <xf numFmtId="0" fontId="33" fillId="0" borderId="12" xfId="4" applyFont="1" applyBorder="1" applyAlignment="1">
      <alignment horizontal="left" vertical="center"/>
    </xf>
    <xf numFmtId="0" fontId="32" fillId="0" borderId="7" xfId="4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3" fillId="3" borderId="0" xfId="4" applyFont="1" applyFill="1">
      <alignment vertical="center"/>
    </xf>
    <xf numFmtId="0" fontId="35" fillId="0" borderId="0" xfId="4" applyFont="1">
      <alignment vertical="center"/>
    </xf>
    <xf numFmtId="0" fontId="43" fillId="0" borderId="0" xfId="0" applyFont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7" fillId="0" borderId="5" xfId="4" applyFont="1" applyBorder="1">
      <alignment vertical="center"/>
    </xf>
    <xf numFmtId="0" fontId="33" fillId="5" borderId="3" xfId="4" applyFont="1" applyFill="1" applyBorder="1" applyAlignment="1">
      <alignment horizontal="center" vertical="center"/>
    </xf>
    <xf numFmtId="0" fontId="33" fillId="0" borderId="6" xfId="0" applyFont="1" applyBorder="1" applyAlignment="1">
      <alignment vertical="center" wrapText="1"/>
    </xf>
    <xf numFmtId="2" fontId="33" fillId="5" borderId="3" xfId="4" applyNumberFormat="1" applyFont="1" applyFill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7" fillId="5" borderId="5" xfId="4" applyFont="1" applyFill="1" applyBorder="1">
      <alignment vertical="center"/>
    </xf>
    <xf numFmtId="3" fontId="33" fillId="0" borderId="3" xfId="11" applyNumberFormat="1" applyFont="1" applyFill="1" applyBorder="1" applyAlignment="1">
      <alignment horizontal="center" vertical="center"/>
    </xf>
    <xf numFmtId="0" fontId="21" fillId="5" borderId="5" xfId="4" applyFont="1" applyFill="1" applyBorder="1">
      <alignment vertical="center"/>
    </xf>
    <xf numFmtId="4" fontId="32" fillId="0" borderId="3" xfId="9" applyNumberFormat="1" applyFont="1" applyBorder="1" applyAlignment="1">
      <alignment horizontal="center" vertical="center"/>
    </xf>
    <xf numFmtId="183" fontId="33" fillId="0" borderId="3" xfId="9" applyNumberFormat="1" applyFont="1" applyBorder="1" applyAlignment="1">
      <alignment horizontal="center" vertical="center"/>
    </xf>
    <xf numFmtId="4" fontId="33" fillId="0" borderId="3" xfId="9" applyNumberFormat="1" applyFont="1" applyBorder="1" applyAlignment="1">
      <alignment horizontal="center" vertical="center"/>
    </xf>
    <xf numFmtId="3" fontId="32" fillId="0" borderId="3" xfId="9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33" fillId="0" borderId="9" xfId="0" applyFont="1" applyBorder="1" applyAlignment="1">
      <alignment vertical="center"/>
    </xf>
    <xf numFmtId="188" fontId="3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0" fontId="32" fillId="5" borderId="13" xfId="0" applyFont="1" applyFill="1" applyBorder="1" applyAlignment="1">
      <alignment horizontal="center" vertical="center"/>
    </xf>
    <xf numFmtId="4" fontId="33" fillId="0" borderId="3" xfId="4" applyNumberFormat="1" applyFont="1" applyBorder="1" applyAlignment="1">
      <alignment horizontal="center" vertical="center"/>
    </xf>
    <xf numFmtId="9" fontId="33" fillId="5" borderId="3" xfId="0" applyNumberFormat="1" applyFont="1" applyFill="1" applyBorder="1" applyAlignment="1">
      <alignment horizontal="center" vertical="center"/>
    </xf>
    <xf numFmtId="0" fontId="38" fillId="0" borderId="6" xfId="0" applyFont="1" applyBorder="1" applyAlignment="1">
      <alignment vertical="center"/>
    </xf>
    <xf numFmtId="0" fontId="21" fillId="0" borderId="5" xfId="4" applyFont="1" applyBorder="1">
      <alignment vertical="center"/>
    </xf>
    <xf numFmtId="3" fontId="32" fillId="0" borderId="0" xfId="0" applyNumberFormat="1" applyFont="1" applyAlignment="1">
      <alignment horizontal="center" vertical="center"/>
    </xf>
    <xf numFmtId="3" fontId="32" fillId="0" borderId="0" xfId="0" applyNumberFormat="1" applyFont="1" applyAlignment="1">
      <alignment horizontal="right" vertical="center"/>
    </xf>
    <xf numFmtId="0" fontId="32" fillId="6" borderId="0" xfId="4" applyFont="1" applyFill="1">
      <alignment vertical="center"/>
    </xf>
    <xf numFmtId="0" fontId="33" fillId="6" borderId="0" xfId="0" applyFont="1" applyFill="1" applyAlignment="1">
      <alignment horizontal="center" vertical="center"/>
    </xf>
    <xf numFmtId="4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2" fillId="6" borderId="0" xfId="0" applyFont="1" applyFill="1" applyAlignment="1">
      <alignment vertical="center"/>
    </xf>
    <xf numFmtId="178" fontId="32" fillId="6" borderId="0" xfId="11" applyNumberFormat="1" applyFont="1" applyFill="1" applyBorder="1" applyAlignment="1">
      <alignment horizontal="center" vertical="center"/>
    </xf>
    <xf numFmtId="44" fontId="33" fillId="0" borderId="0" xfId="0" applyNumberFormat="1" applyFont="1" applyAlignment="1">
      <alignment vertical="center"/>
    </xf>
    <xf numFmtId="178" fontId="33" fillId="0" borderId="0" xfId="0" applyNumberFormat="1" applyFont="1" applyAlignment="1">
      <alignment horizontal="left" vertical="center"/>
    </xf>
    <xf numFmtId="178" fontId="33" fillId="0" borderId="0" xfId="0" applyNumberFormat="1" applyFont="1" applyAlignment="1">
      <alignment horizontal="center" vertical="center"/>
    </xf>
    <xf numFmtId="178" fontId="33" fillId="0" borderId="0" xfId="0" applyNumberFormat="1" applyFont="1" applyAlignment="1">
      <alignment vertic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7" fillId="0" borderId="5" xfId="5" applyFont="1" applyBorder="1">
      <alignment vertical="center"/>
    </xf>
    <xf numFmtId="3" fontId="7" fillId="0" borderId="3" xfId="11" applyNumberFormat="1" applyFont="1" applyFill="1" applyBorder="1" applyAlignment="1">
      <alignment horizontal="right" vertical="center"/>
    </xf>
    <xf numFmtId="0" fontId="7" fillId="0" borderId="3" xfId="5" applyFont="1" applyBorder="1" applyAlignment="1">
      <alignment horizontal="right" vertical="center"/>
    </xf>
    <xf numFmtId="2" fontId="7" fillId="0" borderId="3" xfId="5" applyNumberFormat="1" applyFont="1" applyBorder="1" applyAlignment="1">
      <alignment horizontal="right" vertical="center"/>
    </xf>
    <xf numFmtId="0" fontId="7" fillId="0" borderId="6" xfId="0" applyFont="1" applyBorder="1"/>
    <xf numFmtId="0" fontId="7" fillId="5" borderId="5" xfId="5" applyFont="1" applyFill="1" applyBorder="1">
      <alignment vertical="center"/>
    </xf>
    <xf numFmtId="4" fontId="7" fillId="0" borderId="3" xfId="5" applyNumberFormat="1" applyFont="1" applyBorder="1" applyAlignment="1">
      <alignment horizontal="right" vertical="center"/>
    </xf>
    <xf numFmtId="9" fontId="7" fillId="0" borderId="3" xfId="9" applyNumberFormat="1" applyFont="1" applyBorder="1" applyAlignment="1">
      <alignment horizontal="right" vertical="center"/>
    </xf>
    <xf numFmtId="0" fontId="7" fillId="0" borderId="6" xfId="0" applyFont="1" applyBorder="1" applyAlignment="1">
      <alignment wrapText="1"/>
    </xf>
    <xf numFmtId="0" fontId="7" fillId="0" borderId="3" xfId="0" applyFont="1" applyBorder="1" applyAlignment="1">
      <alignment horizontal="right"/>
    </xf>
    <xf numFmtId="0" fontId="7" fillId="0" borderId="6" xfId="0" applyFont="1" applyBorder="1" applyAlignment="1">
      <alignment vertical="center" wrapText="1"/>
    </xf>
    <xf numFmtId="0" fontId="21" fillId="0" borderId="5" xfId="5" applyFont="1" applyBorder="1">
      <alignment vertical="center"/>
    </xf>
    <xf numFmtId="178" fontId="7" fillId="0" borderId="3" xfId="5" applyNumberFormat="1" applyFont="1" applyBorder="1" applyAlignment="1">
      <alignment horizontal="right" vertical="center"/>
    </xf>
    <xf numFmtId="0" fontId="21" fillId="5" borderId="7" xfId="5" applyFont="1" applyFill="1" applyBorder="1">
      <alignment vertical="center"/>
    </xf>
    <xf numFmtId="0" fontId="7" fillId="5" borderId="8" xfId="0" applyFont="1" applyFill="1" applyBorder="1" applyAlignment="1">
      <alignment horizontal="center"/>
    </xf>
    <xf numFmtId="0" fontId="7" fillId="0" borderId="9" xfId="0" applyFont="1" applyBorder="1"/>
    <xf numFmtId="0" fontId="7" fillId="0" borderId="0" xfId="5" applyFont="1">
      <alignment vertical="center"/>
    </xf>
    <xf numFmtId="178" fontId="47" fillId="0" borderId="0" xfId="5" applyNumberFormat="1" applyFont="1">
      <alignment vertic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4" fontId="7" fillId="0" borderId="3" xfId="5" applyNumberFormat="1" applyFont="1" applyBorder="1">
      <alignment vertical="center"/>
    </xf>
    <xf numFmtId="0" fontId="7" fillId="0" borderId="3" xfId="5" applyFont="1" applyBorder="1">
      <alignment vertical="center"/>
    </xf>
    <xf numFmtId="0" fontId="7" fillId="0" borderId="6" xfId="5" applyFont="1" applyBorder="1" applyAlignment="1">
      <alignment vertical="center" wrapText="1"/>
    </xf>
    <xf numFmtId="178" fontId="7" fillId="0" borderId="3" xfId="5" applyNumberFormat="1" applyFont="1" applyBorder="1">
      <alignment vertical="center"/>
    </xf>
    <xf numFmtId="178" fontId="7" fillId="0" borderId="3" xfId="11" applyNumberFormat="1" applyFont="1" applyFill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 wrapText="1"/>
    </xf>
    <xf numFmtId="0" fontId="7" fillId="0" borderId="5" xfId="9" applyFont="1" applyBorder="1">
      <alignment vertical="center"/>
    </xf>
    <xf numFmtId="4" fontId="7" fillId="0" borderId="3" xfId="8" applyNumberFormat="1" applyFont="1" applyBorder="1" applyAlignment="1">
      <alignment horizontal="right"/>
    </xf>
    <xf numFmtId="0" fontId="7" fillId="0" borderId="6" xfId="5" applyFont="1" applyBorder="1">
      <alignment vertical="center"/>
    </xf>
    <xf numFmtId="3" fontId="7" fillId="0" borderId="6" xfId="11" applyNumberFormat="1" applyFont="1" applyFill="1" applyBorder="1" applyAlignment="1">
      <alignment horizontal="left" vertical="center"/>
    </xf>
    <xf numFmtId="0" fontId="7" fillId="0" borderId="3" xfId="9" applyFont="1" applyBorder="1" applyAlignment="1">
      <alignment horizontal="right" vertical="center"/>
    </xf>
    <xf numFmtId="0" fontId="7" fillId="0" borderId="3" xfId="5" applyFont="1" applyBorder="1" applyAlignment="1">
      <alignment horizontal="center" vertical="center"/>
    </xf>
    <xf numFmtId="0" fontId="7" fillId="5" borderId="5" xfId="9" applyFont="1" applyFill="1" applyBorder="1">
      <alignment vertical="center"/>
    </xf>
    <xf numFmtId="9" fontId="7" fillId="0" borderId="3" xfId="5" applyNumberFormat="1" applyFont="1" applyBorder="1">
      <alignment vertical="center"/>
    </xf>
    <xf numFmtId="0" fontId="8" fillId="0" borderId="6" xfId="0" applyFont="1" applyBorder="1"/>
    <xf numFmtId="0" fontId="21" fillId="5" borderId="5" xfId="0" applyFont="1" applyFill="1" applyBorder="1"/>
    <xf numFmtId="178" fontId="21" fillId="0" borderId="3" xfId="1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/>
    </xf>
    <xf numFmtId="0" fontId="21" fillId="0" borderId="7" xfId="5" applyFont="1" applyBorder="1">
      <alignment vertical="center"/>
    </xf>
    <xf numFmtId="9" fontId="7" fillId="0" borderId="3" xfId="5" applyNumberFormat="1" applyFont="1" applyBorder="1" applyAlignment="1">
      <alignment horizontal="right" vertical="center"/>
    </xf>
    <xf numFmtId="179" fontId="7" fillId="0" borderId="0" xfId="0" applyNumberFormat="1" applyFont="1"/>
    <xf numFmtId="0" fontId="21" fillId="0" borderId="3" xfId="0" applyFont="1" applyBorder="1"/>
    <xf numFmtId="3" fontId="21" fillId="0" borderId="3" xfId="0" applyNumberFormat="1" applyFont="1" applyBorder="1"/>
    <xf numFmtId="180" fontId="7" fillId="0" borderId="0" xfId="0" applyNumberFormat="1" applyFont="1"/>
    <xf numFmtId="181" fontId="7" fillId="0" borderId="0" xfId="0" applyNumberFormat="1" applyFont="1"/>
    <xf numFmtId="3" fontId="21" fillId="0" borderId="0" xfId="0" applyNumberFormat="1" applyFont="1"/>
    <xf numFmtId="178" fontId="21" fillId="6" borderId="0" xfId="11" applyNumberFormat="1" applyFont="1" applyFill="1" applyBorder="1" applyAlignment="1">
      <alignment vertical="center"/>
    </xf>
    <xf numFmtId="0" fontId="49" fillId="0" borderId="0" xfId="0" applyFont="1" applyAlignment="1">
      <alignment horizontal="left"/>
    </xf>
    <xf numFmtId="44" fontId="7" fillId="0" borderId="0" xfId="0" applyNumberFormat="1" applyFont="1"/>
    <xf numFmtId="0" fontId="50" fillId="0" borderId="0" xfId="0" applyFont="1"/>
    <xf numFmtId="0" fontId="52" fillId="0" borderId="0" xfId="0" applyFont="1"/>
    <xf numFmtId="0" fontId="50" fillId="0" borderId="0" xfId="0" applyFont="1" applyAlignment="1">
      <alignment horizontal="center"/>
    </xf>
    <xf numFmtId="0" fontId="52" fillId="0" borderId="0" xfId="4" applyFont="1">
      <alignment vertical="center"/>
    </xf>
    <xf numFmtId="0" fontId="52" fillId="0" borderId="0" xfId="8" applyFont="1" applyAlignment="1">
      <alignment horizontal="center"/>
    </xf>
    <xf numFmtId="0" fontId="52" fillId="0" borderId="0" xfId="4" applyFont="1" applyAlignment="1">
      <alignment horizontal="center" vertical="center"/>
    </xf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178" fontId="52" fillId="0" borderId="0" xfId="11" applyNumberFormat="1" applyFont="1" applyFill="1" applyBorder="1" applyAlignment="1">
      <alignment horizontal="center" vertical="center"/>
    </xf>
    <xf numFmtId="0" fontId="52" fillId="0" borderId="0" xfId="9" applyFont="1">
      <alignment vertical="center"/>
    </xf>
    <xf numFmtId="178" fontId="52" fillId="0" borderId="0" xfId="11" applyNumberFormat="1" applyFont="1" applyFill="1" applyBorder="1" applyAlignment="1">
      <alignment horizontal="left" vertical="center"/>
    </xf>
    <xf numFmtId="0" fontId="52" fillId="0" borderId="0" xfId="9" applyFont="1" applyAlignment="1">
      <alignment horizontal="center" vertical="center"/>
    </xf>
    <xf numFmtId="9" fontId="52" fillId="0" borderId="0" xfId="9" applyNumberFormat="1" applyFont="1" applyAlignment="1">
      <alignment horizontal="center" vertical="center"/>
    </xf>
    <xf numFmtId="0" fontId="50" fillId="0" borderId="0" xfId="4" applyFont="1">
      <alignment vertical="center"/>
    </xf>
    <xf numFmtId="176" fontId="50" fillId="0" borderId="0" xfId="4" applyNumberFormat="1" applyFont="1" applyAlignment="1">
      <alignment horizontal="center" vertical="center"/>
    </xf>
    <xf numFmtId="178" fontId="50" fillId="0" borderId="0" xfId="0" applyNumberFormat="1" applyFont="1"/>
    <xf numFmtId="0" fontId="7" fillId="0" borderId="3" xfId="0" applyFont="1" applyBorder="1"/>
    <xf numFmtId="3" fontId="7" fillId="0" borderId="3" xfId="0" applyNumberFormat="1" applyFont="1" applyBorder="1" applyAlignment="1">
      <alignment horizontal="center"/>
    </xf>
    <xf numFmtId="185" fontId="7" fillId="0" borderId="3" xfId="0" applyNumberFormat="1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59" fillId="0" borderId="0" xfId="0" applyFont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 wrapText="1"/>
    </xf>
    <xf numFmtId="3" fontId="14" fillId="0" borderId="3" xfId="0" applyNumberFormat="1" applyFont="1" applyBorder="1" applyAlignment="1">
      <alignment horizontal="center" wrapText="1"/>
    </xf>
    <xf numFmtId="3" fontId="13" fillId="0" borderId="3" xfId="0" applyNumberFormat="1" applyFont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60" fillId="0" borderId="5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3" fontId="13" fillId="0" borderId="8" xfId="0" applyNumberFormat="1" applyFont="1" applyBorder="1" applyAlignment="1">
      <alignment horizontal="center" wrapText="1"/>
    </xf>
    <xf numFmtId="3" fontId="13" fillId="0" borderId="9" xfId="0" applyNumberFormat="1" applyFont="1" applyBorder="1" applyAlignment="1">
      <alignment horizontal="center" wrapText="1"/>
    </xf>
    <xf numFmtId="0" fontId="32" fillId="5" borderId="5" xfId="4" applyFont="1" applyFill="1" applyBorder="1">
      <alignment vertical="center"/>
    </xf>
    <xf numFmtId="0" fontId="7" fillId="7" borderId="11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21" fillId="0" borderId="0" xfId="0" applyFont="1" applyAlignment="1">
      <alignment wrapText="1"/>
    </xf>
    <xf numFmtId="0" fontId="7" fillId="0" borderId="0" xfId="0" applyFont="1"/>
    <xf numFmtId="3" fontId="21" fillId="2" borderId="8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3" fontId="32" fillId="2" borderId="0" xfId="0" applyNumberFormat="1" applyFont="1" applyFill="1" applyAlignment="1">
      <alignment horizontal="right" vertical="center"/>
    </xf>
    <xf numFmtId="0" fontId="32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vertical="center"/>
    </xf>
    <xf numFmtId="0" fontId="33" fillId="0" borderId="26" xfId="0" applyFont="1" applyBorder="1" applyAlignment="1">
      <alignment vertical="center"/>
    </xf>
    <xf numFmtId="0" fontId="33" fillId="0" borderId="27" xfId="0" applyFont="1" applyBorder="1" applyAlignment="1">
      <alignment vertical="center"/>
    </xf>
    <xf numFmtId="3" fontId="32" fillId="0" borderId="8" xfId="0" applyNumberFormat="1" applyFont="1" applyBorder="1" applyAlignment="1">
      <alignment horizontal="center" vertical="center"/>
    </xf>
    <xf numFmtId="3" fontId="32" fillId="6" borderId="28" xfId="9" applyNumberFormat="1" applyFont="1" applyFill="1" applyBorder="1" applyAlignment="1">
      <alignment horizontal="center" vertical="center"/>
    </xf>
    <xf numFmtId="3" fontId="45" fillId="6" borderId="30" xfId="0" applyNumberFormat="1" applyFont="1" applyFill="1" applyBorder="1" applyAlignment="1">
      <alignment horizontal="center" vertical="center"/>
    </xf>
    <xf numFmtId="3" fontId="32" fillId="2" borderId="28" xfId="0" applyNumberFormat="1" applyFont="1" applyFill="1" applyBorder="1" applyAlignment="1">
      <alignment horizontal="center" vertical="center"/>
    </xf>
    <xf numFmtId="3" fontId="32" fillId="2" borderId="30" xfId="0" applyNumberFormat="1" applyFont="1" applyFill="1" applyBorder="1" applyAlignment="1">
      <alignment horizontal="center" vertical="center"/>
    </xf>
    <xf numFmtId="0" fontId="33" fillId="0" borderId="28" xfId="0" applyFont="1" applyBorder="1" applyAlignment="1">
      <alignment vertical="center"/>
    </xf>
    <xf numFmtId="0" fontId="33" fillId="0" borderId="29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8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3" fontId="21" fillId="2" borderId="28" xfId="0" applyNumberFormat="1" applyFont="1" applyFill="1" applyBorder="1" applyAlignment="1">
      <alignment horizontal="right" vertical="center"/>
    </xf>
    <xf numFmtId="3" fontId="21" fillId="2" borderId="30" xfId="0" applyNumberFormat="1" applyFont="1" applyFill="1" applyBorder="1" applyAlignment="1">
      <alignment horizontal="right" vertical="center"/>
    </xf>
    <xf numFmtId="3" fontId="21" fillId="2" borderId="8" xfId="0" applyNumberFormat="1" applyFont="1" applyFill="1" applyBorder="1" applyAlignment="1">
      <alignment horizontal="right" vertical="center"/>
    </xf>
    <xf numFmtId="178" fontId="21" fillId="0" borderId="3" xfId="5" applyNumberFormat="1" applyFont="1" applyBorder="1" applyAlignment="1">
      <alignment horizontal="right" vertical="center"/>
    </xf>
    <xf numFmtId="178" fontId="21" fillId="0" borderId="3" xfId="5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/>
    </xf>
  </cellXfs>
  <cellStyles count="12">
    <cellStyle name="Euro" xfId="1" xr:uid="{00000000-0005-0000-0000-000000000000}"/>
    <cellStyle name="Normal 2" xfId="2" xr:uid="{00000000-0005-0000-0000-000001000000}"/>
    <cellStyle name="Normal_AMIGO AGRO (HOGS INVTY 06)" xfId="3" xr:uid="{00000000-0005-0000-0000-000002000000}"/>
    <cellStyle name="Normal_Sheet2" xfId="4" xr:uid="{00000000-0005-0000-0000-000003000000}"/>
    <cellStyle name="Normal_Sheet3" xfId="5" xr:uid="{00000000-0005-0000-0000-000004000000}"/>
    <cellStyle name="Percent 2" xfId="6" xr:uid="{00000000-0005-0000-0000-000005000000}"/>
    <cellStyle name="百分比" xfId="7" builtinId="5"/>
    <cellStyle name="常规" xfId="0" builtinId="0"/>
    <cellStyle name="常规_Sheet2" xfId="8" xr:uid="{00000000-0005-0000-0000-000008000000}"/>
    <cellStyle name="常规_范霍夫数－计算结果" xfId="9" xr:uid="{00000000-0005-0000-0000-000009000000}"/>
    <cellStyle name="超链接" xfId="10" builtinId="8"/>
    <cellStyle name="千位分隔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4.png"/><Relationship Id="rId4" Type="http://schemas.openxmlformats.org/officeDocument/2006/relationships/image" Target="../media/image8.png"/><Relationship Id="rId9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0</xdr:colOff>
      <xdr:row>3</xdr:row>
      <xdr:rowOff>15240</xdr:rowOff>
    </xdr:to>
    <xdr:pic>
      <xdr:nvPicPr>
        <xdr:cNvPr id="67776" name="Picture 3">
          <a:extLst>
            <a:ext uri="{FF2B5EF4-FFF2-40B4-BE49-F238E27FC236}">
              <a16:creationId xmlns:a16="http://schemas.microsoft.com/office/drawing/2014/main" id="{96DB6841-2A21-7619-64F7-F1096732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50"/>
          <a:ext cx="28575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1339850</xdr:colOff>
      <xdr:row>1</xdr:row>
      <xdr:rowOff>12700</xdr:rowOff>
    </xdr:from>
    <xdr:to>
      <xdr:col>5</xdr:col>
      <xdr:colOff>0</xdr:colOff>
      <xdr:row>5</xdr:row>
      <xdr:rowOff>22860</xdr:rowOff>
    </xdr:to>
    <xdr:pic>
      <xdr:nvPicPr>
        <xdr:cNvPr id="67777" name="Picture 4">
          <a:extLst>
            <a:ext uri="{FF2B5EF4-FFF2-40B4-BE49-F238E27FC236}">
              <a16:creationId xmlns:a16="http://schemas.microsoft.com/office/drawing/2014/main" id="{FFD032AC-9F81-75C8-CD0B-50730F720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58750"/>
          <a:ext cx="45085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29</xdr:row>
      <xdr:rowOff>12700</xdr:rowOff>
    </xdr:from>
    <xdr:to>
      <xdr:col>2</xdr:col>
      <xdr:colOff>22860</xdr:colOff>
      <xdr:row>32</xdr:row>
      <xdr:rowOff>15240</xdr:rowOff>
    </xdr:to>
    <xdr:pic>
      <xdr:nvPicPr>
        <xdr:cNvPr id="67778" name="Picture 5">
          <a:extLst>
            <a:ext uri="{FF2B5EF4-FFF2-40B4-BE49-F238E27FC236}">
              <a16:creationId xmlns:a16="http://schemas.microsoft.com/office/drawing/2014/main" id="{493A7A09-CB15-291C-AB19-FF9D6A4D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6019800"/>
          <a:ext cx="2724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6350</xdr:colOff>
      <xdr:row>31</xdr:row>
      <xdr:rowOff>44450</xdr:rowOff>
    </xdr:from>
    <xdr:to>
      <xdr:col>4</xdr:col>
      <xdr:colOff>0</xdr:colOff>
      <xdr:row>33</xdr:row>
      <xdr:rowOff>53340</xdr:rowOff>
    </xdr:to>
    <xdr:pic>
      <xdr:nvPicPr>
        <xdr:cNvPr id="67779" name="Picture 6">
          <a:extLst>
            <a:ext uri="{FF2B5EF4-FFF2-40B4-BE49-F238E27FC236}">
              <a16:creationId xmlns:a16="http://schemas.microsoft.com/office/drawing/2014/main" id="{A0C549D0-C14C-05D9-D559-EA44F34E0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6369050"/>
          <a:ext cx="2190750" cy="32385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19050</xdr:rowOff>
    </xdr:from>
    <xdr:to>
      <xdr:col>2</xdr:col>
      <xdr:colOff>241300</xdr:colOff>
      <xdr:row>45</xdr:row>
      <xdr:rowOff>0</xdr:rowOff>
    </xdr:to>
    <xdr:pic>
      <xdr:nvPicPr>
        <xdr:cNvPr id="69040" name="Picture 4">
          <a:extLst>
            <a:ext uri="{FF2B5EF4-FFF2-40B4-BE49-F238E27FC236}">
              <a16:creationId xmlns:a16="http://schemas.microsoft.com/office/drawing/2014/main" id="{551FC622-75CC-5110-ED62-0ECF5B28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1529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60</xdr:row>
      <xdr:rowOff>76200</xdr:rowOff>
    </xdr:from>
    <xdr:to>
      <xdr:col>2</xdr:col>
      <xdr:colOff>0</xdr:colOff>
      <xdr:row>64</xdr:row>
      <xdr:rowOff>6350</xdr:rowOff>
    </xdr:to>
    <xdr:pic>
      <xdr:nvPicPr>
        <xdr:cNvPr id="69041" name="Picture 5">
          <a:extLst>
            <a:ext uri="{FF2B5EF4-FFF2-40B4-BE49-F238E27FC236}">
              <a16:creationId xmlns:a16="http://schemas.microsoft.com/office/drawing/2014/main" id="{369BBEC8-DEFC-9426-5043-43C1B8BF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58300"/>
          <a:ext cx="38735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76200</xdr:rowOff>
    </xdr:from>
    <xdr:to>
      <xdr:col>2</xdr:col>
      <xdr:colOff>0</xdr:colOff>
      <xdr:row>67</xdr:row>
      <xdr:rowOff>6350</xdr:rowOff>
    </xdr:to>
    <xdr:pic>
      <xdr:nvPicPr>
        <xdr:cNvPr id="69042" name="Picture 6">
          <a:extLst>
            <a:ext uri="{FF2B5EF4-FFF2-40B4-BE49-F238E27FC236}">
              <a16:creationId xmlns:a16="http://schemas.microsoft.com/office/drawing/2014/main" id="{635ABB3C-70C2-DC18-AC9B-B17D37E1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"/>
          <a:ext cx="39116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76200</xdr:rowOff>
    </xdr:from>
    <xdr:to>
      <xdr:col>1</xdr:col>
      <xdr:colOff>196850</xdr:colOff>
      <xdr:row>84</xdr:row>
      <xdr:rowOff>31750</xdr:rowOff>
    </xdr:to>
    <xdr:pic>
      <xdr:nvPicPr>
        <xdr:cNvPr id="69043" name="Picture 7">
          <a:extLst>
            <a:ext uri="{FF2B5EF4-FFF2-40B4-BE49-F238E27FC236}">
              <a16:creationId xmlns:a16="http://schemas.microsoft.com/office/drawing/2014/main" id="{2CD3898C-A915-E1DE-F94D-7261D839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55550"/>
          <a:ext cx="265430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260350</xdr:colOff>
      <xdr:row>5</xdr:row>
      <xdr:rowOff>12700</xdr:rowOff>
    </xdr:to>
    <xdr:pic>
      <xdr:nvPicPr>
        <xdr:cNvPr id="69044" name="图片 3">
          <a:extLst>
            <a:ext uri="{FF2B5EF4-FFF2-40B4-BE49-F238E27FC236}">
              <a16:creationId xmlns:a16="http://schemas.microsoft.com/office/drawing/2014/main" id="{F0EF683B-F4EA-79E9-09BE-E857C2222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0"/>
          <a:ext cx="271780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12700</xdr:rowOff>
    </xdr:from>
    <xdr:to>
      <xdr:col>2</xdr:col>
      <xdr:colOff>355600</xdr:colOff>
      <xdr:row>10</xdr:row>
      <xdr:rowOff>19050</xdr:rowOff>
    </xdr:to>
    <xdr:pic>
      <xdr:nvPicPr>
        <xdr:cNvPr id="69045" name="图片 4">
          <a:extLst>
            <a:ext uri="{FF2B5EF4-FFF2-40B4-BE49-F238E27FC236}">
              <a16:creationId xmlns:a16="http://schemas.microsoft.com/office/drawing/2014/main" id="{74223EF3-FBDA-3EA9-C4D8-B266EF8EA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00100"/>
          <a:ext cx="42100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82550</xdr:colOff>
      <xdr:row>19</xdr:row>
      <xdr:rowOff>88900</xdr:rowOff>
    </xdr:from>
    <xdr:to>
      <xdr:col>2</xdr:col>
      <xdr:colOff>0</xdr:colOff>
      <xdr:row>22</xdr:row>
      <xdr:rowOff>0</xdr:rowOff>
    </xdr:to>
    <xdr:pic>
      <xdr:nvPicPr>
        <xdr:cNvPr id="69046" name="图片 5">
          <a:extLst>
            <a:ext uri="{FF2B5EF4-FFF2-40B4-BE49-F238E27FC236}">
              <a16:creationId xmlns:a16="http://schemas.microsoft.com/office/drawing/2014/main" id="{757A8FF4-E9B2-C974-D100-D9AF364F9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2914650"/>
          <a:ext cx="38290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411480</xdr:colOff>
      <xdr:row>6</xdr:row>
      <xdr:rowOff>38100</xdr:rowOff>
    </xdr:from>
    <xdr:to>
      <xdr:col>4</xdr:col>
      <xdr:colOff>1272540</xdr:colOff>
      <xdr:row>10</xdr:row>
      <xdr:rowOff>15240</xdr:rowOff>
    </xdr:to>
    <xdr:pic>
      <xdr:nvPicPr>
        <xdr:cNvPr id="69047" name="图片 8">
          <a:extLst>
            <a:ext uri="{FF2B5EF4-FFF2-40B4-BE49-F238E27FC236}">
              <a16:creationId xmlns:a16="http://schemas.microsoft.com/office/drawing/2014/main" id="{2A04335A-596B-BBFF-8566-571D4517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8160" y="838200"/>
          <a:ext cx="3505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82550</xdr:colOff>
      <xdr:row>29</xdr:row>
      <xdr:rowOff>114300</xdr:rowOff>
    </xdr:from>
    <xdr:to>
      <xdr:col>2</xdr:col>
      <xdr:colOff>0</xdr:colOff>
      <xdr:row>34</xdr:row>
      <xdr:rowOff>0</xdr:rowOff>
    </xdr:to>
    <xdr:pic>
      <xdr:nvPicPr>
        <xdr:cNvPr id="69048" name="图片 1">
          <a:extLst>
            <a:ext uri="{FF2B5EF4-FFF2-40B4-BE49-F238E27FC236}">
              <a16:creationId xmlns:a16="http://schemas.microsoft.com/office/drawing/2014/main" id="{A14A032B-0BF4-E3F4-CD54-66F9E14F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4597400"/>
          <a:ext cx="38290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19</xdr:row>
      <xdr:rowOff>0</xdr:rowOff>
    </xdr:from>
    <xdr:to>
      <xdr:col>4</xdr:col>
      <xdr:colOff>575068</xdr:colOff>
      <xdr:row>22</xdr:row>
      <xdr:rowOff>60960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77889F4A-6DFD-460E-B781-886C05DF2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069080" y="2857500"/>
          <a:ext cx="3066808" cy="6324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44450</xdr:colOff>
      <xdr:row>2</xdr:row>
      <xdr:rowOff>44450</xdr:rowOff>
    </xdr:to>
    <xdr:pic>
      <xdr:nvPicPr>
        <xdr:cNvPr id="69872" name="Picture 1">
          <a:extLst>
            <a:ext uri="{FF2B5EF4-FFF2-40B4-BE49-F238E27FC236}">
              <a16:creationId xmlns:a16="http://schemas.microsoft.com/office/drawing/2014/main" id="{1C28AE1E-194D-2364-AE4B-2141D74AC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50"/>
          <a:ext cx="30289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</xdr:colOff>
      <xdr:row>4</xdr:row>
      <xdr:rowOff>6350</xdr:rowOff>
    </xdr:from>
    <xdr:to>
      <xdr:col>2</xdr:col>
      <xdr:colOff>0</xdr:colOff>
      <xdr:row>17</xdr:row>
      <xdr:rowOff>6350</xdr:rowOff>
    </xdr:to>
    <xdr:pic>
      <xdr:nvPicPr>
        <xdr:cNvPr id="69873" name="Picture 2">
          <a:extLst>
            <a:ext uri="{FF2B5EF4-FFF2-40B4-BE49-F238E27FC236}">
              <a16:creationId xmlns:a16="http://schemas.microsoft.com/office/drawing/2014/main" id="{45AE569E-1A2E-1FA0-53B3-8E22D250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590550"/>
          <a:ext cx="4318000" cy="189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38100</xdr:rowOff>
    </xdr:from>
    <xdr:to>
      <xdr:col>2</xdr:col>
      <xdr:colOff>0</xdr:colOff>
      <xdr:row>53</xdr:row>
      <xdr:rowOff>6350</xdr:rowOff>
    </xdr:to>
    <xdr:pic>
      <xdr:nvPicPr>
        <xdr:cNvPr id="69874" name="Picture 4">
          <a:extLst>
            <a:ext uri="{FF2B5EF4-FFF2-40B4-BE49-F238E27FC236}">
              <a16:creationId xmlns:a16="http://schemas.microsoft.com/office/drawing/2014/main" id="{7150B3AF-524F-090E-D6C7-27DDD20AE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02350"/>
          <a:ext cx="4324350" cy="201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78</xdr:row>
      <xdr:rowOff>31750</xdr:rowOff>
    </xdr:from>
    <xdr:to>
      <xdr:col>3</xdr:col>
      <xdr:colOff>406400</xdr:colOff>
      <xdr:row>82</xdr:row>
      <xdr:rowOff>19050</xdr:rowOff>
    </xdr:to>
    <xdr:pic>
      <xdr:nvPicPr>
        <xdr:cNvPr id="69875" name="图片 1">
          <a:extLst>
            <a:ext uri="{FF2B5EF4-FFF2-40B4-BE49-F238E27FC236}">
              <a16:creationId xmlns:a16="http://schemas.microsoft.com/office/drawing/2014/main" id="{484BDCE1-7941-12FF-C2E4-613A356E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604750"/>
          <a:ext cx="5899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95</xdr:row>
      <xdr:rowOff>82550</xdr:rowOff>
    </xdr:from>
    <xdr:to>
      <xdr:col>2</xdr:col>
      <xdr:colOff>247650</xdr:colOff>
      <xdr:row>98</xdr:row>
      <xdr:rowOff>44450</xdr:rowOff>
    </xdr:to>
    <xdr:pic>
      <xdr:nvPicPr>
        <xdr:cNvPr id="69876" name="图片 2">
          <a:extLst>
            <a:ext uri="{FF2B5EF4-FFF2-40B4-BE49-F238E27FC236}">
              <a16:creationId xmlns:a16="http://schemas.microsoft.com/office/drawing/2014/main" id="{C692E5DF-AC0A-296A-3092-F5F94B8B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15417800"/>
          <a:ext cx="4540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chat\WeChat%20Files\wxid_3465844658711\FileStorage\File\2022-02\1st%20ER-Aonong%20Jiangxi-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Baseline Emission"/>
      <sheetName val="Project Emission"/>
      <sheetName val="Leakage"/>
      <sheetName val="monitoring results"/>
      <sheetName val="Reliability Check"/>
      <sheetName val="2020-4"/>
      <sheetName val="2020-5"/>
      <sheetName val="2020-6"/>
      <sheetName val="2020-7"/>
      <sheetName val="2020-8"/>
      <sheetName val="2020-9"/>
      <sheetName val="2020-10"/>
      <sheetName val="2020-11"/>
      <sheetName val="2020-12"/>
      <sheetName val="2021-1"/>
      <sheetName val="2021-2"/>
      <sheetName val="2021-3"/>
      <sheetName val="2021-4"/>
      <sheetName val="2021-5"/>
      <sheetName val="2021-6"/>
      <sheetName val="2021-7"/>
      <sheetName val="2021-8"/>
      <sheetName val="2021-9"/>
      <sheetName val="2021-10"/>
      <sheetName val="2021-11"/>
      <sheetName val="2021-12"/>
    </sheetNames>
    <sheetDataSet>
      <sheetData sheetId="0" refreshError="1"/>
      <sheetData sheetId="1" refreshError="1">
        <row r="241">
          <cell r="B241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D17"/>
  <sheetViews>
    <sheetView tabSelected="1" workbookViewId="0">
      <selection activeCell="D13" sqref="D13"/>
    </sheetView>
  </sheetViews>
  <sheetFormatPr defaultColWidth="8.7265625" defaultRowHeight="11.5" x14ac:dyDescent="0.25"/>
  <cols>
    <col min="1" max="2" width="8.7265625" style="1"/>
    <col min="3" max="3" width="42.26953125" style="1" customWidth="1"/>
    <col min="4" max="4" width="59.54296875" style="1" customWidth="1"/>
    <col min="5" max="16384" width="8.7265625" style="1"/>
  </cols>
  <sheetData>
    <row r="3" spans="3:4" x14ac:dyDescent="0.25">
      <c r="C3" s="7" t="s">
        <v>96</v>
      </c>
      <c r="D3" s="8" t="s">
        <v>277</v>
      </c>
    </row>
    <row r="4" spans="3:4" x14ac:dyDescent="0.25">
      <c r="C4" s="7" t="s">
        <v>254</v>
      </c>
      <c r="D4" s="9" t="s">
        <v>282</v>
      </c>
    </row>
    <row r="5" spans="3:4" x14ac:dyDescent="0.25">
      <c r="C5" s="7" t="s">
        <v>97</v>
      </c>
      <c r="D5" s="334">
        <v>2</v>
      </c>
    </row>
    <row r="6" spans="3:4" x14ac:dyDescent="0.25">
      <c r="C6" s="7" t="s">
        <v>98</v>
      </c>
      <c r="D6" s="334" t="s">
        <v>281</v>
      </c>
    </row>
    <row r="7" spans="3:4" ht="26.25" customHeight="1" x14ac:dyDescent="0.25">
      <c r="C7" s="7" t="s">
        <v>99</v>
      </c>
      <c r="D7" s="8" t="s">
        <v>278</v>
      </c>
    </row>
    <row r="13" spans="3:4" x14ac:dyDescent="0.25">
      <c r="D13" s="3"/>
    </row>
    <row r="14" spans="3:4" x14ac:dyDescent="0.25">
      <c r="D14" s="3"/>
    </row>
    <row r="16" spans="3:4" x14ac:dyDescent="0.25">
      <c r="D16" s="3"/>
    </row>
    <row r="17" spans="4:4" x14ac:dyDescent="0.25">
      <c r="D17" s="3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28"/>
  <sheetViews>
    <sheetView zoomScale="85" zoomScaleNormal="85" workbookViewId="0">
      <selection activeCell="E7" sqref="E7"/>
    </sheetView>
  </sheetViews>
  <sheetFormatPr defaultColWidth="8.7265625" defaultRowHeight="11.5" x14ac:dyDescent="0.25"/>
  <cols>
    <col min="1" max="3" width="8.7265625" style="1"/>
    <col min="4" max="4" width="23.54296875" style="1" customWidth="1"/>
    <col min="5" max="5" width="60.26953125" style="1" bestFit="1" customWidth="1"/>
    <col min="6" max="16384" width="8.7265625" style="1"/>
  </cols>
  <sheetData>
    <row r="3" spans="3:5" x14ac:dyDescent="0.25">
      <c r="C3" s="302" t="s">
        <v>255</v>
      </c>
      <c r="D3" s="64" t="s">
        <v>256</v>
      </c>
      <c r="E3" s="335" t="s">
        <v>283</v>
      </c>
    </row>
    <row r="4" spans="3:5" x14ac:dyDescent="0.25">
      <c r="C4" s="303"/>
      <c r="D4" s="64" t="str">
        <f>'EMISSION REDUCTIONS'!B6</f>
        <v>01/01/2022-31/12/2022</v>
      </c>
      <c r="E4" s="285">
        <v>51854</v>
      </c>
    </row>
    <row r="5" spans="3:5" x14ac:dyDescent="0.25">
      <c r="C5" s="303"/>
      <c r="D5" s="64" t="str">
        <f>'EMISSION REDUCTIONS'!B7</f>
        <v>01/01/2023-31/12/2023</v>
      </c>
      <c r="E5" s="285">
        <f>E4</f>
        <v>51854</v>
      </c>
    </row>
    <row r="6" spans="3:5" x14ac:dyDescent="0.25">
      <c r="C6" s="303"/>
      <c r="D6" s="64" t="str">
        <f>'EMISSION REDUCTIONS'!B8</f>
        <v>01/01/2024-31/12/2024</v>
      </c>
      <c r="E6" s="285">
        <f>E5</f>
        <v>51854</v>
      </c>
    </row>
    <row r="7" spans="3:5" x14ac:dyDescent="0.25">
      <c r="C7" s="303"/>
      <c r="D7" s="64" t="str">
        <f>'EMISSION REDUCTIONS'!B9</f>
        <v>01/01/2025-31/12/2025</v>
      </c>
      <c r="E7" s="285">
        <f>E6</f>
        <v>51854</v>
      </c>
    </row>
    <row r="8" spans="3:5" x14ac:dyDescent="0.25">
      <c r="C8" s="303"/>
      <c r="D8" s="64" t="str">
        <f>'EMISSION REDUCTIONS'!B10</f>
        <v>01/01/2026-31/12/2026</v>
      </c>
      <c r="E8" s="285">
        <f>E7</f>
        <v>51854</v>
      </c>
    </row>
    <row r="9" spans="3:5" x14ac:dyDescent="0.25">
      <c r="C9" s="303"/>
      <c r="D9" s="64" t="s">
        <v>257</v>
      </c>
      <c r="E9" s="284">
        <f>SUM(E4:E8)</f>
        <v>259270</v>
      </c>
    </row>
    <row r="10" spans="3:5" x14ac:dyDescent="0.25">
      <c r="C10" s="304"/>
      <c r="D10" s="64" t="s">
        <v>258</v>
      </c>
      <c r="E10" s="285">
        <f>E9/5</f>
        <v>51854</v>
      </c>
    </row>
    <row r="12" spans="3:5" x14ac:dyDescent="0.25">
      <c r="C12" s="302" t="s">
        <v>259</v>
      </c>
      <c r="D12" s="64" t="s">
        <v>256</v>
      </c>
      <c r="E12" s="64" t="s">
        <v>260</v>
      </c>
    </row>
    <row r="13" spans="3:5" x14ac:dyDescent="0.25">
      <c r="C13" s="303"/>
      <c r="D13" s="64" t="str">
        <f t="shared" ref="D13:D19" si="0">D4</f>
        <v>01/01/2022-31/12/2022</v>
      </c>
      <c r="E13" s="64" t="s">
        <v>279</v>
      </c>
    </row>
    <row r="14" spans="3:5" x14ac:dyDescent="0.25">
      <c r="C14" s="303"/>
      <c r="D14" s="64" t="str">
        <f t="shared" si="0"/>
        <v>01/01/2023-31/12/2023</v>
      </c>
      <c r="E14" s="64" t="str">
        <f t="shared" ref="E14:E19" si="1">E13</f>
        <v>10 full time jobs created,including 5 females and 5 males</v>
      </c>
    </row>
    <row r="15" spans="3:5" x14ac:dyDescent="0.25">
      <c r="C15" s="303"/>
      <c r="D15" s="64" t="str">
        <f t="shared" si="0"/>
        <v>01/01/2024-31/12/2024</v>
      </c>
      <c r="E15" s="64" t="str">
        <f t="shared" si="1"/>
        <v>10 full time jobs created,including 5 females and 5 males</v>
      </c>
    </row>
    <row r="16" spans="3:5" x14ac:dyDescent="0.25">
      <c r="C16" s="303"/>
      <c r="D16" s="64" t="str">
        <f t="shared" si="0"/>
        <v>01/01/2025-31/12/2025</v>
      </c>
      <c r="E16" s="64" t="str">
        <f t="shared" si="1"/>
        <v>10 full time jobs created,including 5 females and 5 males</v>
      </c>
    </row>
    <row r="17" spans="3:5" x14ac:dyDescent="0.25">
      <c r="C17" s="303"/>
      <c r="D17" s="64" t="str">
        <f t="shared" si="0"/>
        <v>01/01/2026-31/12/2026</v>
      </c>
      <c r="E17" s="64" t="str">
        <f t="shared" si="1"/>
        <v>10 full time jobs created,including 5 females and 5 males</v>
      </c>
    </row>
    <row r="18" spans="3:5" x14ac:dyDescent="0.25">
      <c r="C18" s="303"/>
      <c r="D18" s="64" t="str">
        <f t="shared" si="0"/>
        <v>Total</v>
      </c>
      <c r="E18" s="64" t="str">
        <f>E17</f>
        <v>10 full time jobs created,including 5 females and 5 males</v>
      </c>
    </row>
    <row r="19" spans="3:5" ht="14" customHeight="1" x14ac:dyDescent="0.25">
      <c r="C19" s="304"/>
      <c r="D19" s="64" t="str">
        <f t="shared" si="0"/>
        <v>Average</v>
      </c>
      <c r="E19" s="64" t="str">
        <f t="shared" si="1"/>
        <v>10 full time jobs created,including 5 females and 5 males</v>
      </c>
    </row>
    <row r="20" spans="3:5" ht="14" customHeight="1" x14ac:dyDescent="0.25"/>
    <row r="21" spans="3:5" x14ac:dyDescent="0.25">
      <c r="C21" s="302" t="s">
        <v>261</v>
      </c>
      <c r="D21" s="64" t="s">
        <v>262</v>
      </c>
      <c r="E21" s="64" t="s">
        <v>268</v>
      </c>
    </row>
    <row r="22" spans="3:5" x14ac:dyDescent="0.25">
      <c r="C22" s="303"/>
      <c r="D22" s="64" t="str">
        <f>D13</f>
        <v>01/01/2022-31/12/2022</v>
      </c>
      <c r="E22" s="283">
        <f>'EMISSION REDUCTIONS'!F6</f>
        <v>355531</v>
      </c>
    </row>
    <row r="23" spans="3:5" x14ac:dyDescent="0.25">
      <c r="C23" s="303"/>
      <c r="D23" s="64" t="str">
        <f>D14</f>
        <v>01/01/2023-31/12/2023</v>
      </c>
      <c r="E23" s="283">
        <f>'EMISSION REDUCTIONS'!F7</f>
        <v>355531</v>
      </c>
    </row>
    <row r="24" spans="3:5" x14ac:dyDescent="0.25">
      <c r="C24" s="303"/>
      <c r="D24" s="64" t="str">
        <f>D15</f>
        <v>01/01/2024-31/12/2024</v>
      </c>
      <c r="E24" s="283">
        <f>'EMISSION REDUCTIONS'!F8</f>
        <v>355531</v>
      </c>
    </row>
    <row r="25" spans="3:5" x14ac:dyDescent="0.25">
      <c r="C25" s="303"/>
      <c r="D25" s="64" t="str">
        <f>D16</f>
        <v>01/01/2025-31/12/2025</v>
      </c>
      <c r="E25" s="283">
        <f>'EMISSION REDUCTIONS'!F9</f>
        <v>355531</v>
      </c>
    </row>
    <row r="26" spans="3:5" x14ac:dyDescent="0.25">
      <c r="C26" s="303"/>
      <c r="D26" s="64" t="str">
        <f>D17</f>
        <v>01/01/2026-31/12/2026</v>
      </c>
      <c r="E26" s="283">
        <f>'EMISSION REDUCTIONS'!F10</f>
        <v>355531</v>
      </c>
    </row>
    <row r="27" spans="3:5" x14ac:dyDescent="0.25">
      <c r="C27" s="303"/>
      <c r="D27" s="64" t="s">
        <v>257</v>
      </c>
      <c r="E27" s="283">
        <f>SUM(E22:E26)</f>
        <v>1777655</v>
      </c>
    </row>
    <row r="28" spans="3:5" x14ac:dyDescent="0.25">
      <c r="C28" s="304"/>
      <c r="D28" s="64" t="s">
        <v>258</v>
      </c>
      <c r="E28" s="283">
        <f>E27/5</f>
        <v>355531</v>
      </c>
    </row>
  </sheetData>
  <mergeCells count="3">
    <mergeCell ref="C3:C10"/>
    <mergeCell ref="C12:C19"/>
    <mergeCell ref="C21:C28"/>
  </mergeCells>
  <phoneticPr fontId="54" type="noConversion"/>
  <pageMargins left="0.7" right="0.7" top="0.75" bottom="0.75" header="0.3" footer="0.3"/>
  <pageSetup paperSize="9" orientation="portrait" horizontalDpi="1200" verticalDpi="1200" r:id="rId1"/>
  <ignoredErrors>
    <ignoredError sqref="E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topLeftCell="A49" zoomScale="70" zoomScaleNormal="70" workbookViewId="0">
      <selection activeCell="G13" sqref="G13"/>
    </sheetView>
  </sheetViews>
  <sheetFormatPr defaultColWidth="9" defaultRowHeight="11.5" x14ac:dyDescent="0.25"/>
  <cols>
    <col min="1" max="1" width="25.7265625" style="1" customWidth="1"/>
    <col min="2" max="3" width="15.1796875" style="1" customWidth="1"/>
    <col min="4" max="4" width="31.453125" style="1" customWidth="1"/>
    <col min="5" max="5" width="52.26953125" style="1" customWidth="1"/>
    <col min="6" max="6" width="58" style="1" customWidth="1"/>
    <col min="7" max="16384" width="9" style="1"/>
  </cols>
  <sheetData>
    <row r="1" spans="1:7" x14ac:dyDescent="0.25">
      <c r="A1" s="39" t="s">
        <v>0</v>
      </c>
      <c r="B1" s="39"/>
      <c r="C1" s="39"/>
    </row>
    <row r="2" spans="1:7" x14ac:dyDescent="0.25">
      <c r="A2" s="39"/>
      <c r="B2" s="39"/>
      <c r="C2" s="39"/>
      <c r="D2" s="40"/>
    </row>
    <row r="3" spans="1:7" x14ac:dyDescent="0.25">
      <c r="A3" s="39"/>
      <c r="B3" s="39"/>
      <c r="C3" s="39"/>
    </row>
    <row r="4" spans="1:7" x14ac:dyDescent="0.25">
      <c r="A4" s="41" t="s">
        <v>1</v>
      </c>
      <c r="B4" s="39"/>
      <c r="C4" s="39"/>
    </row>
    <row r="5" spans="1:7" ht="12.5" x14ac:dyDescent="0.3">
      <c r="A5" s="39" t="s">
        <v>269</v>
      </c>
      <c r="B5" s="39"/>
      <c r="E5" s="42"/>
      <c r="F5" s="43"/>
    </row>
    <row r="6" spans="1:7" ht="12" thickBot="1" x14ac:dyDescent="0.3"/>
    <row r="7" spans="1:7" x14ac:dyDescent="0.25">
      <c r="A7" s="10" t="s">
        <v>2</v>
      </c>
      <c r="B7" s="11" t="s">
        <v>3</v>
      </c>
      <c r="C7" s="11"/>
      <c r="D7" s="11" t="s">
        <v>4</v>
      </c>
      <c r="E7" s="11" t="s">
        <v>5</v>
      </c>
      <c r="F7" s="12" t="s">
        <v>107</v>
      </c>
      <c r="G7" s="44"/>
    </row>
    <row r="8" spans="1:7" x14ac:dyDescent="0.25">
      <c r="A8" s="13"/>
      <c r="B8" s="14" t="s">
        <v>6</v>
      </c>
      <c r="C8" s="14" t="s">
        <v>7</v>
      </c>
      <c r="D8" s="14"/>
      <c r="E8" s="15"/>
      <c r="F8" s="16"/>
      <c r="G8" s="44"/>
    </row>
    <row r="9" spans="1:7" ht="12.5" x14ac:dyDescent="0.25">
      <c r="A9" s="17" t="s">
        <v>138</v>
      </c>
      <c r="B9" s="18">
        <v>28</v>
      </c>
      <c r="C9" s="18">
        <v>28</v>
      </c>
      <c r="D9" s="19" t="s">
        <v>139</v>
      </c>
      <c r="E9" s="20" t="s">
        <v>104</v>
      </c>
      <c r="F9" s="21" t="s">
        <v>108</v>
      </c>
      <c r="G9" s="44"/>
    </row>
    <row r="10" spans="1:7" ht="13" x14ac:dyDescent="0.25">
      <c r="A10" s="17" t="s">
        <v>140</v>
      </c>
      <c r="B10" s="18">
        <v>6.7000000000000002E-4</v>
      </c>
      <c r="C10" s="18">
        <v>6.7000000000000002E-4</v>
      </c>
      <c r="D10" s="19" t="s">
        <v>141</v>
      </c>
      <c r="E10" s="20" t="s">
        <v>84</v>
      </c>
      <c r="F10" s="21" t="s">
        <v>109</v>
      </c>
      <c r="G10" s="44"/>
    </row>
    <row r="11" spans="1:7" ht="23" x14ac:dyDescent="0.25">
      <c r="A11" s="17" t="s">
        <v>142</v>
      </c>
      <c r="B11" s="22">
        <v>0.75</v>
      </c>
      <c r="C11" s="22">
        <f>B11</f>
        <v>0.75</v>
      </c>
      <c r="D11" s="19" t="s">
        <v>8</v>
      </c>
      <c r="E11" s="20" t="s">
        <v>81</v>
      </c>
      <c r="F11" s="21" t="s">
        <v>284</v>
      </c>
      <c r="G11" s="45"/>
    </row>
    <row r="12" spans="1:7" ht="46" x14ac:dyDescent="0.25">
      <c r="A12" s="23" t="s">
        <v>9</v>
      </c>
      <c r="B12" s="18">
        <v>0.94</v>
      </c>
      <c r="C12" s="18">
        <v>0.94</v>
      </c>
      <c r="D12" s="19" t="s">
        <v>106</v>
      </c>
      <c r="E12" s="20" t="s">
        <v>80</v>
      </c>
      <c r="F12" s="21" t="s">
        <v>10</v>
      </c>
      <c r="G12" s="45"/>
    </row>
    <row r="13" spans="1:7" ht="46" x14ac:dyDescent="0.25">
      <c r="A13" s="23" t="s">
        <v>11</v>
      </c>
      <c r="B13" s="24">
        <f>B11*B12</f>
        <v>0.70499999999999996</v>
      </c>
      <c r="C13" s="24">
        <f>C11*C12</f>
        <v>0.70499999999999996</v>
      </c>
      <c r="D13" s="19" t="s">
        <v>106</v>
      </c>
      <c r="E13" s="20" t="s">
        <v>12</v>
      </c>
      <c r="F13" s="21" t="s">
        <v>10</v>
      </c>
      <c r="G13" s="45"/>
    </row>
    <row r="14" spans="1:7" ht="24.75" customHeight="1" x14ac:dyDescent="0.25">
      <c r="A14" s="17" t="s">
        <v>143</v>
      </c>
      <c r="B14" s="18">
        <v>0.28999999999999998</v>
      </c>
      <c r="C14" s="18">
        <v>0.28999999999999998</v>
      </c>
      <c r="D14" s="19" t="s">
        <v>144</v>
      </c>
      <c r="E14" s="20" t="s">
        <v>13</v>
      </c>
      <c r="F14" s="21" t="s">
        <v>14</v>
      </c>
      <c r="G14" s="44"/>
    </row>
    <row r="15" spans="1:7" ht="15" customHeight="1" x14ac:dyDescent="0.25">
      <c r="A15" s="17" t="s">
        <v>145</v>
      </c>
      <c r="B15" s="25">
        <v>359870</v>
      </c>
      <c r="C15" s="25">
        <v>54100</v>
      </c>
      <c r="D15" s="19" t="s">
        <v>15</v>
      </c>
      <c r="E15" s="20" t="s">
        <v>105</v>
      </c>
      <c r="F15" s="21" t="s">
        <v>16</v>
      </c>
      <c r="G15" s="44"/>
    </row>
    <row r="16" spans="1:7" ht="15" customHeight="1" x14ac:dyDescent="0.25">
      <c r="A16" s="17" t="s">
        <v>146</v>
      </c>
      <c r="B16" s="26">
        <v>62.6</v>
      </c>
      <c r="C16" s="26">
        <v>80.400000000000006</v>
      </c>
      <c r="D16" s="19" t="s">
        <v>17</v>
      </c>
      <c r="E16" s="20" t="s">
        <v>105</v>
      </c>
      <c r="F16" s="21" t="s">
        <v>18</v>
      </c>
      <c r="G16" s="44"/>
    </row>
    <row r="17" spans="1:7" ht="15" customHeight="1" x14ac:dyDescent="0.25">
      <c r="A17" s="27" t="s">
        <v>147</v>
      </c>
      <c r="B17" s="25">
        <f>B42</f>
        <v>28</v>
      </c>
      <c r="C17" s="25">
        <f>C42</f>
        <v>28</v>
      </c>
      <c r="D17" s="19" t="s">
        <v>17</v>
      </c>
      <c r="E17" s="20" t="s">
        <v>13</v>
      </c>
      <c r="F17" s="21" t="s">
        <v>19</v>
      </c>
      <c r="G17" s="44"/>
    </row>
    <row r="18" spans="1:7" ht="12.5" x14ac:dyDescent="0.25">
      <c r="A18" s="27" t="s">
        <v>148</v>
      </c>
      <c r="B18" s="18">
        <v>0.3</v>
      </c>
      <c r="C18" s="18">
        <v>0.3</v>
      </c>
      <c r="D18" s="19" t="s">
        <v>83</v>
      </c>
      <c r="E18" s="20" t="str">
        <f>E14</f>
        <v>2006 IPCC guideline, volume 4, chapter 10, tbl. 10A-7</v>
      </c>
      <c r="F18" s="21" t="s">
        <v>20</v>
      </c>
      <c r="G18" s="44"/>
    </row>
    <row r="19" spans="1:7" ht="25" customHeight="1" x14ac:dyDescent="0.25">
      <c r="A19" s="27" t="s">
        <v>149</v>
      </c>
      <c r="B19" s="28">
        <f>(B16/B17)*B18*B21</f>
        <v>244.81071428571428</v>
      </c>
      <c r="C19" s="28">
        <f>(C16/C17)*C18*C21</f>
        <v>314.42142857142858</v>
      </c>
      <c r="D19" s="19" t="s">
        <v>103</v>
      </c>
      <c r="E19" s="20" t="s">
        <v>95</v>
      </c>
      <c r="F19" s="21" t="s">
        <v>110</v>
      </c>
      <c r="G19" s="44"/>
    </row>
    <row r="20" spans="1:7" x14ac:dyDescent="0.25">
      <c r="A20" s="27" t="s">
        <v>101</v>
      </c>
      <c r="B20" s="22">
        <v>1</v>
      </c>
      <c r="C20" s="22">
        <v>1</v>
      </c>
      <c r="D20" s="19" t="s">
        <v>8</v>
      </c>
      <c r="E20" s="20" t="str">
        <f>E15</f>
        <v>Project evaluation report</v>
      </c>
      <c r="F20" s="21" t="s">
        <v>21</v>
      </c>
      <c r="G20" s="44"/>
    </row>
    <row r="21" spans="1:7" ht="12.5" x14ac:dyDescent="0.25">
      <c r="A21" s="27" t="s">
        <v>150</v>
      </c>
      <c r="B21" s="18">
        <v>365</v>
      </c>
      <c r="C21" s="18">
        <v>365</v>
      </c>
      <c r="D21" s="19" t="s">
        <v>22</v>
      </c>
      <c r="E21" s="20" t="s">
        <v>23</v>
      </c>
      <c r="F21" s="21"/>
      <c r="G21" s="44"/>
    </row>
    <row r="22" spans="1:7" ht="12.5" x14ac:dyDescent="0.3">
      <c r="A22" s="29" t="s">
        <v>102</v>
      </c>
      <c r="B22" s="30">
        <f>ROUNDDOWN(B9*B10*B13*B14*B15*B19*B20,0)</f>
        <v>337906</v>
      </c>
      <c r="C22" s="30">
        <f>ROUNDDOWN(C9*C10*C13*C14*C15*C19*C20,0)</f>
        <v>65242</v>
      </c>
      <c r="D22" s="31" t="s">
        <v>151</v>
      </c>
      <c r="E22" s="32" t="s">
        <v>95</v>
      </c>
      <c r="F22" s="33"/>
      <c r="G22" s="44"/>
    </row>
    <row r="23" spans="1:7" ht="13" thickBot="1" x14ac:dyDescent="0.3">
      <c r="A23" s="34" t="s">
        <v>152</v>
      </c>
      <c r="B23" s="35">
        <f>ROUNDDOWN(B22+C22,0)</f>
        <v>403148</v>
      </c>
      <c r="C23" s="35"/>
      <c r="D23" s="36" t="s">
        <v>79</v>
      </c>
      <c r="E23" s="37" t="s">
        <v>95</v>
      </c>
      <c r="F23" s="38"/>
      <c r="G23" s="44"/>
    </row>
    <row r="24" spans="1:7" x14ac:dyDescent="0.25">
      <c r="D24" s="46"/>
    </row>
    <row r="25" spans="1:7" x14ac:dyDescent="0.25">
      <c r="A25" s="41" t="s">
        <v>24</v>
      </c>
      <c r="B25" s="39"/>
      <c r="E25" s="47"/>
    </row>
    <row r="26" spans="1:7" ht="12" x14ac:dyDescent="0.3">
      <c r="A26" s="305" t="s">
        <v>270</v>
      </c>
      <c r="B26" s="306"/>
      <c r="C26" s="306"/>
      <c r="D26" s="306"/>
      <c r="E26" s="42"/>
    </row>
    <row r="27" spans="1:7" x14ac:dyDescent="0.25">
      <c r="A27" s="48"/>
      <c r="E27" s="47"/>
    </row>
    <row r="28" spans="1:7" x14ac:dyDescent="0.25">
      <c r="A28" s="39" t="s">
        <v>25</v>
      </c>
      <c r="B28" s="39"/>
    </row>
    <row r="29" spans="1:7" ht="12.75" customHeight="1" x14ac:dyDescent="0.3">
      <c r="A29" s="48"/>
      <c r="B29" s="49" t="s">
        <v>271</v>
      </c>
      <c r="C29" s="49"/>
      <c r="D29" s="49"/>
      <c r="E29" s="43"/>
    </row>
    <row r="30" spans="1:7" ht="12.75" customHeight="1" x14ac:dyDescent="0.25">
      <c r="A30" s="48"/>
      <c r="B30" s="49"/>
      <c r="C30" s="49"/>
      <c r="D30" s="49"/>
      <c r="E30" s="43"/>
    </row>
    <row r="31" spans="1:7" ht="12.75" customHeight="1" x14ac:dyDescent="0.3">
      <c r="A31" s="48"/>
      <c r="B31" s="49"/>
      <c r="C31" s="49"/>
      <c r="D31" s="49" t="s">
        <v>272</v>
      </c>
      <c r="E31" s="50"/>
      <c r="F31" s="44"/>
    </row>
    <row r="32" spans="1:7" ht="12.75" customHeight="1" x14ac:dyDescent="0.25">
      <c r="A32" s="48"/>
      <c r="B32" s="49"/>
      <c r="C32" s="49"/>
      <c r="D32" s="49"/>
      <c r="E32" s="43"/>
    </row>
    <row r="33" spans="1:5" ht="12.75" customHeight="1" x14ac:dyDescent="0.25">
      <c r="A33" s="48"/>
      <c r="B33" s="49"/>
      <c r="C33" s="49"/>
      <c r="D33" s="49"/>
      <c r="E33" s="43"/>
    </row>
    <row r="34" spans="1:5" ht="12" thickBot="1" x14ac:dyDescent="0.3"/>
    <row r="35" spans="1:5" x14ac:dyDescent="0.25">
      <c r="A35" s="51" t="s">
        <v>2</v>
      </c>
      <c r="B35" s="52" t="s">
        <v>26</v>
      </c>
      <c r="C35" s="52"/>
      <c r="D35" s="52" t="s">
        <v>4</v>
      </c>
      <c r="E35" s="53" t="s">
        <v>5</v>
      </c>
    </row>
    <row r="36" spans="1:5" x14ac:dyDescent="0.25">
      <c r="A36" s="54"/>
      <c r="B36" s="55" t="str">
        <f>B8</f>
        <v>Market Swine</v>
      </c>
      <c r="C36" s="55" t="str">
        <f>C8</f>
        <v>Breeding Swine</v>
      </c>
      <c r="D36" s="55"/>
      <c r="E36" s="56"/>
    </row>
    <row r="37" spans="1:5" ht="12.5" x14ac:dyDescent="0.3">
      <c r="A37" s="57" t="s">
        <v>153</v>
      </c>
      <c r="B37" s="18">
        <v>0</v>
      </c>
      <c r="C37" s="58">
        <v>0</v>
      </c>
      <c r="D37" s="18" t="s">
        <v>154</v>
      </c>
      <c r="E37" s="59" t="s">
        <v>112</v>
      </c>
    </row>
    <row r="38" spans="1:5" ht="12.5" x14ac:dyDescent="0.3">
      <c r="A38" s="60" t="s">
        <v>155</v>
      </c>
      <c r="B38" s="61">
        <f>0.42</f>
        <v>0.42</v>
      </c>
      <c r="C38" s="62">
        <v>0.24</v>
      </c>
      <c r="D38" s="18" t="s">
        <v>27</v>
      </c>
      <c r="E38" s="59" t="s">
        <v>28</v>
      </c>
    </row>
    <row r="39" spans="1:5" ht="12.5" x14ac:dyDescent="0.3">
      <c r="A39" s="57" t="s">
        <v>156</v>
      </c>
      <c r="B39" s="63">
        <f>B38*B42/1000*365</f>
        <v>4.2923999999999998</v>
      </c>
      <c r="C39" s="63">
        <f>C38*C42/1000*365</f>
        <v>2.4527999999999999</v>
      </c>
      <c r="D39" s="18" t="s">
        <v>30</v>
      </c>
      <c r="E39" s="59" t="s">
        <v>29</v>
      </c>
    </row>
    <row r="40" spans="1:5" ht="12.5" x14ac:dyDescent="0.3">
      <c r="A40" s="57" t="s">
        <v>157</v>
      </c>
      <c r="B40" s="26">
        <f>B16</f>
        <v>62.6</v>
      </c>
      <c r="C40" s="26">
        <f>C16</f>
        <v>80.400000000000006</v>
      </c>
      <c r="D40" s="18" t="s">
        <v>17</v>
      </c>
      <c r="E40" s="59" t="s">
        <v>113</v>
      </c>
    </row>
    <row r="41" spans="1:5" x14ac:dyDescent="0.25">
      <c r="A41" s="57" t="s">
        <v>111</v>
      </c>
      <c r="B41" s="26">
        <v>28</v>
      </c>
      <c r="C41" s="26">
        <v>28</v>
      </c>
      <c r="D41" s="64" t="s">
        <v>17</v>
      </c>
      <c r="E41" s="65" t="s">
        <v>13</v>
      </c>
    </row>
    <row r="42" spans="1:5" ht="12.5" x14ac:dyDescent="0.3">
      <c r="A42" s="57" t="s">
        <v>158</v>
      </c>
      <c r="B42" s="18">
        <v>28</v>
      </c>
      <c r="C42" s="58">
        <v>28</v>
      </c>
      <c r="D42" s="18" t="s">
        <v>17</v>
      </c>
      <c r="E42" s="33" t="s">
        <v>114</v>
      </c>
    </row>
    <row r="43" spans="1:5" ht="12.5" x14ac:dyDescent="0.3">
      <c r="A43" s="60" t="s">
        <v>159</v>
      </c>
      <c r="B43" s="28">
        <f>(B40/B42)*B39</f>
        <v>9.5965799999999994</v>
      </c>
      <c r="C43" s="28">
        <f>(C40/C42)*C39</f>
        <v>7.0430399999999995</v>
      </c>
      <c r="D43" s="18" t="s">
        <v>30</v>
      </c>
      <c r="E43" s="59" t="s">
        <v>31</v>
      </c>
    </row>
    <row r="44" spans="1:5" ht="12.5" x14ac:dyDescent="0.3">
      <c r="A44" s="66" t="s">
        <v>160</v>
      </c>
      <c r="B44" s="25">
        <f>B15</f>
        <v>359870</v>
      </c>
      <c r="C44" s="25">
        <f>C15</f>
        <v>54100</v>
      </c>
      <c r="D44" s="18" t="str">
        <f>D15</f>
        <v>No of heads</v>
      </c>
      <c r="E44" s="59" t="s">
        <v>113</v>
      </c>
    </row>
    <row r="45" spans="1:5" ht="12.5" x14ac:dyDescent="0.3">
      <c r="A45" s="66" t="s">
        <v>161</v>
      </c>
      <c r="B45" s="22">
        <f>B20</f>
        <v>1</v>
      </c>
      <c r="C45" s="22">
        <f>C20</f>
        <v>1</v>
      </c>
      <c r="D45" s="18" t="str">
        <f>D20</f>
        <v>%</v>
      </c>
      <c r="E45" s="33" t="s">
        <v>21</v>
      </c>
    </row>
    <row r="46" spans="1:5" ht="13" thickBot="1" x14ac:dyDescent="0.35">
      <c r="A46" s="67" t="s">
        <v>162</v>
      </c>
      <c r="B46" s="68">
        <f>'[1]Baseline Emission'!$B$241</f>
        <v>0</v>
      </c>
      <c r="C46" s="68">
        <f>C37*C39*C44*C45</f>
        <v>0</v>
      </c>
      <c r="D46" s="69" t="s">
        <v>163</v>
      </c>
      <c r="E46" s="70" t="s">
        <v>31</v>
      </c>
    </row>
    <row r="48" spans="1:5" x14ac:dyDescent="0.25">
      <c r="A48" s="39" t="s">
        <v>32</v>
      </c>
    </row>
    <row r="49" spans="1:6" ht="12.5" x14ac:dyDescent="0.3">
      <c r="B49" s="49" t="s">
        <v>273</v>
      </c>
      <c r="C49" s="39"/>
      <c r="D49" s="39"/>
      <c r="E49" s="40"/>
    </row>
    <row r="50" spans="1:6" ht="12" thickBot="1" x14ac:dyDescent="0.3">
      <c r="B50" s="39"/>
      <c r="C50" s="39"/>
    </row>
    <row r="51" spans="1:6" x14ac:dyDescent="0.25">
      <c r="A51" s="51" t="s">
        <v>2</v>
      </c>
      <c r="B51" s="52" t="s">
        <v>26</v>
      </c>
      <c r="C51" s="52"/>
      <c r="D51" s="52" t="s">
        <v>4</v>
      </c>
      <c r="E51" s="53" t="s">
        <v>5</v>
      </c>
    </row>
    <row r="52" spans="1:6" x14ac:dyDescent="0.25">
      <c r="A52" s="54"/>
      <c r="B52" s="55" t="str">
        <f>B36</f>
        <v>Market Swine</v>
      </c>
      <c r="C52" s="55" t="str">
        <f>C36</f>
        <v>Breeding Swine</v>
      </c>
      <c r="D52" s="55"/>
      <c r="E52" s="56"/>
    </row>
    <row r="53" spans="1:6" ht="12.5" x14ac:dyDescent="0.25">
      <c r="A53" s="71" t="s">
        <v>164</v>
      </c>
      <c r="B53" s="18">
        <v>0.01</v>
      </c>
      <c r="C53" s="72">
        <v>0.01</v>
      </c>
      <c r="D53" s="18" t="s">
        <v>165</v>
      </c>
      <c r="E53" s="59" t="s">
        <v>33</v>
      </c>
    </row>
    <row r="54" spans="1:6" ht="12.5" x14ac:dyDescent="0.25">
      <c r="A54" s="71" t="s">
        <v>166</v>
      </c>
      <c r="B54" s="22">
        <v>0.4</v>
      </c>
      <c r="C54" s="22">
        <v>0.4</v>
      </c>
      <c r="D54" s="18" t="s">
        <v>8</v>
      </c>
      <c r="E54" s="59" t="s">
        <v>34</v>
      </c>
    </row>
    <row r="55" spans="1:6" ht="12.5" x14ac:dyDescent="0.25">
      <c r="A55" s="73" t="s">
        <v>203</v>
      </c>
      <c r="B55" s="74">
        <f>B43</f>
        <v>9.5965799999999994</v>
      </c>
      <c r="C55" s="74">
        <f>C43</f>
        <v>7.0430399999999995</v>
      </c>
      <c r="D55" s="18" t="str">
        <f>D43</f>
        <v>kg N/animal/year</v>
      </c>
      <c r="E55" s="59" t="s">
        <v>31</v>
      </c>
    </row>
    <row r="56" spans="1:6" ht="12.5" x14ac:dyDescent="0.25">
      <c r="A56" s="73" t="s">
        <v>160</v>
      </c>
      <c r="B56" s="25">
        <f>B15</f>
        <v>359870</v>
      </c>
      <c r="C56" s="25">
        <f>C15</f>
        <v>54100</v>
      </c>
      <c r="D56" s="18" t="str">
        <f>D44</f>
        <v>No of heads</v>
      </c>
      <c r="E56" s="59" t="s">
        <v>113</v>
      </c>
    </row>
    <row r="57" spans="1:6" ht="12.5" x14ac:dyDescent="0.25">
      <c r="A57" s="75" t="s">
        <v>161</v>
      </c>
      <c r="B57" s="22">
        <f>B45</f>
        <v>1</v>
      </c>
      <c r="C57" s="22">
        <f>C45</f>
        <v>1</v>
      </c>
      <c r="D57" s="18" t="str">
        <f>D45</f>
        <v>%</v>
      </c>
      <c r="E57" s="33" t="s">
        <v>21</v>
      </c>
    </row>
    <row r="58" spans="1:6" ht="12.5" x14ac:dyDescent="0.25">
      <c r="A58" s="75" t="s">
        <v>167</v>
      </c>
      <c r="B58" s="74">
        <v>265</v>
      </c>
      <c r="C58" s="74">
        <v>265</v>
      </c>
      <c r="D58" s="18" t="s">
        <v>78</v>
      </c>
      <c r="E58" s="21" t="s">
        <v>115</v>
      </c>
    </row>
    <row r="59" spans="1:6" ht="12.5" x14ac:dyDescent="0.25">
      <c r="A59" s="75" t="s">
        <v>168</v>
      </c>
      <c r="B59" s="76">
        <f>44/28</f>
        <v>1.5714285714285714</v>
      </c>
      <c r="C59" s="76">
        <f>44/28</f>
        <v>1.5714285714285714</v>
      </c>
      <c r="D59" s="18" t="s">
        <v>169</v>
      </c>
      <c r="E59" s="33" t="s">
        <v>116</v>
      </c>
    </row>
    <row r="60" spans="1:6" ht="12.5" x14ac:dyDescent="0.25">
      <c r="A60" s="77" t="s">
        <v>170</v>
      </c>
      <c r="B60" s="30">
        <f>ROUNDDOWN(B53*B54*B55*B56*B57,0)</f>
        <v>13814</v>
      </c>
      <c r="C60" s="30">
        <f>ROUNDDOWN(C53*C54*C55*C56*C57,0)</f>
        <v>1524</v>
      </c>
      <c r="D60" s="18"/>
      <c r="E60" s="59" t="s">
        <v>31</v>
      </c>
    </row>
    <row r="61" spans="1:6" ht="12" thickBot="1" x14ac:dyDescent="0.3">
      <c r="A61" s="78"/>
      <c r="B61" s="307">
        <f>B60+C60</f>
        <v>15338</v>
      </c>
      <c r="C61" s="307"/>
      <c r="D61" s="79"/>
      <c r="E61" s="80"/>
    </row>
    <row r="62" spans="1:6" x14ac:dyDescent="0.25">
      <c r="A62" s="39"/>
      <c r="B62" s="81"/>
      <c r="C62" s="81"/>
    </row>
    <row r="63" spans="1:6" ht="21.75" customHeight="1" x14ac:dyDescent="0.25">
      <c r="A63" s="308" t="s">
        <v>171</v>
      </c>
      <c r="B63" s="309"/>
      <c r="C63" s="309"/>
      <c r="D63" s="309"/>
      <c r="E63" s="82">
        <f>ROUNDDOWN(B58*B59/1000*(B61+B46),0)</f>
        <v>6387</v>
      </c>
      <c r="F63" s="43"/>
    </row>
    <row r="64" spans="1:6" x14ac:dyDescent="0.25">
      <c r="F64" s="2"/>
    </row>
    <row r="66" spans="1:5" ht="12.5" x14ac:dyDescent="0.3">
      <c r="A66" s="41" t="s">
        <v>274</v>
      </c>
      <c r="B66" s="83"/>
      <c r="C66" s="83"/>
    </row>
    <row r="67" spans="1:5" ht="12.5" x14ac:dyDescent="0.3">
      <c r="A67" s="39" t="s">
        <v>172</v>
      </c>
    </row>
    <row r="68" spans="1:5" x14ac:dyDescent="0.25">
      <c r="A68" s="84"/>
      <c r="B68" s="85"/>
      <c r="C68" s="86"/>
      <c r="D68" s="47"/>
    </row>
    <row r="69" spans="1:5" ht="12.5" x14ac:dyDescent="0.3">
      <c r="A69" s="87" t="s">
        <v>35</v>
      </c>
      <c r="B69" s="88"/>
      <c r="C69" s="89" t="s">
        <v>173</v>
      </c>
      <c r="D69" s="90"/>
      <c r="E69" s="91">
        <f>ROUNDDOWN(B23+E63,0)</f>
        <v>409535</v>
      </c>
    </row>
    <row r="70" spans="1:5" x14ac:dyDescent="0.25">
      <c r="B70" s="92"/>
    </row>
    <row r="71" spans="1:5" x14ac:dyDescent="0.25">
      <c r="B71" s="47"/>
      <c r="C71" s="47"/>
      <c r="D71" s="47"/>
    </row>
    <row r="72" spans="1:5" x14ac:dyDescent="0.25">
      <c r="A72" s="93"/>
      <c r="B72" s="94"/>
      <c r="C72" s="94"/>
      <c r="D72" s="94"/>
    </row>
  </sheetData>
  <sheetProtection selectLockedCells="1" selectUnlockedCells="1"/>
  <customSheetViews>
    <customSheetView guid="{2C071143-29D6-4036-A926-BF7E54293313}" showRuler="0">
      <selection activeCell="E28" sqref="E28"/>
      <pageMargins left="0.75" right="0.75" top="1" bottom="1" header="0.5" footer="0.5"/>
      <pageSetup orientation="portrait"/>
      <headerFooter alignWithMargins="0"/>
    </customSheetView>
  </customSheetViews>
  <mergeCells count="3">
    <mergeCell ref="A26:D26"/>
    <mergeCell ref="B61:C61"/>
    <mergeCell ref="A63:D63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B56:C5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1"/>
  <sheetViews>
    <sheetView topLeftCell="A94" zoomScaleNormal="100" workbookViewId="0">
      <selection activeCell="D32" sqref="D32"/>
    </sheetView>
  </sheetViews>
  <sheetFormatPr defaultColWidth="9" defaultRowHeight="10" x14ac:dyDescent="0.25"/>
  <cols>
    <col min="1" max="1" width="35.1796875" style="97" customWidth="1"/>
    <col min="2" max="2" width="20.81640625" style="96" customWidth="1"/>
    <col min="3" max="3" width="20.81640625" style="97" customWidth="1"/>
    <col min="4" max="4" width="17" style="97" customWidth="1"/>
    <col min="5" max="5" width="47" style="97" customWidth="1"/>
    <col min="6" max="6" width="9" style="97"/>
    <col min="7" max="7" width="12.1796875" style="97" bestFit="1" customWidth="1"/>
    <col min="8" max="16384" width="9" style="97"/>
  </cols>
  <sheetData>
    <row r="1" spans="1:5" x14ac:dyDescent="0.25">
      <c r="A1" s="95" t="s">
        <v>36</v>
      </c>
    </row>
    <row r="3" spans="1:5" x14ac:dyDescent="0.25">
      <c r="E3" s="98"/>
    </row>
    <row r="4" spans="1:5" x14ac:dyDescent="0.25">
      <c r="A4" s="99" t="s">
        <v>37</v>
      </c>
    </row>
    <row r="5" spans="1:5" x14ac:dyDescent="0.25">
      <c r="A5" s="99"/>
    </row>
    <row r="6" spans="1:5" ht="12" x14ac:dyDescent="0.25">
      <c r="A6" s="100" t="s">
        <v>174</v>
      </c>
      <c r="B6" s="101"/>
    </row>
    <row r="7" spans="1:5" x14ac:dyDescent="0.25">
      <c r="A7" s="95"/>
    </row>
    <row r="8" spans="1:5" x14ac:dyDescent="0.25">
      <c r="A8" s="102"/>
      <c r="B8" s="103"/>
      <c r="D8" s="104"/>
      <c r="E8" s="98"/>
    </row>
    <row r="9" spans="1:5" x14ac:dyDescent="0.25">
      <c r="A9" s="102"/>
      <c r="B9" s="103"/>
      <c r="C9" s="105"/>
      <c r="D9" s="105"/>
      <c r="E9" s="98"/>
    </row>
    <row r="10" spans="1:5" x14ac:dyDescent="0.25">
      <c r="A10" s="102"/>
      <c r="B10" s="103"/>
      <c r="C10" s="105"/>
      <c r="D10" s="105"/>
      <c r="E10" s="98"/>
    </row>
    <row r="11" spans="1:5" x14ac:dyDescent="0.25">
      <c r="B11" s="103"/>
      <c r="C11" s="105"/>
      <c r="D11" s="105"/>
      <c r="E11" s="98"/>
    </row>
    <row r="12" spans="1:5" ht="10.5" thickBot="1" x14ac:dyDescent="0.3">
      <c r="A12" s="102"/>
      <c r="B12" s="103"/>
      <c r="C12" s="105"/>
      <c r="D12" s="105"/>
    </row>
    <row r="13" spans="1:5" x14ac:dyDescent="0.25">
      <c r="A13" s="106" t="s">
        <v>2</v>
      </c>
      <c r="B13" s="107" t="s">
        <v>38</v>
      </c>
      <c r="C13" s="107" t="s">
        <v>4</v>
      </c>
      <c r="D13" s="323" t="s">
        <v>5</v>
      </c>
      <c r="E13" s="326"/>
    </row>
    <row r="14" spans="1:5" ht="15" customHeight="1" x14ac:dyDescent="0.25">
      <c r="A14" s="108" t="s">
        <v>175</v>
      </c>
      <c r="B14" s="109">
        <v>0</v>
      </c>
      <c r="C14" s="110" t="s">
        <v>39</v>
      </c>
      <c r="D14" s="322" t="s">
        <v>118</v>
      </c>
      <c r="E14" s="322"/>
    </row>
    <row r="15" spans="1:5" ht="15" customHeight="1" x14ac:dyDescent="0.25">
      <c r="A15" s="108" t="s">
        <v>176</v>
      </c>
      <c r="B15" s="111">
        <f>(0.8587*0.5+0.2854*0.5)</f>
        <v>0.57204999999999995</v>
      </c>
      <c r="C15" s="110" t="s">
        <v>177</v>
      </c>
      <c r="D15" s="322" t="s">
        <v>275</v>
      </c>
      <c r="E15" s="322"/>
    </row>
    <row r="16" spans="1:5" ht="15" customHeight="1" x14ac:dyDescent="0.25">
      <c r="A16" s="108" t="s">
        <v>178</v>
      </c>
      <c r="B16" s="112">
        <v>0.2</v>
      </c>
      <c r="C16" s="110" t="s">
        <v>117</v>
      </c>
      <c r="D16" s="322" t="s">
        <v>86</v>
      </c>
      <c r="E16" s="322"/>
    </row>
    <row r="17" spans="1:5" ht="15" customHeight="1" x14ac:dyDescent="0.25">
      <c r="A17" s="113" t="s">
        <v>179</v>
      </c>
      <c r="B17" s="114">
        <f>B14*B15*(1+B16)</f>
        <v>0</v>
      </c>
      <c r="C17" s="115" t="s">
        <v>180</v>
      </c>
      <c r="D17" s="322" t="s">
        <v>88</v>
      </c>
      <c r="E17" s="322"/>
    </row>
    <row r="18" spans="1:5" ht="15" customHeight="1" thickBot="1" x14ac:dyDescent="0.3">
      <c r="A18" s="116" t="s">
        <v>181</v>
      </c>
      <c r="B18" s="117">
        <v>0</v>
      </c>
      <c r="C18" s="118" t="s">
        <v>180</v>
      </c>
      <c r="D18" s="325" t="s">
        <v>119</v>
      </c>
      <c r="E18" s="325"/>
    </row>
    <row r="19" spans="1:5" ht="15" customHeight="1" x14ac:dyDescent="0.25">
      <c r="A19" s="102"/>
      <c r="B19" s="103"/>
      <c r="C19" s="105"/>
      <c r="D19" s="105"/>
    </row>
    <row r="20" spans="1:5" ht="15" customHeight="1" x14ac:dyDescent="0.25">
      <c r="A20" s="102"/>
      <c r="B20" s="103"/>
      <c r="C20" s="105"/>
      <c r="D20" s="105"/>
    </row>
    <row r="21" spans="1:5" ht="15" customHeight="1" x14ac:dyDescent="0.25">
      <c r="A21" s="102"/>
      <c r="B21" s="103"/>
      <c r="C21" s="105"/>
      <c r="D21" s="105"/>
      <c r="E21" s="98"/>
    </row>
    <row r="22" spans="1:5" ht="15" customHeight="1" x14ac:dyDescent="0.25">
      <c r="A22" s="102"/>
      <c r="B22" s="103"/>
      <c r="C22" s="105"/>
      <c r="D22" s="105"/>
      <c r="E22" s="119"/>
    </row>
    <row r="23" spans="1:5" ht="10.5" thickBot="1" x14ac:dyDescent="0.3">
      <c r="A23" s="102"/>
      <c r="B23" s="103"/>
      <c r="C23" s="105"/>
      <c r="D23" s="105"/>
    </row>
    <row r="24" spans="1:5" x14ac:dyDescent="0.25">
      <c r="A24" s="120" t="s">
        <v>2</v>
      </c>
      <c r="B24" s="107" t="s">
        <v>89</v>
      </c>
      <c r="C24" s="107" t="s">
        <v>4</v>
      </c>
      <c r="D24" s="311" t="s">
        <v>5</v>
      </c>
      <c r="E24" s="312"/>
    </row>
    <row r="25" spans="1:5" ht="12" x14ac:dyDescent="0.25">
      <c r="A25" s="121" t="s">
        <v>182</v>
      </c>
      <c r="B25" s="115">
        <v>28</v>
      </c>
      <c r="C25" s="115" t="s">
        <v>78</v>
      </c>
      <c r="D25" s="313" t="str">
        <f>'Baseline Emission'!E9</f>
        <v>IPCC AR5</v>
      </c>
      <c r="E25" s="314"/>
    </row>
    <row r="26" spans="1:5" ht="12" x14ac:dyDescent="0.25">
      <c r="A26" s="121" t="s">
        <v>183</v>
      </c>
      <c r="B26" s="115">
        <v>0.05</v>
      </c>
      <c r="C26" s="115" t="s">
        <v>184</v>
      </c>
      <c r="D26" s="313" t="s">
        <v>87</v>
      </c>
      <c r="E26" s="314"/>
    </row>
    <row r="27" spans="1:5" ht="12" x14ac:dyDescent="0.25">
      <c r="A27" s="108" t="s">
        <v>185</v>
      </c>
      <c r="B27" s="122">
        <f>39890149*60%*0.00067</f>
        <v>16035.839898</v>
      </c>
      <c r="C27" s="112" t="s">
        <v>41</v>
      </c>
      <c r="D27" s="313" t="s">
        <v>120</v>
      </c>
      <c r="E27" s="314"/>
    </row>
    <row r="28" spans="1:5" ht="15" customHeight="1" thickBot="1" x14ac:dyDescent="0.3">
      <c r="A28" s="116" t="s">
        <v>186</v>
      </c>
      <c r="B28" s="117">
        <f>ROUNDUP(B25*B26*B27,0)</f>
        <v>22451</v>
      </c>
      <c r="C28" s="123" t="s">
        <v>180</v>
      </c>
      <c r="D28" s="320" t="s">
        <v>88</v>
      </c>
      <c r="E28" s="321"/>
    </row>
    <row r="29" spans="1:5" ht="14.25" customHeight="1" x14ac:dyDescent="0.25">
      <c r="A29" s="102"/>
      <c r="B29" s="124"/>
      <c r="C29" s="125"/>
      <c r="D29" s="95"/>
      <c r="E29" s="95"/>
    </row>
    <row r="30" spans="1:5" ht="14.25" customHeight="1" x14ac:dyDescent="0.25">
      <c r="A30" s="102"/>
      <c r="B30" s="124"/>
      <c r="C30" s="125"/>
      <c r="D30" s="95"/>
      <c r="E30" s="95"/>
    </row>
    <row r="31" spans="1:5" ht="14.25" customHeight="1" x14ac:dyDescent="0.25">
      <c r="A31" s="102"/>
      <c r="B31" s="124"/>
      <c r="C31" s="125"/>
      <c r="D31" s="126"/>
      <c r="E31" s="95"/>
    </row>
    <row r="32" spans="1:5" ht="14.25" customHeight="1" x14ac:dyDescent="0.25">
      <c r="A32" s="102"/>
      <c r="B32" s="124"/>
      <c r="C32" s="125"/>
      <c r="D32" s="95"/>
      <c r="E32" s="127"/>
    </row>
    <row r="33" spans="1:5" ht="14.25" customHeight="1" x14ac:dyDescent="0.25">
      <c r="A33" s="102"/>
      <c r="B33" s="124"/>
      <c r="C33" s="125"/>
      <c r="D33" s="95"/>
      <c r="E33" s="95"/>
    </row>
    <row r="34" spans="1:5" ht="14.25" customHeight="1" x14ac:dyDescent="0.25">
      <c r="A34" s="102"/>
      <c r="B34" s="124"/>
      <c r="C34" s="125"/>
      <c r="D34" s="95"/>
      <c r="E34" s="95"/>
    </row>
    <row r="35" spans="1:5" ht="14.25" customHeight="1" thickBot="1" x14ac:dyDescent="0.3">
      <c r="A35" s="102"/>
      <c r="B35" s="124"/>
      <c r="C35" s="125"/>
      <c r="D35" s="95"/>
      <c r="E35" s="95"/>
    </row>
    <row r="36" spans="1:5" ht="14.25" customHeight="1" x14ac:dyDescent="0.25">
      <c r="A36" s="106" t="s">
        <v>2</v>
      </c>
      <c r="B36" s="128" t="s">
        <v>121</v>
      </c>
      <c r="C36" s="128" t="s">
        <v>4</v>
      </c>
      <c r="D36" s="311" t="s">
        <v>5</v>
      </c>
      <c r="E36" s="312"/>
    </row>
    <row r="37" spans="1:5" ht="14.25" customHeight="1" x14ac:dyDescent="0.3">
      <c r="A37" s="108" t="s">
        <v>187</v>
      </c>
      <c r="B37" s="129">
        <v>28</v>
      </c>
      <c r="C37" s="286" t="s">
        <v>267</v>
      </c>
      <c r="D37" s="313" t="str">
        <f>D25</f>
        <v>IPCC AR5</v>
      </c>
      <c r="E37" s="314"/>
    </row>
    <row r="38" spans="1:5" ht="12" x14ac:dyDescent="0.25">
      <c r="A38" s="130" t="s">
        <v>188</v>
      </c>
      <c r="B38" s="131">
        <v>0</v>
      </c>
      <c r="C38" s="115" t="s">
        <v>41</v>
      </c>
      <c r="D38" s="313"/>
      <c r="E38" s="314"/>
    </row>
    <row r="39" spans="1:5" ht="12" x14ac:dyDescent="0.25">
      <c r="A39" s="130" t="s">
        <v>189</v>
      </c>
      <c r="B39" s="132">
        <v>0</v>
      </c>
      <c r="C39" s="115" t="s">
        <v>117</v>
      </c>
      <c r="D39" s="313" t="s">
        <v>85</v>
      </c>
      <c r="E39" s="314"/>
    </row>
    <row r="40" spans="1:5" ht="12" x14ac:dyDescent="0.25">
      <c r="A40" s="301" t="s">
        <v>285</v>
      </c>
      <c r="B40" s="114">
        <f>ROUNDUP(B37*B38*(1-B39),0)</f>
        <v>0</v>
      </c>
      <c r="C40" s="115" t="s">
        <v>190</v>
      </c>
      <c r="D40" s="313" t="s">
        <v>137</v>
      </c>
      <c r="E40" s="314"/>
    </row>
    <row r="41" spans="1:5" ht="12.5" thickBot="1" x14ac:dyDescent="0.3">
      <c r="A41" s="133" t="s">
        <v>191</v>
      </c>
      <c r="B41" s="134">
        <f>ROUNDUP(B17+B18+B28+B40,0)</f>
        <v>22451</v>
      </c>
      <c r="C41" s="123" t="s">
        <v>190</v>
      </c>
      <c r="D41" s="320" t="s">
        <v>88</v>
      </c>
      <c r="E41" s="321"/>
    </row>
    <row r="42" spans="1:5" x14ac:dyDescent="0.25">
      <c r="A42" s="135"/>
      <c r="B42" s="136"/>
    </row>
    <row r="43" spans="1:5" x14ac:dyDescent="0.25">
      <c r="A43" s="137"/>
      <c r="D43" s="201"/>
      <c r="E43" s="138"/>
    </row>
    <row r="44" spans="1:5" x14ac:dyDescent="0.25">
      <c r="A44" s="137"/>
    </row>
    <row r="45" spans="1:5" ht="10.5" thickBot="1" x14ac:dyDescent="0.3">
      <c r="A45" s="137"/>
    </row>
    <row r="46" spans="1:5" x14ac:dyDescent="0.25">
      <c r="A46" s="120" t="s">
        <v>2</v>
      </c>
      <c r="B46" s="323" t="s">
        <v>90</v>
      </c>
      <c r="C46" s="324"/>
      <c r="D46" s="139" t="s">
        <v>4</v>
      </c>
      <c r="E46" s="140" t="s">
        <v>5</v>
      </c>
    </row>
    <row r="47" spans="1:5" x14ac:dyDescent="0.25">
      <c r="A47" s="141"/>
      <c r="B47" s="142" t="str">
        <f>'Baseline Emission'!B8</f>
        <v>Market Swine</v>
      </c>
      <c r="C47" s="142" t="str">
        <f>'Baseline Emission'!C8</f>
        <v>Breeding Swine</v>
      </c>
      <c r="D47" s="115"/>
      <c r="E47" s="143"/>
    </row>
    <row r="48" spans="1:5" ht="12.5" x14ac:dyDescent="0.3">
      <c r="A48" s="144" t="s">
        <v>192</v>
      </c>
      <c r="B48" s="115">
        <f>'Baseline Emission'!B9</f>
        <v>28</v>
      </c>
      <c r="C48" s="115">
        <f>'Baseline Emission'!C9</f>
        <v>28</v>
      </c>
      <c r="D48" s="286" t="s">
        <v>267</v>
      </c>
      <c r="E48" s="145" t="str">
        <f>'Baseline Emission'!E9</f>
        <v>IPCC AR5</v>
      </c>
    </row>
    <row r="49" spans="1:5" ht="12" x14ac:dyDescent="0.25">
      <c r="A49" s="146" t="s">
        <v>193</v>
      </c>
      <c r="B49" s="115">
        <f>'Baseline Emission'!B10</f>
        <v>6.7000000000000002E-4</v>
      </c>
      <c r="C49" s="115">
        <f>'Baseline Emission'!C10</f>
        <v>6.7000000000000002E-4</v>
      </c>
      <c r="D49" s="115" t="str">
        <f>'Baseline Emission'!D10</f>
        <v>t/m3</v>
      </c>
      <c r="E49" s="143" t="str">
        <f>'Baseline Emission'!E10</f>
        <v>ACM0010 Version 08.0, page 30</v>
      </c>
    </row>
    <row r="50" spans="1:5" x14ac:dyDescent="0.25">
      <c r="A50" s="147"/>
      <c r="B50" s="111">
        <v>1E-3</v>
      </c>
      <c r="C50" s="148">
        <v>1E-3</v>
      </c>
      <c r="D50" s="115" t="s">
        <v>117</v>
      </c>
      <c r="E50" s="143" t="s">
        <v>123</v>
      </c>
    </row>
    <row r="51" spans="1:5" ht="12" x14ac:dyDescent="0.25">
      <c r="A51" s="146" t="s">
        <v>194</v>
      </c>
      <c r="B51" s="149">
        <v>0.65</v>
      </c>
      <c r="C51" s="149">
        <f>B51</f>
        <v>0.65</v>
      </c>
      <c r="D51" s="115" t="s">
        <v>117</v>
      </c>
      <c r="E51" s="143" t="s">
        <v>118</v>
      </c>
    </row>
    <row r="52" spans="1:5" ht="12" x14ac:dyDescent="0.25">
      <c r="A52" s="146" t="s">
        <v>195</v>
      </c>
      <c r="B52" s="150">
        <f>(1-0%)*(1-80%)</f>
        <v>0.19999999999999996</v>
      </c>
      <c r="C52" s="150">
        <f>(1-0%)*(1-80%)</f>
        <v>0.19999999999999996</v>
      </c>
      <c r="D52" s="115" t="s">
        <v>117</v>
      </c>
      <c r="E52" s="145" t="s">
        <v>118</v>
      </c>
    </row>
    <row r="53" spans="1:5" ht="12" x14ac:dyDescent="0.25">
      <c r="A53" s="146" t="s">
        <v>196</v>
      </c>
      <c r="B53" s="111">
        <f>'Baseline Emission'!B14</f>
        <v>0.28999999999999998</v>
      </c>
      <c r="C53" s="111">
        <f>'Baseline Emission'!C14</f>
        <v>0.28999999999999998</v>
      </c>
      <c r="D53" s="111" t="str">
        <f>'Baseline Emission'!D14</f>
        <v>m3 CH4 /kg VS</v>
      </c>
      <c r="E53" s="151" t="str">
        <f>'Baseline Emission'!E14</f>
        <v>2006 IPCC guideline, volume 4, chapter 10, tbl. 10A-7</v>
      </c>
    </row>
    <row r="54" spans="1:5" ht="12" x14ac:dyDescent="0.25">
      <c r="A54" s="146" t="s">
        <v>197</v>
      </c>
      <c r="B54" s="152">
        <f>'Baseline Emission'!B15</f>
        <v>359870</v>
      </c>
      <c r="C54" s="152">
        <f>'Baseline Emission'!C15</f>
        <v>54100</v>
      </c>
      <c r="D54" s="111" t="str">
        <f>'Baseline Emission'!D15</f>
        <v>No of heads</v>
      </c>
      <c r="E54" s="151" t="str">
        <f>'Baseline Emission'!E15</f>
        <v>Project evaluation report</v>
      </c>
    </row>
    <row r="55" spans="1:5" ht="12" x14ac:dyDescent="0.25">
      <c r="A55" s="146" t="s">
        <v>198</v>
      </c>
      <c r="B55" s="153">
        <f>'Baseline Emission'!B19</f>
        <v>244.81071428571428</v>
      </c>
      <c r="C55" s="153">
        <f>'Baseline Emission'!C19</f>
        <v>314.42142857142858</v>
      </c>
      <c r="D55" s="111" t="str">
        <f>'Baseline Emission'!D19</f>
        <v>kg-dm/animal/yr</v>
      </c>
      <c r="E55" s="151" t="s">
        <v>95</v>
      </c>
    </row>
    <row r="56" spans="1:5" x14ac:dyDescent="0.25">
      <c r="A56" s="146" t="s">
        <v>91</v>
      </c>
      <c r="B56" s="112">
        <v>1</v>
      </c>
      <c r="C56" s="112">
        <v>1</v>
      </c>
      <c r="D56" s="115" t="s">
        <v>117</v>
      </c>
      <c r="E56" s="151" t="str">
        <f>'Baseline Emission'!E17</f>
        <v>2006 IPCC guideline, volume 4, chapter 10, tbl. 10A-7</v>
      </c>
    </row>
    <row r="57" spans="1:5" ht="12" x14ac:dyDescent="0.25">
      <c r="A57" s="147" t="s">
        <v>122</v>
      </c>
      <c r="B57" s="154">
        <f>ROUNDUP(B48*B49*B50*B51*B52*B53*B54*B55*B56,0)</f>
        <v>63</v>
      </c>
      <c r="C57" s="154">
        <f>ROUNDUP(C48*C49*C50*C51*C52*C53*C54*C55*C56,0)</f>
        <v>13</v>
      </c>
      <c r="D57" s="155" t="s">
        <v>190</v>
      </c>
      <c r="E57" s="156" t="s">
        <v>95</v>
      </c>
    </row>
    <row r="58" spans="1:5" ht="12.5" thickBot="1" x14ac:dyDescent="0.3">
      <c r="A58" s="157" t="s">
        <v>199</v>
      </c>
      <c r="B58" s="318">
        <f>B57+C57</f>
        <v>76</v>
      </c>
      <c r="C58" s="319"/>
      <c r="D58" s="123" t="s">
        <v>190</v>
      </c>
      <c r="E58" s="158" t="s">
        <v>95</v>
      </c>
    </row>
    <row r="59" spans="1:5" x14ac:dyDescent="0.25">
      <c r="A59" s="137"/>
    </row>
    <row r="60" spans="1:5" x14ac:dyDescent="0.25">
      <c r="A60" s="159" t="s">
        <v>43</v>
      </c>
    </row>
    <row r="61" spans="1:5" x14ac:dyDescent="0.25">
      <c r="A61" s="137"/>
    </row>
    <row r="62" spans="1:5" x14ac:dyDescent="0.25">
      <c r="A62" s="137"/>
      <c r="D62" s="138"/>
    </row>
    <row r="63" spans="1:5" x14ac:dyDescent="0.25">
      <c r="A63" s="95"/>
      <c r="D63" s="138"/>
    </row>
    <row r="64" spans="1:5" x14ac:dyDescent="0.25">
      <c r="A64" s="95"/>
      <c r="D64" s="138"/>
    </row>
    <row r="65" spans="1:9" x14ac:dyDescent="0.25">
      <c r="A65" s="95"/>
      <c r="D65" s="138"/>
    </row>
    <row r="66" spans="1:9" x14ac:dyDescent="0.25">
      <c r="A66" s="95"/>
      <c r="D66" s="138"/>
    </row>
    <row r="67" spans="1:9" ht="12" x14ac:dyDescent="0.25">
      <c r="A67" s="160" t="s">
        <v>200</v>
      </c>
      <c r="B67" s="161"/>
    </row>
    <row r="68" spans="1:9" ht="10.5" thickBot="1" x14ac:dyDescent="0.3">
      <c r="A68" s="102"/>
    </row>
    <row r="69" spans="1:9" ht="10.5" thickBot="1" x14ac:dyDescent="0.3">
      <c r="A69" s="162" t="s">
        <v>2</v>
      </c>
      <c r="B69" s="163" t="s">
        <v>40</v>
      </c>
      <c r="C69" s="163"/>
      <c r="D69" s="163" t="s">
        <v>4</v>
      </c>
      <c r="E69" s="164" t="s">
        <v>5</v>
      </c>
    </row>
    <row r="70" spans="1:9" s="168" customFormat="1" x14ac:dyDescent="0.25">
      <c r="A70" s="165"/>
      <c r="B70" s="166" t="s">
        <v>6</v>
      </c>
      <c r="C70" s="166" t="s">
        <v>7</v>
      </c>
      <c r="D70" s="166"/>
      <c r="E70" s="167"/>
      <c r="F70" s="97"/>
      <c r="G70" s="97"/>
      <c r="H70" s="97"/>
      <c r="I70" s="97"/>
    </row>
    <row r="71" spans="1:9" ht="38.25" customHeight="1" x14ac:dyDescent="0.25">
      <c r="A71" s="169" t="s">
        <v>201</v>
      </c>
      <c r="B71" s="170">
        <v>0</v>
      </c>
      <c r="C71" s="170">
        <v>0</v>
      </c>
      <c r="D71" s="18" t="s">
        <v>202</v>
      </c>
      <c r="E71" s="171" t="str">
        <f>'Baseline Emission'!E37</f>
        <v>2006 IPCC default value, vol. 4, ch. 10, tbl. 10.21</v>
      </c>
    </row>
    <row r="72" spans="1:9" ht="12.5" x14ac:dyDescent="0.25">
      <c r="A72" s="169" t="s">
        <v>203</v>
      </c>
      <c r="B72" s="172">
        <f>'Baseline Emission'!B55</f>
        <v>9.5965799999999994</v>
      </c>
      <c r="C72" s="172">
        <f>'Baseline Emission'!C55</f>
        <v>7.0430399999999995</v>
      </c>
      <c r="D72" s="115" t="s">
        <v>30</v>
      </c>
      <c r="E72" s="173" t="s">
        <v>124</v>
      </c>
    </row>
    <row r="73" spans="1:9" ht="12.5" x14ac:dyDescent="0.25">
      <c r="A73" s="174" t="s">
        <v>204</v>
      </c>
      <c r="B73" s="175">
        <f>'Baseline Emission'!B15</f>
        <v>359870</v>
      </c>
      <c r="C73" s="175">
        <f>'Baseline Emission'!C15</f>
        <v>54100</v>
      </c>
      <c r="D73" s="115" t="s">
        <v>15</v>
      </c>
      <c r="E73" s="173" t="str">
        <f>E54</f>
        <v>Project evaluation report</v>
      </c>
      <c r="F73" s="168"/>
      <c r="G73" s="168"/>
      <c r="H73" s="168"/>
      <c r="I73" s="168"/>
    </row>
    <row r="74" spans="1:9" ht="12.5" x14ac:dyDescent="0.25">
      <c r="A74" s="174" t="s">
        <v>205</v>
      </c>
      <c r="B74" s="149">
        <v>0.5</v>
      </c>
      <c r="C74" s="149">
        <f>B74</f>
        <v>0.5</v>
      </c>
      <c r="D74" s="115" t="s">
        <v>117</v>
      </c>
      <c r="E74" s="173" t="s">
        <v>118</v>
      </c>
    </row>
    <row r="75" spans="1:9" ht="12.5" x14ac:dyDescent="0.3">
      <c r="A75" s="176"/>
      <c r="B75" s="177">
        <f>B71*B72*B73*B74</f>
        <v>0</v>
      </c>
      <c r="C75" s="177">
        <f>C71*C72*C73*C74</f>
        <v>0</v>
      </c>
      <c r="D75" s="64" t="s">
        <v>206</v>
      </c>
      <c r="E75" s="173" t="s">
        <v>77</v>
      </c>
    </row>
    <row r="76" spans="1:9" ht="12.5" x14ac:dyDescent="0.3">
      <c r="A76" s="174" t="s">
        <v>201</v>
      </c>
      <c r="B76" s="178">
        <v>6.0000000000000001E-3</v>
      </c>
      <c r="C76" s="178">
        <v>6.0000000000000001E-3</v>
      </c>
      <c r="D76" s="64" t="s">
        <v>206</v>
      </c>
      <c r="E76" s="173" t="s">
        <v>92</v>
      </c>
    </row>
    <row r="77" spans="1:9" ht="12.5" x14ac:dyDescent="0.25">
      <c r="A77" s="174" t="s">
        <v>203</v>
      </c>
      <c r="B77" s="179">
        <f t="shared" ref="B77:D78" si="0">B72</f>
        <v>9.5965799999999994</v>
      </c>
      <c r="C77" s="179">
        <f t="shared" si="0"/>
        <v>7.0430399999999995</v>
      </c>
      <c r="D77" s="115" t="str">
        <f t="shared" si="0"/>
        <v>kg N/animal/year</v>
      </c>
      <c r="E77" s="173" t="s">
        <v>44</v>
      </c>
    </row>
    <row r="78" spans="1:9" ht="12.5" x14ac:dyDescent="0.25">
      <c r="A78" s="174" t="s">
        <v>204</v>
      </c>
      <c r="B78" s="129">
        <f t="shared" si="0"/>
        <v>359870</v>
      </c>
      <c r="C78" s="129">
        <f t="shared" si="0"/>
        <v>54100</v>
      </c>
      <c r="D78" s="115" t="str">
        <f t="shared" si="0"/>
        <v>No of heads</v>
      </c>
      <c r="E78" s="173" t="s">
        <v>118</v>
      </c>
    </row>
    <row r="79" spans="1:9" ht="12.5" x14ac:dyDescent="0.25">
      <c r="A79" s="174" t="s">
        <v>205</v>
      </c>
      <c r="B79" s="132">
        <v>0.65</v>
      </c>
      <c r="C79" s="132">
        <f>B79</f>
        <v>0.65</v>
      </c>
      <c r="D79" s="115" t="s">
        <v>117</v>
      </c>
      <c r="E79" s="173" t="s">
        <v>118</v>
      </c>
    </row>
    <row r="80" spans="1:9" ht="12.5" x14ac:dyDescent="0.3">
      <c r="A80" s="113"/>
      <c r="B80" s="180">
        <f>B76*B77*B78*B79</f>
        <v>13468.73285394</v>
      </c>
      <c r="C80" s="180">
        <f>C76*C77*C78*C79</f>
        <v>1486.0110096000001</v>
      </c>
      <c r="D80" s="64" t="s">
        <v>206</v>
      </c>
      <c r="E80" s="173" t="s">
        <v>77</v>
      </c>
    </row>
    <row r="81" spans="1:9" ht="14" thickBot="1" x14ac:dyDescent="0.35">
      <c r="A81" s="116" t="s">
        <v>207</v>
      </c>
      <c r="B81" s="316">
        <f>B80+C80+B75+C75</f>
        <v>14954.743863540001</v>
      </c>
      <c r="C81" s="317"/>
      <c r="D81" s="181" t="s">
        <v>206</v>
      </c>
      <c r="E81" s="182" t="s">
        <v>77</v>
      </c>
      <c r="G81" s="183"/>
    </row>
    <row r="83" spans="1:9" x14ac:dyDescent="0.25">
      <c r="A83" s="99" t="s">
        <v>45</v>
      </c>
      <c r="B83" s="161"/>
      <c r="C83" s="184"/>
      <c r="D83" s="138"/>
      <c r="E83" s="184"/>
    </row>
    <row r="84" spans="1:9" x14ac:dyDescent="0.25">
      <c r="A84" s="99"/>
      <c r="B84" s="161"/>
      <c r="C84" s="184"/>
      <c r="D84" s="138"/>
      <c r="E84" s="184"/>
    </row>
    <row r="85" spans="1:9" ht="10.5" thickBot="1" x14ac:dyDescent="0.3">
      <c r="A85" s="99" t="s">
        <v>208</v>
      </c>
      <c r="B85" s="161"/>
      <c r="C85" s="184"/>
      <c r="D85" s="184"/>
      <c r="E85" s="184"/>
    </row>
    <row r="86" spans="1:9" ht="10.5" thickBot="1" x14ac:dyDescent="0.3">
      <c r="A86" s="185" t="s">
        <v>2</v>
      </c>
      <c r="B86" s="163" t="s">
        <v>40</v>
      </c>
      <c r="C86" s="163"/>
      <c r="D86" s="163" t="s">
        <v>4</v>
      </c>
      <c r="E86" s="164" t="s">
        <v>5</v>
      </c>
    </row>
    <row r="87" spans="1:9" x14ac:dyDescent="0.25">
      <c r="A87" s="165"/>
      <c r="B87" s="166" t="str">
        <f>B70</f>
        <v>Market Swine</v>
      </c>
      <c r="C87" s="166" t="str">
        <f>C70</f>
        <v>Breeding Swine</v>
      </c>
      <c r="D87" s="166"/>
      <c r="E87" s="167"/>
    </row>
    <row r="88" spans="1:9" s="168" customFormat="1" ht="12.5" x14ac:dyDescent="0.25">
      <c r="A88" s="169" t="s">
        <v>209</v>
      </c>
      <c r="B88" s="111">
        <v>0.01</v>
      </c>
      <c r="C88" s="111">
        <f>B88</f>
        <v>0.01</v>
      </c>
      <c r="D88" s="18" t="s">
        <v>202</v>
      </c>
      <c r="E88" s="173" t="s">
        <v>46</v>
      </c>
      <c r="F88" s="97"/>
      <c r="G88" s="97"/>
      <c r="H88" s="97"/>
      <c r="I88" s="97"/>
    </row>
    <row r="89" spans="1:9" ht="30" x14ac:dyDescent="0.25">
      <c r="A89" s="174" t="s">
        <v>210</v>
      </c>
      <c r="B89" s="132">
        <v>0.4</v>
      </c>
      <c r="C89" s="132">
        <v>0.4</v>
      </c>
      <c r="D89" s="115" t="s">
        <v>117</v>
      </c>
      <c r="E89" s="171" t="s">
        <v>93</v>
      </c>
    </row>
    <row r="90" spans="1:9" ht="12.5" x14ac:dyDescent="0.25">
      <c r="A90" s="174" t="s">
        <v>203</v>
      </c>
      <c r="B90" s="186">
        <f>B72</f>
        <v>9.5965799999999994</v>
      </c>
      <c r="C90" s="186">
        <f>C72</f>
        <v>7.0430399999999995</v>
      </c>
      <c r="D90" s="115" t="str">
        <f>D77</f>
        <v>kg N/animal/year</v>
      </c>
      <c r="E90" s="173" t="s">
        <v>44</v>
      </c>
    </row>
    <row r="91" spans="1:9" ht="12.5" x14ac:dyDescent="0.25">
      <c r="A91" s="174" t="s">
        <v>204</v>
      </c>
      <c r="B91" s="175">
        <f>'Baseline Emission'!B15</f>
        <v>359870</v>
      </c>
      <c r="C91" s="175">
        <f>'Baseline Emission'!C15</f>
        <v>54100</v>
      </c>
      <c r="D91" s="115" t="str">
        <f>D78</f>
        <v>No of heads</v>
      </c>
      <c r="E91" s="173" t="s">
        <v>118</v>
      </c>
      <c r="F91" s="168"/>
      <c r="G91" s="168"/>
      <c r="H91" s="168"/>
      <c r="I91" s="168"/>
    </row>
    <row r="92" spans="1:9" ht="12.5" x14ac:dyDescent="0.25">
      <c r="A92" s="174" t="s">
        <v>205</v>
      </c>
      <c r="B92" s="187">
        <v>0.5</v>
      </c>
      <c r="C92" s="187">
        <v>0.5</v>
      </c>
      <c r="D92" s="115" t="s">
        <v>8</v>
      </c>
      <c r="E92" s="188" t="s">
        <v>118</v>
      </c>
    </row>
    <row r="93" spans="1:9" ht="12.5" x14ac:dyDescent="0.3">
      <c r="A93" s="174" t="s">
        <v>167</v>
      </c>
      <c r="B93" s="115">
        <v>265</v>
      </c>
      <c r="C93" s="115">
        <v>265</v>
      </c>
      <c r="D93" s="64" t="s">
        <v>211</v>
      </c>
      <c r="E93" s="171" t="str">
        <f>D25</f>
        <v>IPCC AR5</v>
      </c>
    </row>
    <row r="94" spans="1:9" ht="12.5" x14ac:dyDescent="0.3">
      <c r="A94" s="130"/>
      <c r="B94" s="180">
        <f>ROUNDUP(B88*B89*B90*B91*B92,0)</f>
        <v>6908</v>
      </c>
      <c r="C94" s="180">
        <f>ROUNDUP(C88*C89*C90*C91*C92,0)</f>
        <v>763</v>
      </c>
      <c r="D94" s="64" t="s">
        <v>206</v>
      </c>
      <c r="E94" s="173" t="s">
        <v>77</v>
      </c>
    </row>
    <row r="95" spans="1:9" ht="12.5" x14ac:dyDescent="0.25">
      <c r="A95" s="189" t="s">
        <v>212</v>
      </c>
      <c r="B95" s="111">
        <v>0.01</v>
      </c>
      <c r="C95" s="111">
        <f>B95</f>
        <v>0.01</v>
      </c>
      <c r="D95" s="115" t="str">
        <f>D88</f>
        <v>kg N2O/kg N</v>
      </c>
      <c r="E95" s="173" t="s">
        <v>46</v>
      </c>
    </row>
    <row r="96" spans="1:9" ht="30" x14ac:dyDescent="0.25">
      <c r="A96" s="174" t="s">
        <v>210</v>
      </c>
      <c r="B96" s="132">
        <v>0.45</v>
      </c>
      <c r="C96" s="132">
        <v>0.45</v>
      </c>
      <c r="D96" s="115" t="s">
        <v>117</v>
      </c>
      <c r="E96" s="171" t="s">
        <v>47</v>
      </c>
    </row>
    <row r="97" spans="1:5" ht="12.5" x14ac:dyDescent="0.25">
      <c r="A97" s="174" t="s">
        <v>203</v>
      </c>
      <c r="B97" s="186">
        <f>B90</f>
        <v>9.5965799999999994</v>
      </c>
      <c r="C97" s="186">
        <f>C90</f>
        <v>7.0430399999999995</v>
      </c>
      <c r="D97" s="115" t="str">
        <f>D90</f>
        <v>kg N/animal/year</v>
      </c>
      <c r="E97" s="173" t="str">
        <f>'Baseline Emission'!E43</f>
        <v>Calculated</v>
      </c>
    </row>
    <row r="98" spans="1:5" ht="12.5" x14ac:dyDescent="0.25">
      <c r="A98" s="174" t="s">
        <v>204</v>
      </c>
      <c r="B98" s="175">
        <f>B91</f>
        <v>359870</v>
      </c>
      <c r="C98" s="175">
        <f>C91</f>
        <v>54100</v>
      </c>
      <c r="D98" s="115" t="str">
        <f>'Baseline Emission'!D15</f>
        <v>No of heads</v>
      </c>
      <c r="E98" s="173" t="str">
        <f>'Baseline Emission'!E15</f>
        <v>Project evaluation report</v>
      </c>
    </row>
    <row r="99" spans="1:5" ht="12.5" x14ac:dyDescent="0.25">
      <c r="A99" s="174" t="s">
        <v>205</v>
      </c>
      <c r="B99" s="149">
        <f>B79</f>
        <v>0.65</v>
      </c>
      <c r="C99" s="149">
        <f>B79</f>
        <v>0.65</v>
      </c>
      <c r="D99" s="115" t="s">
        <v>8</v>
      </c>
      <c r="E99" s="188" t="s">
        <v>21</v>
      </c>
    </row>
    <row r="100" spans="1:5" ht="12.5" x14ac:dyDescent="0.3">
      <c r="A100" s="174" t="s">
        <v>167</v>
      </c>
      <c r="B100" s="115">
        <v>265</v>
      </c>
      <c r="C100" s="115">
        <v>265</v>
      </c>
      <c r="D100" s="64" t="s">
        <v>211</v>
      </c>
      <c r="E100" s="173" t="s">
        <v>104</v>
      </c>
    </row>
    <row r="101" spans="1:5" ht="12.5" x14ac:dyDescent="0.3">
      <c r="A101" s="130"/>
      <c r="B101" s="180">
        <f>ROUNDUP(B95*B96*B97*B98*B99,0)</f>
        <v>10102</v>
      </c>
      <c r="C101" s="180">
        <f>ROUNDUP(C95*C96*C97*C98*C99,0)</f>
        <v>1115</v>
      </c>
      <c r="D101" s="64" t="s">
        <v>206</v>
      </c>
      <c r="E101" s="173" t="s">
        <v>77</v>
      </c>
    </row>
    <row r="102" spans="1:5" ht="13" thickBot="1" x14ac:dyDescent="0.35">
      <c r="A102" s="116" t="s">
        <v>213</v>
      </c>
      <c r="B102" s="315">
        <f>B101+C101+B94+C94</f>
        <v>18888</v>
      </c>
      <c r="C102" s="315"/>
      <c r="D102" s="181" t="s">
        <v>206</v>
      </c>
      <c r="E102" s="182" t="s">
        <v>77</v>
      </c>
    </row>
    <row r="103" spans="1:5" x14ac:dyDescent="0.25">
      <c r="A103" s="102"/>
      <c r="B103" s="190"/>
      <c r="C103" s="191"/>
      <c r="D103" s="184"/>
      <c r="E103" s="184"/>
    </row>
    <row r="104" spans="1:5" ht="12" x14ac:dyDescent="0.25">
      <c r="A104" s="192" t="s">
        <v>214</v>
      </c>
      <c r="B104" s="193"/>
      <c r="C104" s="310">
        <f>ROUNDUP(B93*44/28*1/1000*(B81+B102),0)</f>
        <v>14094</v>
      </c>
      <c r="D104" s="310"/>
      <c r="E104" s="194"/>
    </row>
    <row r="105" spans="1:5" x14ac:dyDescent="0.25">
      <c r="A105" s="195"/>
      <c r="B105" s="195"/>
      <c r="C105" s="195"/>
      <c r="D105" s="195"/>
      <c r="E105" s="195"/>
    </row>
    <row r="108" spans="1:5" ht="12" x14ac:dyDescent="0.25">
      <c r="A108" s="196" t="s">
        <v>215</v>
      </c>
      <c r="B108" s="197">
        <f>ROUNDUP(B41+B58+C104,0)</f>
        <v>36621</v>
      </c>
      <c r="D108" s="198"/>
    </row>
    <row r="111" spans="1:5" x14ac:dyDescent="0.25">
      <c r="A111" s="199"/>
      <c r="B111" s="200"/>
      <c r="C111" s="199"/>
      <c r="D111" s="199"/>
    </row>
  </sheetData>
  <customSheetViews>
    <customSheetView guid="{2C071143-29D6-4036-A926-BF7E54293313}" hiddenRows="1" showRuler="0" topLeftCell="A61">
      <selection activeCell="B20" sqref="B20:C20"/>
      <pageMargins left="0.75" right="0.75" top="1" bottom="1" header="0.5" footer="0.5"/>
      <pageSetup paperSize="9" orientation="portrait"/>
      <headerFooter alignWithMargins="0"/>
    </customSheetView>
  </customSheetViews>
  <mergeCells count="22">
    <mergeCell ref="D13:E13"/>
    <mergeCell ref="D24:E24"/>
    <mergeCell ref="D25:E25"/>
    <mergeCell ref="D26:E26"/>
    <mergeCell ref="D27:E27"/>
    <mergeCell ref="D14:E14"/>
    <mergeCell ref="D16:E16"/>
    <mergeCell ref="D28:E28"/>
    <mergeCell ref="D17:E17"/>
    <mergeCell ref="B46:C46"/>
    <mergeCell ref="D15:E15"/>
    <mergeCell ref="D40:E40"/>
    <mergeCell ref="D18:E18"/>
    <mergeCell ref="D41:E41"/>
    <mergeCell ref="C104:D104"/>
    <mergeCell ref="D36:E36"/>
    <mergeCell ref="D37:E37"/>
    <mergeCell ref="D38:E38"/>
    <mergeCell ref="D39:E39"/>
    <mergeCell ref="B102:C102"/>
    <mergeCell ref="B81:C81"/>
    <mergeCell ref="B58:C58"/>
  </mergeCells>
  <phoneticPr fontId="5" type="noConversion"/>
  <pageMargins left="0.75" right="0.75" top="1" bottom="1" header="0.5" footer="0.5"/>
  <pageSetup paperSize="9" orientation="portrait" r:id="rId1"/>
  <headerFooter alignWithMargins="0"/>
  <ignoredErrors>
    <ignoredError sqref="E9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5"/>
  <sheetViews>
    <sheetView topLeftCell="A132" zoomScale="90" zoomScaleNormal="90" workbookViewId="0">
      <selection activeCell="D132" sqref="D132"/>
    </sheetView>
  </sheetViews>
  <sheetFormatPr defaultColWidth="9" defaultRowHeight="11.5" x14ac:dyDescent="0.25"/>
  <cols>
    <col min="1" max="1" width="42.7265625" style="1" customWidth="1"/>
    <col min="2" max="2" width="19.1796875" style="1" customWidth="1"/>
    <col min="3" max="3" width="17.54296875" style="1" customWidth="1"/>
    <col min="4" max="4" width="28.81640625" style="1" customWidth="1"/>
    <col min="5" max="5" width="53.26953125" style="1" customWidth="1"/>
    <col min="6" max="16384" width="9" style="1"/>
  </cols>
  <sheetData>
    <row r="1" spans="1:4" x14ac:dyDescent="0.25">
      <c r="A1" s="39" t="s">
        <v>48</v>
      </c>
    </row>
    <row r="2" spans="1:4" x14ac:dyDescent="0.25">
      <c r="A2" s="39"/>
      <c r="B2" s="40"/>
    </row>
    <row r="3" spans="1:4" x14ac:dyDescent="0.25">
      <c r="A3" s="39"/>
    </row>
    <row r="4" spans="1:4" x14ac:dyDescent="0.25">
      <c r="A4" s="1" t="s">
        <v>49</v>
      </c>
    </row>
    <row r="5" spans="1:4" x14ac:dyDescent="0.25">
      <c r="A5" s="39"/>
      <c r="D5" s="43"/>
    </row>
    <row r="6" spans="1:4" x14ac:dyDescent="0.25">
      <c r="A6" s="39"/>
      <c r="D6" s="43"/>
    </row>
    <row r="7" spans="1:4" x14ac:dyDescent="0.25">
      <c r="A7" s="39"/>
      <c r="D7" s="43"/>
    </row>
    <row r="8" spans="1:4" x14ac:dyDescent="0.25">
      <c r="A8" s="39"/>
      <c r="D8" s="43"/>
    </row>
    <row r="9" spans="1:4" x14ac:dyDescent="0.25">
      <c r="A9" s="39"/>
      <c r="D9" s="43"/>
    </row>
    <row r="10" spans="1:4" x14ac:dyDescent="0.25">
      <c r="A10" s="39"/>
      <c r="D10" s="43"/>
    </row>
    <row r="11" spans="1:4" x14ac:dyDescent="0.25">
      <c r="A11" s="39"/>
      <c r="D11" s="43"/>
    </row>
    <row r="12" spans="1:4" x14ac:dyDescent="0.25">
      <c r="A12" s="39"/>
      <c r="D12" s="43"/>
    </row>
    <row r="13" spans="1:4" x14ac:dyDescent="0.25">
      <c r="A13" s="39"/>
      <c r="D13" s="43"/>
    </row>
    <row r="14" spans="1:4" x14ac:dyDescent="0.25">
      <c r="A14" s="39"/>
      <c r="D14" s="43"/>
    </row>
    <row r="15" spans="1:4" x14ac:dyDescent="0.25">
      <c r="A15" s="39"/>
      <c r="D15" s="43"/>
    </row>
    <row r="16" spans="1:4" x14ac:dyDescent="0.25">
      <c r="A16" s="39"/>
      <c r="D16" s="43"/>
    </row>
    <row r="17" spans="1:5" x14ac:dyDescent="0.25">
      <c r="A17" s="39"/>
      <c r="D17" s="43"/>
    </row>
    <row r="18" spans="1:5" x14ac:dyDescent="0.25">
      <c r="A18" s="39"/>
    </row>
    <row r="19" spans="1:5" ht="12" thickBot="1" x14ac:dyDescent="0.3">
      <c r="A19" s="39"/>
    </row>
    <row r="20" spans="1:5" ht="12" thickBot="1" x14ac:dyDescent="0.3">
      <c r="A20" s="202" t="s">
        <v>2</v>
      </c>
      <c r="B20" s="203" t="s">
        <v>40</v>
      </c>
      <c r="C20" s="203"/>
      <c r="D20" s="204" t="s">
        <v>4</v>
      </c>
      <c r="E20" s="205" t="s">
        <v>5</v>
      </c>
    </row>
    <row r="21" spans="1:5" x14ac:dyDescent="0.25">
      <c r="A21" s="206"/>
      <c r="B21" s="207" t="str">
        <f>B138</f>
        <v>Market Swine</v>
      </c>
      <c r="C21" s="207" t="str">
        <f>C138</f>
        <v>Breeding Swine</v>
      </c>
      <c r="D21" s="52"/>
      <c r="E21" s="208"/>
    </row>
    <row r="22" spans="1:5" s="44" customFormat="1" ht="12.5" x14ac:dyDescent="0.25">
      <c r="A22" s="209" t="s">
        <v>204</v>
      </c>
      <c r="B22" s="210">
        <f>'Baseline Emission'!B15</f>
        <v>359870</v>
      </c>
      <c r="C22" s="210">
        <f>'Baseline Emission'!C15</f>
        <v>54100</v>
      </c>
      <c r="D22" s="18" t="str">
        <f>'Baseline Emission'!D15</f>
        <v>No of heads</v>
      </c>
      <c r="E22" s="65" t="str">
        <f>'Baseline Emission'!E15</f>
        <v>Project evaluation report</v>
      </c>
    </row>
    <row r="23" spans="1:5" ht="12.5" x14ac:dyDescent="0.25">
      <c r="A23" s="209" t="s">
        <v>216</v>
      </c>
      <c r="B23" s="211">
        <f>'Baseline Emission'!B38</f>
        <v>0.42</v>
      </c>
      <c r="C23" s="212">
        <f>'Baseline Emission'!C38</f>
        <v>0.24</v>
      </c>
      <c r="D23" s="18" t="s">
        <v>27</v>
      </c>
      <c r="E23" s="213" t="s">
        <v>28</v>
      </c>
    </row>
    <row r="24" spans="1:5" ht="12.5" x14ac:dyDescent="0.25">
      <c r="A24" s="214" t="s">
        <v>203</v>
      </c>
      <c r="B24" s="215">
        <f>'Baseline Emission'!B43</f>
        <v>9.5965799999999994</v>
      </c>
      <c r="C24" s="215">
        <f>'Baseline Emission'!C43</f>
        <v>7.0430399999999995</v>
      </c>
      <c r="D24" s="18" t="str">
        <f>'Baseline Emission'!D43</f>
        <v>kg N/animal/year</v>
      </c>
      <c r="E24" s="213" t="s">
        <v>51</v>
      </c>
    </row>
    <row r="25" spans="1:5" s="44" customFormat="1" ht="23" x14ac:dyDescent="0.25">
      <c r="A25" s="214" t="s">
        <v>217</v>
      </c>
      <c r="B25" s="216">
        <v>0.8</v>
      </c>
      <c r="C25" s="216">
        <v>0.8</v>
      </c>
      <c r="D25" s="18" t="s">
        <v>117</v>
      </c>
      <c r="E25" s="217" t="s">
        <v>126</v>
      </c>
    </row>
    <row r="26" spans="1:5" ht="12.5" x14ac:dyDescent="0.25">
      <c r="A26" s="214" t="s">
        <v>218</v>
      </c>
      <c r="B26" s="211">
        <v>0.01</v>
      </c>
      <c r="C26" s="211">
        <v>0.01</v>
      </c>
      <c r="D26" s="18" t="s">
        <v>53</v>
      </c>
      <c r="E26" s="217" t="s">
        <v>54</v>
      </c>
    </row>
    <row r="27" spans="1:5" ht="12.5" x14ac:dyDescent="0.25">
      <c r="A27" s="214" t="s">
        <v>219</v>
      </c>
      <c r="B27" s="211">
        <v>7.4999999999999997E-3</v>
      </c>
      <c r="C27" s="211">
        <v>7.4999999999999997E-3</v>
      </c>
      <c r="D27" s="18" t="s">
        <v>53</v>
      </c>
      <c r="E27" s="217" t="s">
        <v>56</v>
      </c>
    </row>
    <row r="28" spans="1:5" ht="12.5" x14ac:dyDescent="0.25">
      <c r="A28" s="214" t="s">
        <v>220</v>
      </c>
      <c r="B28" s="211">
        <v>0.01</v>
      </c>
      <c r="C28" s="211">
        <v>0.01</v>
      </c>
      <c r="D28" s="64" t="s">
        <v>125</v>
      </c>
      <c r="E28" s="217" t="s">
        <v>56</v>
      </c>
    </row>
    <row r="29" spans="1:5" ht="12.5" x14ac:dyDescent="0.25">
      <c r="A29" s="214" t="s">
        <v>221</v>
      </c>
      <c r="B29" s="211">
        <v>0.3</v>
      </c>
      <c r="C29" s="211">
        <v>0.3</v>
      </c>
      <c r="D29" s="18" t="s">
        <v>117</v>
      </c>
      <c r="E29" s="217" t="s">
        <v>56</v>
      </c>
    </row>
    <row r="30" spans="1:5" ht="12.5" x14ac:dyDescent="0.25">
      <c r="A30" s="214" t="s">
        <v>222</v>
      </c>
      <c r="B30" s="211">
        <v>0.2</v>
      </c>
      <c r="C30" s="211">
        <v>0.2</v>
      </c>
      <c r="D30" s="18" t="s">
        <v>117</v>
      </c>
      <c r="E30" s="217" t="s">
        <v>58</v>
      </c>
    </row>
    <row r="31" spans="1:5" ht="12.5" x14ac:dyDescent="0.3">
      <c r="A31" s="174" t="s">
        <v>167</v>
      </c>
      <c r="B31" s="218">
        <v>265</v>
      </c>
      <c r="C31" s="218">
        <v>265</v>
      </c>
      <c r="D31" s="64" t="s">
        <v>211</v>
      </c>
      <c r="E31" s="219" t="s">
        <v>223</v>
      </c>
    </row>
    <row r="32" spans="1:5" ht="12.5" x14ac:dyDescent="0.3">
      <c r="A32" s="220" t="s">
        <v>224</v>
      </c>
      <c r="B32" s="221">
        <f>ROUNDDOWN(B26*(1-B25)*B24*B22,0)</f>
        <v>6907</v>
      </c>
      <c r="C32" s="221">
        <f>ROUNDDOWN(C26*(1-C25)*C24*C22,0)</f>
        <v>762</v>
      </c>
      <c r="D32" s="64" t="s">
        <v>206</v>
      </c>
      <c r="E32" s="213" t="s">
        <v>42</v>
      </c>
    </row>
    <row r="33" spans="1:5" ht="12.5" x14ac:dyDescent="0.3">
      <c r="A33" s="220"/>
      <c r="B33" s="330">
        <f>B32+C32</f>
        <v>7669</v>
      </c>
      <c r="C33" s="330"/>
      <c r="D33" s="64" t="s">
        <v>206</v>
      </c>
      <c r="E33" s="213" t="s">
        <v>42</v>
      </c>
    </row>
    <row r="34" spans="1:5" ht="12.5" x14ac:dyDescent="0.3">
      <c r="A34" s="220" t="s">
        <v>225</v>
      </c>
      <c r="B34" s="221">
        <f>B27*B29*(1-B25)*B24*B22</f>
        <v>1554.0845600699993</v>
      </c>
      <c r="C34" s="221">
        <f>C27*C29*(1-C25)*C24*C22</f>
        <v>171.46280879999995</v>
      </c>
      <c r="D34" s="64" t="s">
        <v>206</v>
      </c>
      <c r="E34" s="213" t="s">
        <v>42</v>
      </c>
    </row>
    <row r="35" spans="1:5" ht="12.5" x14ac:dyDescent="0.3">
      <c r="A35" s="220"/>
      <c r="B35" s="330">
        <f>B34+C34</f>
        <v>1725.5473688699992</v>
      </c>
      <c r="C35" s="330"/>
      <c r="D35" s="64" t="s">
        <v>206</v>
      </c>
      <c r="E35" s="213" t="s">
        <v>42</v>
      </c>
    </row>
    <row r="36" spans="1:5" ht="12.5" x14ac:dyDescent="0.3">
      <c r="A36" s="220" t="s">
        <v>226</v>
      </c>
      <c r="B36" s="221">
        <f>B28*(1-B25)*B30*B24*B22</f>
        <v>1381.4084978399999</v>
      </c>
      <c r="C36" s="221">
        <f>C28*(1-C25)*C30*C24*C22</f>
        <v>152.41138559999999</v>
      </c>
      <c r="D36" s="64" t="s">
        <v>206</v>
      </c>
      <c r="E36" s="213" t="s">
        <v>42</v>
      </c>
    </row>
    <row r="37" spans="1:5" ht="12.5" x14ac:dyDescent="0.3">
      <c r="A37" s="220"/>
      <c r="B37" s="330">
        <f>B36+C36</f>
        <v>1533.8198834399998</v>
      </c>
      <c r="C37" s="330"/>
      <c r="D37" s="64" t="s">
        <v>206</v>
      </c>
      <c r="E37" s="213" t="s">
        <v>42</v>
      </c>
    </row>
    <row r="38" spans="1:5" ht="13" thickBot="1" x14ac:dyDescent="0.35">
      <c r="A38" s="222" t="s">
        <v>227</v>
      </c>
      <c r="B38" s="327">
        <f>ROUNDDOWN(B31*44/28*1/1000*(B33+B35+B37),0)</f>
        <v>4550</v>
      </c>
      <c r="C38" s="328"/>
      <c r="D38" s="223" t="s">
        <v>228</v>
      </c>
      <c r="E38" s="224" t="s">
        <v>42</v>
      </c>
    </row>
    <row r="39" spans="1:5" x14ac:dyDescent="0.25">
      <c r="A39" s="225"/>
      <c r="B39" s="226"/>
      <c r="C39" s="226"/>
    </row>
    <row r="40" spans="1:5" x14ac:dyDescent="0.25">
      <c r="A40" s="225"/>
      <c r="B40" s="226"/>
      <c r="C40" s="226"/>
    </row>
    <row r="41" spans="1:5" x14ac:dyDescent="0.25">
      <c r="A41" s="225"/>
      <c r="B41" s="226"/>
      <c r="C41" s="226"/>
      <c r="D41" s="43"/>
    </row>
    <row r="42" spans="1:5" x14ac:dyDescent="0.25">
      <c r="A42" s="225"/>
      <c r="B42" s="226"/>
      <c r="C42" s="226"/>
      <c r="D42" s="43"/>
    </row>
    <row r="43" spans="1:5" x14ac:dyDescent="0.25">
      <c r="A43" s="225"/>
      <c r="B43" s="226"/>
      <c r="C43" s="226"/>
      <c r="D43" s="43"/>
    </row>
    <row r="44" spans="1:5" x14ac:dyDescent="0.25">
      <c r="A44" s="225"/>
      <c r="B44" s="226"/>
      <c r="C44" s="226"/>
      <c r="D44" s="43"/>
    </row>
    <row r="45" spans="1:5" x14ac:dyDescent="0.25">
      <c r="A45" s="225"/>
      <c r="B45" s="226"/>
      <c r="C45" s="226"/>
      <c r="D45" s="43"/>
    </row>
    <row r="46" spans="1:5" x14ac:dyDescent="0.25">
      <c r="A46" s="225"/>
      <c r="B46" s="226"/>
      <c r="C46" s="226"/>
      <c r="D46" s="43"/>
    </row>
    <row r="47" spans="1:5" x14ac:dyDescent="0.25">
      <c r="A47" s="225"/>
      <c r="B47" s="226"/>
      <c r="C47" s="226"/>
      <c r="D47" s="43"/>
    </row>
    <row r="48" spans="1:5" x14ac:dyDescent="0.25">
      <c r="A48" s="225"/>
      <c r="B48" s="226"/>
      <c r="C48" s="226"/>
      <c r="D48" s="43"/>
    </row>
    <row r="49" spans="1:5" x14ac:dyDescent="0.25">
      <c r="A49" s="225"/>
      <c r="B49" s="226"/>
      <c r="C49" s="226"/>
      <c r="D49" s="43"/>
    </row>
    <row r="50" spans="1:5" x14ac:dyDescent="0.25">
      <c r="A50" s="225"/>
      <c r="B50" s="226"/>
      <c r="C50" s="226"/>
      <c r="D50" s="43"/>
    </row>
    <row r="51" spans="1:5" x14ac:dyDescent="0.25">
      <c r="A51" s="225"/>
      <c r="B51" s="226"/>
      <c r="C51" s="226"/>
      <c r="D51" s="43"/>
    </row>
    <row r="52" spans="1:5" x14ac:dyDescent="0.25">
      <c r="A52" s="225"/>
      <c r="B52" s="226"/>
      <c r="C52" s="226"/>
      <c r="D52" s="43"/>
    </row>
    <row r="53" spans="1:5" x14ac:dyDescent="0.25">
      <c r="A53" s="225"/>
      <c r="B53" s="226"/>
      <c r="C53" s="226"/>
      <c r="D53" s="43"/>
    </row>
    <row r="54" spans="1:5" ht="12" thickBot="1" x14ac:dyDescent="0.3">
      <c r="A54" s="225"/>
      <c r="B54" s="226"/>
      <c r="C54" s="226"/>
    </row>
    <row r="55" spans="1:5" ht="12" thickBot="1" x14ac:dyDescent="0.3">
      <c r="A55" s="227" t="s">
        <v>2</v>
      </c>
      <c r="B55" s="228" t="s">
        <v>40</v>
      </c>
      <c r="C55" s="228"/>
      <c r="D55" s="228" t="s">
        <v>4</v>
      </c>
      <c r="E55" s="229" t="s">
        <v>5</v>
      </c>
    </row>
    <row r="56" spans="1:5" x14ac:dyDescent="0.25">
      <c r="A56" s="230"/>
      <c r="B56" s="231" t="s">
        <v>6</v>
      </c>
      <c r="C56" s="231" t="s">
        <v>7</v>
      </c>
      <c r="D56" s="231"/>
      <c r="E56" s="232"/>
    </row>
    <row r="57" spans="1:5" x14ac:dyDescent="0.25">
      <c r="A57" s="209" t="s">
        <v>100</v>
      </c>
      <c r="B57" s="210">
        <f>'Baseline Emission'!B15</f>
        <v>359870</v>
      </c>
      <c r="C57" s="210">
        <f>'Baseline Emission'!C15</f>
        <v>54100</v>
      </c>
      <c r="D57" s="64" t="s">
        <v>15</v>
      </c>
      <c r="E57" s="65" t="s">
        <v>118</v>
      </c>
    </row>
    <row r="58" spans="1:5" ht="12.5" x14ac:dyDescent="0.25">
      <c r="A58" s="209" t="s">
        <v>229</v>
      </c>
      <c r="B58" s="233">
        <f>B24</f>
        <v>9.5965799999999994</v>
      </c>
      <c r="C58" s="233">
        <f>C24</f>
        <v>7.0430399999999995</v>
      </c>
      <c r="D58" s="64" t="s">
        <v>30</v>
      </c>
      <c r="E58" s="213" t="s">
        <v>51</v>
      </c>
    </row>
    <row r="59" spans="1:5" ht="41.25" customHeight="1" x14ac:dyDescent="0.25">
      <c r="A59" s="209" t="s">
        <v>230</v>
      </c>
      <c r="B59" s="216">
        <v>0.25</v>
      </c>
      <c r="C59" s="216">
        <f>B59</f>
        <v>0.25</v>
      </c>
      <c r="D59" s="18" t="s">
        <v>117</v>
      </c>
      <c r="E59" s="219" t="s">
        <v>126</v>
      </c>
    </row>
    <row r="60" spans="1:5" x14ac:dyDescent="0.25">
      <c r="A60" s="209" t="s">
        <v>230</v>
      </c>
      <c r="B60" s="216">
        <v>0.05</v>
      </c>
      <c r="C60" s="216">
        <v>0.05</v>
      </c>
      <c r="D60" s="18" t="s">
        <v>117</v>
      </c>
      <c r="E60" s="217"/>
    </row>
    <row r="61" spans="1:5" x14ac:dyDescent="0.25">
      <c r="A61" s="209" t="s">
        <v>52</v>
      </c>
      <c r="B61" s="234">
        <v>0.01</v>
      </c>
      <c r="C61" s="234">
        <v>0.01</v>
      </c>
      <c r="D61" s="64" t="s">
        <v>53</v>
      </c>
      <c r="E61" s="213" t="s">
        <v>54</v>
      </c>
    </row>
    <row r="62" spans="1:5" x14ac:dyDescent="0.25">
      <c r="A62" s="209" t="s">
        <v>55</v>
      </c>
      <c r="B62" s="234">
        <v>7.4999999999999997E-3</v>
      </c>
      <c r="C62" s="234">
        <v>7.4999999999999997E-3</v>
      </c>
      <c r="D62" s="64" t="s">
        <v>53</v>
      </c>
      <c r="E62" s="213" t="s">
        <v>56</v>
      </c>
    </row>
    <row r="63" spans="1:5" x14ac:dyDescent="0.25">
      <c r="A63" s="209" t="s">
        <v>57</v>
      </c>
      <c r="B63" s="234">
        <v>0.01</v>
      </c>
      <c r="C63" s="234">
        <v>0.01</v>
      </c>
      <c r="D63" s="64" t="s">
        <v>125</v>
      </c>
      <c r="E63" s="213" t="s">
        <v>56</v>
      </c>
    </row>
    <row r="64" spans="1:5" ht="12.5" x14ac:dyDescent="0.25">
      <c r="A64" s="214" t="s">
        <v>221</v>
      </c>
      <c r="B64" s="234">
        <v>0.3</v>
      </c>
      <c r="C64" s="234">
        <v>0.3</v>
      </c>
      <c r="D64" s="18" t="s">
        <v>117</v>
      </c>
      <c r="E64" s="213" t="s">
        <v>56</v>
      </c>
    </row>
    <row r="65" spans="1:5" ht="34.5" x14ac:dyDescent="0.25">
      <c r="A65" s="214" t="s">
        <v>222</v>
      </c>
      <c r="B65" s="234">
        <v>0.2</v>
      </c>
      <c r="C65" s="234">
        <v>0.2</v>
      </c>
      <c r="D65" s="18" t="s">
        <v>117</v>
      </c>
      <c r="E65" s="217" t="s">
        <v>60</v>
      </c>
    </row>
    <row r="66" spans="1:5" ht="12.5" x14ac:dyDescent="0.25">
      <c r="A66" s="174" t="s">
        <v>167</v>
      </c>
      <c r="B66" s="234">
        <f>B31</f>
        <v>265</v>
      </c>
      <c r="C66" s="234">
        <f>C31</f>
        <v>265</v>
      </c>
      <c r="D66" s="248" t="str">
        <f>D31</f>
        <v>tCO2/tN2O</v>
      </c>
      <c r="E66" s="235" t="str">
        <f>E31</f>
        <v>Global Warming Potential tCO2/tN2O</v>
      </c>
    </row>
    <row r="67" spans="1:5" ht="12.5" x14ac:dyDescent="0.3">
      <c r="A67" s="220" t="s">
        <v>231</v>
      </c>
      <c r="B67" s="236">
        <f>B61*(1-B59)*(1-B60)*B58*B57</f>
        <v>24606.338867774997</v>
      </c>
      <c r="C67" s="236">
        <f>C61*(1-C59)*(1-C60)*C58*C57</f>
        <v>2714.8278059999993</v>
      </c>
      <c r="D67" s="64" t="s">
        <v>206</v>
      </c>
      <c r="E67" s="213" t="s">
        <v>42</v>
      </c>
    </row>
    <row r="68" spans="1:5" ht="12.5" x14ac:dyDescent="0.3">
      <c r="A68" s="220"/>
      <c r="B68" s="331">
        <f>B67+C67</f>
        <v>27321.166673774998</v>
      </c>
      <c r="C68" s="331"/>
      <c r="D68" s="64" t="s">
        <v>206</v>
      </c>
      <c r="E68" s="213" t="s">
        <v>42</v>
      </c>
    </row>
    <row r="69" spans="1:5" ht="12.5" x14ac:dyDescent="0.3">
      <c r="A69" s="220" t="s">
        <v>232</v>
      </c>
      <c r="B69" s="237">
        <f>B62*B64*(1-B59)*(1-B60)*B58*B57</f>
        <v>5536.426245249374</v>
      </c>
      <c r="C69" s="237">
        <f>C62*C64*(1-C59)*(1-C60)*C58*C57</f>
        <v>610.83625634999987</v>
      </c>
      <c r="D69" s="64" t="s">
        <v>206</v>
      </c>
      <c r="E69" s="213" t="s">
        <v>42</v>
      </c>
    </row>
    <row r="70" spans="1:5" ht="12.5" x14ac:dyDescent="0.3">
      <c r="A70" s="220"/>
      <c r="B70" s="331">
        <f>B69+C69</f>
        <v>6147.2625015993735</v>
      </c>
      <c r="C70" s="331"/>
      <c r="D70" s="64" t="s">
        <v>206</v>
      </c>
      <c r="E70" s="213" t="s">
        <v>42</v>
      </c>
    </row>
    <row r="71" spans="1:5" ht="12.5" x14ac:dyDescent="0.3">
      <c r="A71" s="220" t="s">
        <v>233</v>
      </c>
      <c r="B71" s="236">
        <f>ROUNDUP(B63*(1-B59)*(1-B60)*B65*B58*B57,0)</f>
        <v>4922</v>
      </c>
      <c r="C71" s="236">
        <f>ROUNDUP(C63*(1-C59)*(1-C60)*C65*C58*C57,0)</f>
        <v>543</v>
      </c>
      <c r="D71" s="64" t="s">
        <v>206</v>
      </c>
      <c r="E71" s="213" t="s">
        <v>42</v>
      </c>
    </row>
    <row r="72" spans="1:5" ht="12.5" x14ac:dyDescent="0.3">
      <c r="A72" s="220"/>
      <c r="B72" s="331">
        <f>B71+C71</f>
        <v>5465</v>
      </c>
      <c r="C72" s="331"/>
      <c r="D72" s="64" t="s">
        <v>206</v>
      </c>
      <c r="E72" s="213" t="s">
        <v>42</v>
      </c>
    </row>
    <row r="73" spans="1:5" ht="13" thickBot="1" x14ac:dyDescent="0.3">
      <c r="A73" s="222" t="s">
        <v>234</v>
      </c>
      <c r="B73" s="327">
        <f>ROUNDUP(B66*44/28*1/1000*(B68+B70+B72),0)</f>
        <v>16213</v>
      </c>
      <c r="C73" s="328"/>
      <c r="D73" s="181" t="s">
        <v>280</v>
      </c>
      <c r="E73" s="224" t="s">
        <v>42</v>
      </c>
    </row>
    <row r="74" spans="1:5" x14ac:dyDescent="0.25">
      <c r="A74" s="225"/>
      <c r="B74" s="226"/>
      <c r="C74" s="226"/>
    </row>
    <row r="75" spans="1:5" x14ac:dyDescent="0.25">
      <c r="A75" s="225"/>
      <c r="B75" s="226"/>
      <c r="C75" s="226"/>
    </row>
    <row r="77" spans="1:5" x14ac:dyDescent="0.25">
      <c r="A77" s="1" t="s">
        <v>61</v>
      </c>
    </row>
    <row r="79" spans="1:5" x14ac:dyDescent="0.25">
      <c r="E79" s="43"/>
    </row>
    <row r="80" spans="1:5" x14ac:dyDescent="0.25">
      <c r="E80" s="43"/>
    </row>
    <row r="81" spans="1:5" x14ac:dyDescent="0.25">
      <c r="E81" s="43"/>
    </row>
    <row r="82" spans="1:5" x14ac:dyDescent="0.25">
      <c r="E82" s="43"/>
    </row>
    <row r="83" spans="1:5" ht="12" thickBot="1" x14ac:dyDescent="0.3">
      <c r="A83" s="39"/>
    </row>
    <row r="84" spans="1:5" x14ac:dyDescent="0.25">
      <c r="A84" s="206" t="s">
        <v>2</v>
      </c>
      <c r="B84" s="207" t="s">
        <v>40</v>
      </c>
      <c r="C84" s="207"/>
      <c r="D84" s="207" t="s">
        <v>4</v>
      </c>
      <c r="E84" s="208" t="s">
        <v>5</v>
      </c>
    </row>
    <row r="85" spans="1:5" x14ac:dyDescent="0.25">
      <c r="A85" s="238"/>
      <c r="B85" s="239" t="str">
        <f>B56</f>
        <v>Market Swine</v>
      </c>
      <c r="C85" s="239" t="str">
        <f>C56</f>
        <v>Breeding Swine</v>
      </c>
      <c r="D85" s="239"/>
      <c r="E85" s="240"/>
    </row>
    <row r="86" spans="1:5" ht="12.5" x14ac:dyDescent="0.3">
      <c r="A86" s="241" t="s">
        <v>235</v>
      </c>
      <c r="B86" s="218">
        <v>28</v>
      </c>
      <c r="C86" s="218">
        <v>28</v>
      </c>
      <c r="D86" s="64" t="s">
        <v>236</v>
      </c>
      <c r="E86" s="242" t="str">
        <f>'Baseline Emission'!E58</f>
        <v>IPCC AR5</v>
      </c>
    </row>
    <row r="87" spans="1:5" ht="12.5" x14ac:dyDescent="0.3">
      <c r="A87" s="241" t="s">
        <v>237</v>
      </c>
      <c r="B87" s="218">
        <v>6.7000000000000002E-4</v>
      </c>
      <c r="C87" s="218">
        <v>6.7000000000000002E-4</v>
      </c>
      <c r="D87" s="64" t="s">
        <v>82</v>
      </c>
      <c r="E87" s="65" t="s">
        <v>94</v>
      </c>
    </row>
    <row r="88" spans="1:5" ht="12.5" x14ac:dyDescent="0.25">
      <c r="A88" s="243" t="s">
        <v>238</v>
      </c>
      <c r="B88" s="211">
        <v>1</v>
      </c>
      <c r="C88" s="211">
        <v>1</v>
      </c>
      <c r="D88" s="64" t="s">
        <v>117</v>
      </c>
      <c r="E88" s="65" t="s">
        <v>94</v>
      </c>
    </row>
    <row r="89" spans="1:5" ht="12.5" x14ac:dyDescent="0.25">
      <c r="A89" s="209" t="s">
        <v>239</v>
      </c>
      <c r="B89" s="244">
        <f>'Baseline Emission'!B19</f>
        <v>244.81071428571428</v>
      </c>
      <c r="C89" s="244">
        <f>'Baseline Emission'!C19</f>
        <v>314.42142857142858</v>
      </c>
      <c r="D89" s="64" t="s">
        <v>127</v>
      </c>
      <c r="E89" s="245" t="s">
        <v>88</v>
      </c>
    </row>
    <row r="90" spans="1:5" ht="12.5" x14ac:dyDescent="0.25">
      <c r="A90" s="209" t="s">
        <v>204</v>
      </c>
      <c r="B90" s="210">
        <f>'Baseline Emission'!B15</f>
        <v>359870</v>
      </c>
      <c r="C90" s="210">
        <f>'Baseline Emission'!C15</f>
        <v>54100</v>
      </c>
      <c r="D90" s="210" t="str">
        <f>'Baseline Emission'!D15</f>
        <v>No of heads</v>
      </c>
      <c r="E90" s="246" t="str">
        <f>'Baseline Emission'!E15</f>
        <v>Project evaluation report</v>
      </c>
    </row>
    <row r="91" spans="1:5" ht="13" x14ac:dyDescent="0.25">
      <c r="A91" s="209" t="s">
        <v>240</v>
      </c>
      <c r="B91" s="247">
        <f>'Baseline Emission'!B14</f>
        <v>0.28999999999999998</v>
      </c>
      <c r="C91" s="211">
        <f>'Baseline Emission'!C14</f>
        <v>0.28999999999999998</v>
      </c>
      <c r="D91" s="248" t="s">
        <v>241</v>
      </c>
      <c r="E91" s="65" t="s">
        <v>65</v>
      </c>
    </row>
    <row r="92" spans="1:5" s="44" customFormat="1" ht="23" x14ac:dyDescent="0.25">
      <c r="A92" s="249" t="s">
        <v>242</v>
      </c>
      <c r="B92" s="216">
        <v>0.85</v>
      </c>
      <c r="C92" s="216">
        <v>0.85</v>
      </c>
      <c r="D92" s="64" t="s">
        <v>117</v>
      </c>
      <c r="E92" s="217" t="s">
        <v>128</v>
      </c>
    </row>
    <row r="93" spans="1:5" ht="12.5" x14ac:dyDescent="0.25">
      <c r="A93" s="243" t="s">
        <v>205</v>
      </c>
      <c r="B93" s="250">
        <v>1</v>
      </c>
      <c r="C93" s="250">
        <f>B93</f>
        <v>1</v>
      </c>
      <c r="D93" s="64" t="s">
        <v>117</v>
      </c>
      <c r="E93" s="251" t="s">
        <v>118</v>
      </c>
    </row>
    <row r="94" spans="1:5" ht="12.5" x14ac:dyDescent="0.3">
      <c r="A94" s="252" t="s">
        <v>243</v>
      </c>
      <c r="B94" s="253">
        <f>ROUNDDOWN(B86*B87*B88*(1-B92)*(B91*B90*B89*B93),0)</f>
        <v>71894</v>
      </c>
      <c r="C94" s="253">
        <f>ROUNDDOWN(C86*C87*C88*(1-C92)*C91*C90*C89*C93,0)</f>
        <v>13881</v>
      </c>
      <c r="D94" s="254" t="s">
        <v>228</v>
      </c>
      <c r="E94" s="213" t="s">
        <v>77</v>
      </c>
    </row>
    <row r="95" spans="1:5" ht="13" thickBot="1" x14ac:dyDescent="0.35">
      <c r="A95" s="255"/>
      <c r="B95" s="329">
        <f>B94+C94</f>
        <v>85775</v>
      </c>
      <c r="C95" s="329"/>
      <c r="D95" s="223" t="s">
        <v>228</v>
      </c>
      <c r="E95" s="224" t="s">
        <v>77</v>
      </c>
    </row>
    <row r="96" spans="1:5" x14ac:dyDescent="0.25">
      <c r="A96" s="39"/>
    </row>
    <row r="97" spans="1:5" x14ac:dyDescent="0.25">
      <c r="A97" s="39"/>
    </row>
    <row r="98" spans="1:5" x14ac:dyDescent="0.25">
      <c r="A98" s="39"/>
    </row>
    <row r="99" spans="1:5" ht="12" thickBot="1" x14ac:dyDescent="0.3">
      <c r="A99" s="39"/>
    </row>
    <row r="100" spans="1:5" x14ac:dyDescent="0.25">
      <c r="A100" s="206" t="s">
        <v>2</v>
      </c>
      <c r="B100" s="207" t="s">
        <v>40</v>
      </c>
      <c r="C100" s="207"/>
      <c r="D100" s="207" t="s">
        <v>4</v>
      </c>
      <c r="E100" s="208" t="s">
        <v>5</v>
      </c>
    </row>
    <row r="101" spans="1:5" x14ac:dyDescent="0.25">
      <c r="A101" s="238"/>
      <c r="B101" s="239" t="str">
        <f>B85</f>
        <v>Market Swine</v>
      </c>
      <c r="C101" s="239" t="str">
        <f>C85</f>
        <v>Breeding Swine</v>
      </c>
      <c r="D101" s="239"/>
      <c r="E101" s="240"/>
    </row>
    <row r="102" spans="1:5" ht="12.5" x14ac:dyDescent="0.3">
      <c r="A102" s="241" t="s">
        <v>235</v>
      </c>
      <c r="B102" s="218">
        <f>B86</f>
        <v>28</v>
      </c>
      <c r="C102" s="218">
        <f>C86</f>
        <v>28</v>
      </c>
      <c r="D102" s="64" t="s">
        <v>236</v>
      </c>
      <c r="E102" s="65" t="s">
        <v>130</v>
      </c>
    </row>
    <row r="103" spans="1:5" ht="13.5" x14ac:dyDescent="0.3">
      <c r="A103" s="241" t="s">
        <v>237</v>
      </c>
      <c r="B103" s="218">
        <v>6.7000000000000002E-4</v>
      </c>
      <c r="C103" s="218">
        <v>6.7000000000000002E-4</v>
      </c>
      <c r="D103" s="64" t="s">
        <v>244</v>
      </c>
      <c r="E103" s="65" t="s">
        <v>131</v>
      </c>
    </row>
    <row r="104" spans="1:5" x14ac:dyDescent="0.25">
      <c r="A104" s="243" t="s">
        <v>62</v>
      </c>
      <c r="B104" s="211">
        <v>1</v>
      </c>
      <c r="C104" s="211">
        <v>1</v>
      </c>
      <c r="D104" s="64" t="s">
        <v>106</v>
      </c>
      <c r="E104" s="65" t="s">
        <v>132</v>
      </c>
    </row>
    <row r="105" spans="1:5" ht="12.5" x14ac:dyDescent="0.25">
      <c r="A105" s="209" t="s">
        <v>239</v>
      </c>
      <c r="B105" s="244">
        <f>B89</f>
        <v>244.81071428571428</v>
      </c>
      <c r="C105" s="244">
        <f>C89</f>
        <v>314.42142857142858</v>
      </c>
      <c r="D105" s="64" t="s">
        <v>63</v>
      </c>
      <c r="E105" s="245" t="s">
        <v>133</v>
      </c>
    </row>
    <row r="106" spans="1:5" ht="12.5" x14ac:dyDescent="0.25">
      <c r="A106" s="209" t="s">
        <v>204</v>
      </c>
      <c r="B106" s="210">
        <f>'Baseline Emission'!B15</f>
        <v>359870</v>
      </c>
      <c r="C106" s="210">
        <f>'Baseline Emission'!C15</f>
        <v>54100</v>
      </c>
      <c r="D106" s="64" t="s">
        <v>15</v>
      </c>
      <c r="E106" s="245" t="s">
        <v>59</v>
      </c>
    </row>
    <row r="107" spans="1:5" ht="13.5" x14ac:dyDescent="0.3">
      <c r="A107" s="209" t="s">
        <v>245</v>
      </c>
      <c r="B107" s="247">
        <f>'Baseline Emission'!B14</f>
        <v>0.28999999999999998</v>
      </c>
      <c r="C107" s="211">
        <f>'Baseline Emission'!C14</f>
        <v>0.28999999999999998</v>
      </c>
      <c r="D107" s="64" t="s">
        <v>241</v>
      </c>
      <c r="E107" s="65" t="s">
        <v>65</v>
      </c>
    </row>
    <row r="108" spans="1:5" ht="12.5" x14ac:dyDescent="0.25">
      <c r="A108" s="249" t="s">
        <v>246</v>
      </c>
      <c r="B108" s="216">
        <v>0.8</v>
      </c>
      <c r="C108" s="256">
        <f>B108</f>
        <v>0.8</v>
      </c>
      <c r="D108" s="248" t="s">
        <v>106</v>
      </c>
      <c r="E108" s="65" t="s">
        <v>129</v>
      </c>
    </row>
    <row r="109" spans="1:5" ht="12.5" x14ac:dyDescent="0.25">
      <c r="A109" s="249" t="s">
        <v>246</v>
      </c>
      <c r="B109" s="216">
        <v>0.2</v>
      </c>
      <c r="C109" s="256">
        <v>0.2</v>
      </c>
      <c r="D109" s="248" t="s">
        <v>106</v>
      </c>
      <c r="E109" s="65" t="s">
        <v>129</v>
      </c>
    </row>
    <row r="110" spans="1:5" ht="12.5" x14ac:dyDescent="0.25">
      <c r="A110" s="249" t="s">
        <v>205</v>
      </c>
      <c r="B110" s="216">
        <v>1</v>
      </c>
      <c r="C110" s="216">
        <v>1</v>
      </c>
      <c r="D110" s="248" t="s">
        <v>106</v>
      </c>
      <c r="E110" s="65" t="s">
        <v>129</v>
      </c>
    </row>
    <row r="111" spans="1:5" ht="12.5" x14ac:dyDescent="0.3">
      <c r="A111" s="252" t="s">
        <v>247</v>
      </c>
      <c r="B111" s="253">
        <f>ROUNDUP(B102*B103*B104*(1-B108)*(1-B109)*B107*B106*B105*B110,0)</f>
        <v>76688</v>
      </c>
      <c r="C111" s="253">
        <f>ROUNDUP(C102*C103*C104*(1-C108)*(1-C109)*C107*C106*C105*C110,0)</f>
        <v>14807</v>
      </c>
      <c r="D111" s="254" t="s">
        <v>228</v>
      </c>
      <c r="E111" s="213" t="s">
        <v>51</v>
      </c>
    </row>
    <row r="112" spans="1:5" ht="13" thickBot="1" x14ac:dyDescent="0.35">
      <c r="A112" s="255"/>
      <c r="B112" s="329">
        <f>B111+C111</f>
        <v>91495</v>
      </c>
      <c r="C112" s="329"/>
      <c r="D112" s="223" t="s">
        <v>228</v>
      </c>
      <c r="E112" s="224" t="s">
        <v>51</v>
      </c>
    </row>
    <row r="113" spans="1:5" x14ac:dyDescent="0.25">
      <c r="A113" s="39"/>
    </row>
    <row r="114" spans="1:5" x14ac:dyDescent="0.25">
      <c r="D114" s="257"/>
    </row>
    <row r="115" spans="1:5" ht="12.5" x14ac:dyDescent="0.3">
      <c r="A115" s="258" t="s">
        <v>243</v>
      </c>
      <c r="B115" s="259">
        <f>B95</f>
        <v>85775</v>
      </c>
      <c r="C115" s="282" t="s">
        <v>228</v>
      </c>
      <c r="D115" s="260"/>
    </row>
    <row r="116" spans="1:5" ht="12.5" x14ac:dyDescent="0.3">
      <c r="A116" s="258" t="s">
        <v>248</v>
      </c>
      <c r="B116" s="259">
        <f>B112</f>
        <v>91495</v>
      </c>
      <c r="C116" s="282" t="s">
        <v>228</v>
      </c>
      <c r="D116" s="260"/>
    </row>
    <row r="117" spans="1:5" ht="12.5" x14ac:dyDescent="0.3">
      <c r="A117" s="258" t="s">
        <v>227</v>
      </c>
      <c r="B117" s="259">
        <f>B38</f>
        <v>4550</v>
      </c>
      <c r="C117" s="282" t="s">
        <v>228</v>
      </c>
      <c r="D117" s="260"/>
      <c r="E117" s="261"/>
    </row>
    <row r="118" spans="1:5" ht="12.5" x14ac:dyDescent="0.3">
      <c r="A118" s="258" t="s">
        <v>249</v>
      </c>
      <c r="B118" s="259">
        <f>B73</f>
        <v>16213</v>
      </c>
      <c r="C118" s="282" t="s">
        <v>228</v>
      </c>
    </row>
    <row r="119" spans="1:5" x14ac:dyDescent="0.25">
      <c r="A119" s="39"/>
      <c r="B119" s="262"/>
    </row>
    <row r="121" spans="1:5" ht="12.5" x14ac:dyDescent="0.3">
      <c r="A121" s="39" t="s">
        <v>66</v>
      </c>
      <c r="B121" s="263">
        <f>ROUNDUP(B118-B117+B116-B115,0)</f>
        <v>17383</v>
      </c>
      <c r="C121" s="1" t="s">
        <v>228</v>
      </c>
    </row>
    <row r="122" spans="1:5" x14ac:dyDescent="0.25">
      <c r="A122" s="39"/>
      <c r="B122" s="81"/>
      <c r="C122" s="2"/>
    </row>
    <row r="123" spans="1:5" x14ac:dyDescent="0.25">
      <c r="A123" s="39"/>
      <c r="B123" s="81"/>
    </row>
    <row r="124" spans="1:5" x14ac:dyDescent="0.25">
      <c r="A124" s="39"/>
      <c r="B124" s="81"/>
    </row>
    <row r="125" spans="1:5" x14ac:dyDescent="0.25">
      <c r="A125" s="39"/>
      <c r="B125" s="81"/>
    </row>
    <row r="126" spans="1:5" x14ac:dyDescent="0.25">
      <c r="A126" s="39"/>
      <c r="B126" s="81"/>
    </row>
    <row r="127" spans="1:5" x14ac:dyDescent="0.25">
      <c r="A127" s="39"/>
      <c r="B127" s="264"/>
    </row>
    <row r="128" spans="1:5" x14ac:dyDescent="0.25">
      <c r="A128" s="39"/>
      <c r="B128" s="81"/>
      <c r="C128" s="2"/>
    </row>
    <row r="129" spans="1:5" x14ac:dyDescent="0.25">
      <c r="E129" s="265"/>
    </row>
    <row r="131" spans="1:5" x14ac:dyDescent="0.25">
      <c r="C131" s="93"/>
    </row>
    <row r="136" spans="1:5" x14ac:dyDescent="0.25">
      <c r="A136" s="266" t="s">
        <v>250</v>
      </c>
      <c r="B136" s="267"/>
      <c r="C136" s="267"/>
      <c r="D136" s="267"/>
      <c r="E136" s="267"/>
    </row>
    <row r="137" spans="1:5" x14ac:dyDescent="0.25">
      <c r="A137" s="268" t="s">
        <v>2</v>
      </c>
      <c r="B137" s="268" t="s">
        <v>40</v>
      </c>
      <c r="C137" s="268"/>
      <c r="D137" s="268" t="s">
        <v>4</v>
      </c>
      <c r="E137" s="268" t="s">
        <v>5</v>
      </c>
    </row>
    <row r="138" spans="1:5" x14ac:dyDescent="0.25">
      <c r="A138" s="268"/>
      <c r="B138" s="268" t="s">
        <v>6</v>
      </c>
      <c r="C138" s="268" t="s">
        <v>7</v>
      </c>
      <c r="D138" s="268"/>
      <c r="E138" s="268"/>
    </row>
    <row r="139" spans="1:5" x14ac:dyDescent="0.25">
      <c r="A139" s="269" t="s">
        <v>251</v>
      </c>
      <c r="B139" s="270">
        <v>0.01</v>
      </c>
      <c r="C139" s="271">
        <v>0.02</v>
      </c>
      <c r="D139" s="272" t="s">
        <v>63</v>
      </c>
      <c r="E139" s="273" t="s">
        <v>65</v>
      </c>
    </row>
    <row r="140" spans="1:5" ht="12.5" x14ac:dyDescent="0.25">
      <c r="A140" s="269" t="s">
        <v>252</v>
      </c>
      <c r="B140" s="274">
        <v>640000</v>
      </c>
      <c r="C140" s="274">
        <v>44000</v>
      </c>
      <c r="D140" s="272" t="s">
        <v>50</v>
      </c>
      <c r="E140" s="267" t="s">
        <v>59</v>
      </c>
    </row>
    <row r="141" spans="1:5" x14ac:dyDescent="0.25">
      <c r="A141" s="275" t="s">
        <v>62</v>
      </c>
      <c r="B141" s="276">
        <v>1</v>
      </c>
      <c r="C141" s="274">
        <v>1</v>
      </c>
      <c r="D141" s="272"/>
      <c r="E141" s="267" t="s">
        <v>65</v>
      </c>
    </row>
    <row r="142" spans="1:5" x14ac:dyDescent="0.25">
      <c r="A142" s="275" t="s">
        <v>253</v>
      </c>
      <c r="B142" s="277">
        <v>0.36</v>
      </c>
      <c r="C142" s="271">
        <v>0.39</v>
      </c>
      <c r="D142" s="272" t="s">
        <v>64</v>
      </c>
      <c r="E142" s="267" t="s">
        <v>65</v>
      </c>
    </row>
    <row r="143" spans="1:5" x14ac:dyDescent="0.25">
      <c r="A143" s="275" t="s">
        <v>67</v>
      </c>
      <c r="B143" s="278">
        <v>0.7</v>
      </c>
      <c r="C143" s="278">
        <v>0.7</v>
      </c>
      <c r="D143" s="272"/>
      <c r="E143" s="267" t="s">
        <v>68</v>
      </c>
    </row>
    <row r="144" spans="1:5" x14ac:dyDescent="0.25">
      <c r="A144" s="279" t="s">
        <v>69</v>
      </c>
      <c r="B144" s="280">
        <f>21*0.00067*365*B139*B140*B142*(1-B143)</f>
        <v>3549.692160000001</v>
      </c>
      <c r="C144" s="280">
        <f>21*0.00067*365*C139*C140*C142*(1-C143)</f>
        <v>528.75622800000019</v>
      </c>
      <c r="D144" s="266"/>
      <c r="E144" s="266" t="s">
        <v>51</v>
      </c>
    </row>
    <row r="145" spans="1:5" x14ac:dyDescent="0.25">
      <c r="A145" s="266" t="s">
        <v>70</v>
      </c>
      <c r="B145" s="281">
        <f>ROUND(B144+C144,0)</f>
        <v>4078</v>
      </c>
      <c r="C145" s="266"/>
      <c r="D145" s="266"/>
      <c r="E145" s="266"/>
    </row>
  </sheetData>
  <customSheetViews>
    <customSheetView guid="{2C071143-29D6-4036-A926-BF7E54293313}" hiddenRows="1" showRuler="0" topLeftCell="A123">
      <selection activeCell="B81" sqref="B81"/>
      <pageMargins left="0.75" right="0.75" top="1" bottom="1" header="0.5" footer="0.5"/>
      <pageSetup paperSize="9" orientation="portrait" horizontalDpi="300" verticalDpi="300"/>
      <headerFooter alignWithMargins="0"/>
    </customSheetView>
  </customSheetViews>
  <mergeCells count="10">
    <mergeCell ref="B73:C73"/>
    <mergeCell ref="B95:C95"/>
    <mergeCell ref="B112:C112"/>
    <mergeCell ref="B33:C33"/>
    <mergeCell ref="B35:C35"/>
    <mergeCell ref="B37:C37"/>
    <mergeCell ref="B68:C68"/>
    <mergeCell ref="B70:C70"/>
    <mergeCell ref="B72:C72"/>
    <mergeCell ref="B38:C38"/>
  </mergeCells>
  <phoneticPr fontId="5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G26"/>
  <sheetViews>
    <sheetView zoomScaleNormal="100" workbookViewId="0">
      <selection activeCell="C16" sqref="C16"/>
    </sheetView>
  </sheetViews>
  <sheetFormatPr defaultColWidth="11.453125" defaultRowHeight="11.5" x14ac:dyDescent="0.25"/>
  <cols>
    <col min="1" max="1" width="11.453125" style="1"/>
    <col min="2" max="2" width="33.54296875" style="1" customWidth="1"/>
    <col min="3" max="3" width="22.81640625" style="1" customWidth="1"/>
    <col min="4" max="4" width="23.1796875" style="1" customWidth="1"/>
    <col min="5" max="5" width="23" style="1" customWidth="1"/>
    <col min="6" max="6" width="22.81640625" style="1" customWidth="1"/>
    <col min="7" max="7" width="11.7265625" style="1" bestFit="1" customWidth="1"/>
    <col min="8" max="16384" width="11.453125" style="1"/>
  </cols>
  <sheetData>
    <row r="2" spans="2:7" ht="12" thickBot="1" x14ac:dyDescent="0.3"/>
    <row r="3" spans="2:7" ht="12.5" x14ac:dyDescent="0.35">
      <c r="B3" s="332" t="s">
        <v>71</v>
      </c>
      <c r="C3" s="5" t="s">
        <v>72</v>
      </c>
      <c r="D3" s="5" t="s">
        <v>72</v>
      </c>
      <c r="E3" s="5" t="s">
        <v>72</v>
      </c>
      <c r="F3" s="6" t="s">
        <v>72</v>
      </c>
    </row>
    <row r="4" spans="2:7" ht="27" customHeight="1" x14ac:dyDescent="0.35">
      <c r="B4" s="333"/>
      <c r="C4" s="288" t="s">
        <v>73</v>
      </c>
      <c r="D4" s="287" t="s">
        <v>74</v>
      </c>
      <c r="E4" s="287" t="s">
        <v>75</v>
      </c>
      <c r="F4" s="293" t="s">
        <v>76</v>
      </c>
    </row>
    <row r="5" spans="2:7" ht="13.5" x14ac:dyDescent="0.4">
      <c r="B5" s="333"/>
      <c r="C5" s="287" t="s">
        <v>134</v>
      </c>
      <c r="D5" s="287" t="s">
        <v>134</v>
      </c>
      <c r="E5" s="287" t="s">
        <v>134</v>
      </c>
      <c r="F5" s="293" t="s">
        <v>134</v>
      </c>
      <c r="G5" s="4"/>
    </row>
    <row r="6" spans="2:7" ht="12.5" x14ac:dyDescent="0.35">
      <c r="B6" s="294" t="s">
        <v>263</v>
      </c>
      <c r="C6" s="289">
        <f>'Baseline Emission'!E69</f>
        <v>409535</v>
      </c>
      <c r="D6" s="290">
        <f>'PROJECT EMISSION'!B108</f>
        <v>36621</v>
      </c>
      <c r="E6" s="289">
        <f>LEAKAGE!B121</f>
        <v>17383</v>
      </c>
      <c r="F6" s="295">
        <f>C6-D6-E6</f>
        <v>355531</v>
      </c>
      <c r="G6" s="2"/>
    </row>
    <row r="7" spans="2:7" ht="12.5" x14ac:dyDescent="0.35">
      <c r="B7" s="294" t="s">
        <v>264</v>
      </c>
      <c r="C7" s="291">
        <f>ROUNDDOWN('Baseline Emission'!$E$69,0)</f>
        <v>409535</v>
      </c>
      <c r="D7" s="290">
        <f>'PROJECT EMISSION'!$B$108</f>
        <v>36621</v>
      </c>
      <c r="E7" s="289">
        <f>LEAKAGE!$B$121</f>
        <v>17383</v>
      </c>
      <c r="F7" s="295">
        <f>C7-D7-E7</f>
        <v>355531</v>
      </c>
    </row>
    <row r="8" spans="2:7" ht="12.5" x14ac:dyDescent="0.35">
      <c r="B8" s="294" t="s">
        <v>265</v>
      </c>
      <c r="C8" s="291">
        <f>ROUNDDOWN('Baseline Emission'!$E$69,0)</f>
        <v>409535</v>
      </c>
      <c r="D8" s="290">
        <f>'PROJECT EMISSION'!$B$108</f>
        <v>36621</v>
      </c>
      <c r="E8" s="289">
        <f>LEAKAGE!$B$121</f>
        <v>17383</v>
      </c>
      <c r="F8" s="295">
        <f>C8-D8-E8</f>
        <v>355531</v>
      </c>
    </row>
    <row r="9" spans="2:7" ht="12.5" x14ac:dyDescent="0.35">
      <c r="B9" s="294" t="s">
        <v>266</v>
      </c>
      <c r="C9" s="291">
        <f>ROUNDDOWN('Baseline Emission'!$E$69,0)</f>
        <v>409535</v>
      </c>
      <c r="D9" s="290">
        <f>'PROJECT EMISSION'!$B$108</f>
        <v>36621</v>
      </c>
      <c r="E9" s="289">
        <f>LEAKAGE!$B$121</f>
        <v>17383</v>
      </c>
      <c r="F9" s="295">
        <f>C9-D9-E9</f>
        <v>355531</v>
      </c>
    </row>
    <row r="10" spans="2:7" ht="12.5" x14ac:dyDescent="0.35">
      <c r="B10" s="294" t="s">
        <v>276</v>
      </c>
      <c r="C10" s="291">
        <f>ROUNDDOWN('Baseline Emission'!$E$69,0)</f>
        <v>409535</v>
      </c>
      <c r="D10" s="290">
        <f>'PROJECT EMISSION'!$B$108</f>
        <v>36621</v>
      </c>
      <c r="E10" s="289">
        <f>LEAKAGE!$B$121</f>
        <v>17383</v>
      </c>
      <c r="F10" s="295">
        <f>C10-D10-E10</f>
        <v>355531</v>
      </c>
    </row>
    <row r="11" spans="2:7" ht="13.5" x14ac:dyDescent="0.4">
      <c r="B11" s="296" t="s">
        <v>135</v>
      </c>
      <c r="C11" s="292">
        <f>SUM(C6:C10)</f>
        <v>2047675</v>
      </c>
      <c r="D11" s="292">
        <f>SUM(D6:D10)</f>
        <v>183105</v>
      </c>
      <c r="E11" s="292">
        <f>SUM(E6:E10)</f>
        <v>86915</v>
      </c>
      <c r="F11" s="297">
        <f>SUM(F6:F10)</f>
        <v>1777655</v>
      </c>
    </row>
    <row r="12" spans="2:7" ht="14" thickBot="1" x14ac:dyDescent="0.45">
      <c r="B12" s="298" t="s">
        <v>136</v>
      </c>
      <c r="C12" s="299">
        <f>C11/5</f>
        <v>409535</v>
      </c>
      <c r="D12" s="299">
        <f>D11/5</f>
        <v>36621</v>
      </c>
      <c r="E12" s="299">
        <f>E11/5</f>
        <v>17383</v>
      </c>
      <c r="F12" s="300">
        <f>F11/5</f>
        <v>355531</v>
      </c>
    </row>
    <row r="14" spans="2:7" x14ac:dyDescent="0.25">
      <c r="B14" s="3"/>
    </row>
    <row r="15" spans="2:7" x14ac:dyDescent="0.25">
      <c r="B15" s="3"/>
      <c r="C15" s="3"/>
      <c r="D15" s="3"/>
    </row>
    <row r="16" spans="2:7" x14ac:dyDescent="0.25">
      <c r="B16" s="3"/>
      <c r="D16" s="3"/>
    </row>
    <row r="17" spans="2:4" x14ac:dyDescent="0.25">
      <c r="B17" s="3"/>
    </row>
    <row r="19" spans="2:4" x14ac:dyDescent="0.25">
      <c r="B19" s="3"/>
    </row>
    <row r="20" spans="2:4" x14ac:dyDescent="0.25">
      <c r="B20" s="3"/>
    </row>
    <row r="24" spans="2:4" x14ac:dyDescent="0.25">
      <c r="D24" s="2"/>
    </row>
    <row r="26" spans="2:4" x14ac:dyDescent="0.25">
      <c r="D26" s="2"/>
    </row>
  </sheetData>
  <customSheetViews>
    <customSheetView guid="{2C071143-29D6-4036-A926-BF7E54293313}" showRuler="0" topLeftCell="A11">
      <selection activeCell="B35" sqref="B35"/>
      <pageMargins left="0.75" right="0.75" top="1" bottom="1" header="0.4921259845" footer="0.4921259845"/>
      <pageSetup paperSize="9" orientation="portrait" horizontalDpi="300" verticalDpi="0" copies="0"/>
      <headerFooter alignWithMargins="0"/>
    </customSheetView>
  </customSheetViews>
  <mergeCells count="1">
    <mergeCell ref="B3:B5"/>
  </mergeCells>
  <phoneticPr fontId="5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Cover Page</vt:lpstr>
      <vt:lpstr>Result of SDGs</vt:lpstr>
      <vt:lpstr>Baseline Emission</vt:lpstr>
      <vt:lpstr>PROJECT EMISSION</vt:lpstr>
      <vt:lpstr>LEAKAGE</vt:lpstr>
      <vt:lpstr>EMISSION REDUCTIONS</vt:lpstr>
      <vt:lpstr>'EMISSION REDUCTIONS'!Print_Area</vt:lpstr>
    </vt:vector>
  </TitlesOfParts>
  <Manager>ywert.visser@carbonvietnam.com</Manager>
  <Company>INTRACO Co., Ltd Carbon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user01</cp:lastModifiedBy>
  <cp:lastPrinted>2011-01-07T02:59:39Z</cp:lastPrinted>
  <dcterms:created xsi:type="dcterms:W3CDTF">2006-12-11T01:48:55Z</dcterms:created>
  <dcterms:modified xsi:type="dcterms:W3CDTF">2023-02-17T05:25:41Z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Ywert Visser</vt:lpwstr>
  </property>
  <property fmtid="{D5CDD505-2E9C-101B-9397-08002B2CF9AE}" pid="3" name="ICV">
    <vt:lpwstr>7227DCFAC30C4C368C58515CA9A5666A</vt:lpwstr>
  </property>
  <property fmtid="{D5CDD505-2E9C-101B-9397-08002B2CF9AE}" pid="4" name="KSOProductBuildVer">
    <vt:lpwstr>2052-11.1.0.10578</vt:lpwstr>
  </property>
</Properties>
</file>