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karan\Downloads\"/>
    </mc:Choice>
  </mc:AlternateContent>
  <xr:revisionPtr revIDLastSave="0" documentId="13_ncr:1_{78A218D5-5937-4C0B-A50E-709CC5434AE1}" xr6:coauthVersionLast="47" xr6:coauthVersionMax="47" xr10:uidLastSave="{00000000-0000-0000-0000-000000000000}"/>
  <bookViews>
    <workbookView xWindow="-110" yWindow="-110" windowWidth="19420" windowHeight="10300" tabRatio="709" xr2:uid="{9F1F48EC-BCFF-4E43-BC19-B3A13D98861A}"/>
  </bookViews>
  <sheets>
    <sheet name="Overview" sheetId="1" r:id="rId1"/>
    <sheet name="Parameters" sheetId="6" r:id="rId2"/>
    <sheet name="Emission Reduction" sheetId="2" r:id="rId3"/>
    <sheet name="Distribution &amp; Thermal Energy" sheetId="4" r:id="rId4"/>
    <sheet name="SDG 13 (ER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4" l="1"/>
  <c r="L17" i="4" s="1"/>
  <c r="F13" i="4"/>
  <c r="B13" i="2"/>
  <c r="B14" i="2"/>
  <c r="B15" i="2"/>
  <c r="B12" i="2"/>
  <c r="B6" i="6"/>
  <c r="B21" i="2" s="1"/>
  <c r="B2" i="6"/>
  <c r="A7" i="5"/>
  <c r="A8" i="5"/>
  <c r="A9" i="5"/>
  <c r="A10" i="5"/>
  <c r="A6" i="5"/>
  <c r="C2" i="4"/>
  <c r="B6" i="2" s="1"/>
  <c r="B7" i="4"/>
  <c r="G17" i="4" l="1"/>
  <c r="K17" i="4"/>
  <c r="J17" i="4"/>
  <c r="I17" i="4"/>
  <c r="H17" i="4"/>
  <c r="B19" i="2"/>
  <c r="B16" i="2"/>
  <c r="B20" i="2"/>
  <c r="B18" i="2"/>
  <c r="B17" i="2"/>
  <c r="C3" i="4"/>
  <c r="B7" i="2" s="1"/>
  <c r="B24" i="2" l="1"/>
  <c r="B6" i="5" s="1"/>
  <c r="C4" i="4"/>
  <c r="B8" i="2" l="1"/>
  <c r="B26" i="2" s="1"/>
  <c r="B8" i="5" s="1"/>
  <c r="C13" i="4"/>
  <c r="B25" i="2"/>
  <c r="B7" i="5" s="1"/>
  <c r="C5" i="4"/>
  <c r="B9" i="2" s="1"/>
  <c r="C15" i="4" l="1"/>
  <c r="C17" i="4" s="1"/>
  <c r="B27" i="2"/>
  <c r="B9" i="5" s="1"/>
  <c r="C6" i="4"/>
  <c r="B9" i="4" s="1"/>
  <c r="C18" i="4" l="1"/>
  <c r="C19" i="4" s="1"/>
  <c r="B10" i="2"/>
  <c r="B28" i="2" s="1"/>
  <c r="B10" i="5" s="1"/>
  <c r="B11" i="5" s="1"/>
  <c r="B12" i="5" s="1"/>
  <c r="C7" i="4"/>
</calcChain>
</file>

<file path=xl/sharedStrings.xml><?xml version="1.0" encoding="utf-8"?>
<sst xmlns="http://schemas.openxmlformats.org/spreadsheetml/2006/main" count="205" uniqueCount="121">
  <si>
    <t>Project title</t>
  </si>
  <si>
    <t>PoA GS ID</t>
  </si>
  <si>
    <t>VPA GS ID</t>
  </si>
  <si>
    <t>Type</t>
  </si>
  <si>
    <t>Date</t>
  </si>
  <si>
    <t>Ex ante ER calculations</t>
  </si>
  <si>
    <t>Up Energy Improved Cookstove Programme, Uganda</t>
  </si>
  <si>
    <t>Country</t>
  </si>
  <si>
    <t>Uganda</t>
  </si>
  <si>
    <t>Parameter</t>
  </si>
  <si>
    <t>Up,y</t>
  </si>
  <si>
    <t>NCVb,fuel</t>
  </si>
  <si>
    <t>fNRB,y</t>
  </si>
  <si>
    <r>
      <t>EFb,f,CO</t>
    </r>
    <r>
      <rPr>
        <vertAlign val="subscript"/>
        <sz val="11"/>
        <color theme="1"/>
        <rFont val="Calibri"/>
        <family val="2"/>
        <scheme val="minor"/>
      </rPr>
      <t>2</t>
    </r>
  </si>
  <si>
    <r>
      <t>EFb,f,non-CO</t>
    </r>
    <r>
      <rPr>
        <vertAlign val="subscript"/>
        <sz val="11"/>
        <color theme="1"/>
        <rFont val="Calibri"/>
        <family val="2"/>
        <scheme val="minor"/>
      </rPr>
      <t>2</t>
    </r>
  </si>
  <si>
    <t>Pb,y</t>
  </si>
  <si>
    <t>Pp,y</t>
  </si>
  <si>
    <t>LEp,y</t>
  </si>
  <si>
    <t>Unit</t>
  </si>
  <si>
    <t>Description</t>
  </si>
  <si>
    <t>Value fixed ex-ante / Monitored</t>
  </si>
  <si>
    <t>Source of data</t>
  </si>
  <si>
    <t>Days</t>
  </si>
  <si>
    <t>%</t>
  </si>
  <si>
    <t>Cumulative Usage rate for technologies in project scenario p in year y (fraction)</t>
  </si>
  <si>
    <t>tonnes/technology*day</t>
  </si>
  <si>
    <t>TJ/tonne</t>
  </si>
  <si>
    <t>Net calorific value of the fuel used in baseline b</t>
  </si>
  <si>
    <t>Fraction</t>
  </si>
  <si>
    <t>Fraction of non-renewability status of woody biomass fuel durig year y (fraction). For Biomass, it is the fraction of woody biomassthat can be establishsed as non-renewable.</t>
  </si>
  <si>
    <t xml:space="preserve">(tCO2/TJ) </t>
  </si>
  <si>
    <r>
      <t>CO</t>
    </r>
    <r>
      <rPr>
        <vertAlign val="subscript"/>
        <sz val="11"/>
        <color theme="1"/>
        <rFont val="Calibri"/>
        <family val="2"/>
        <scheme val="minor"/>
      </rPr>
      <t>2</t>
    </r>
    <r>
      <rPr>
        <sz val="11"/>
        <color theme="1"/>
        <rFont val="Calibri"/>
        <family val="2"/>
        <scheme val="minor"/>
      </rPr>
      <t xml:space="preserve"> emission factor from use of fuel f (tCO2/TJ) </t>
    </r>
  </si>
  <si>
    <r>
      <t>Non-CO</t>
    </r>
    <r>
      <rPr>
        <vertAlign val="subscript"/>
        <sz val="11"/>
        <color theme="1"/>
        <rFont val="Calibri"/>
        <family val="2"/>
        <scheme val="minor"/>
      </rPr>
      <t>2</t>
    </r>
    <r>
      <rPr>
        <sz val="11"/>
        <color theme="1"/>
        <rFont val="Calibri"/>
        <family val="2"/>
        <scheme val="minor"/>
      </rPr>
      <t xml:space="preserve"> emission factor arising from use of fuel f, when the baseline fuel f is biomass or charcoal (tCO2/TJ).  </t>
    </r>
  </si>
  <si>
    <t>Quantity of fuel that is consumed in baseline scenario b during year y</t>
  </si>
  <si>
    <t>Quantity of fuel that is consumed in project scenario b during year y</t>
  </si>
  <si>
    <t>tCO2e</t>
  </si>
  <si>
    <r>
      <t>Total Emission reduction adjusted to Leakage in tCO</t>
    </r>
    <r>
      <rPr>
        <vertAlign val="subscript"/>
        <sz val="11"/>
        <color theme="1"/>
        <rFont val="Calibri"/>
        <family val="2"/>
        <scheme val="minor"/>
      </rPr>
      <t>2</t>
    </r>
    <r>
      <rPr>
        <sz val="11"/>
        <color theme="1"/>
        <rFont val="Calibri"/>
        <family val="2"/>
        <scheme val="minor"/>
      </rPr>
      <t>e</t>
    </r>
  </si>
  <si>
    <t>Number of project technology days included in the project database for baseline b/project p pair in year 1</t>
  </si>
  <si>
    <t>Number of project technology days included in the project database for baseline b/project p pair in year 2</t>
  </si>
  <si>
    <t>Number of project technology days included in the project database for baseline b/project p pair in year 3</t>
  </si>
  <si>
    <t>Number of project technology days included in the project database for baseline b/project p pair in year 4</t>
  </si>
  <si>
    <t>Number of project technology days included in the project database for baseline b/project p pair in year 5</t>
  </si>
  <si>
    <t>Nb,p,1</t>
  </si>
  <si>
    <t>Nb,p,2</t>
  </si>
  <si>
    <t>Nb,p,3</t>
  </si>
  <si>
    <t>Nb,p,4</t>
  </si>
  <si>
    <t>Nb,p,5</t>
  </si>
  <si>
    <t>Project year</t>
  </si>
  <si>
    <t>Energy efficient stoves</t>
  </si>
  <si>
    <t>Cumulative Distributed stoves (Functional / Operational) total</t>
  </si>
  <si>
    <t>Year-1</t>
  </si>
  <si>
    <t>Year-2</t>
  </si>
  <si>
    <t>Year-3</t>
  </si>
  <si>
    <t>Year-4</t>
  </si>
  <si>
    <t>Year-5</t>
  </si>
  <si>
    <t>Total</t>
  </si>
  <si>
    <t>Average</t>
  </si>
  <si>
    <t>Thermal Energy Savings</t>
  </si>
  <si>
    <t>ICS</t>
  </si>
  <si>
    <t>Fuel savings</t>
  </si>
  <si>
    <t>T/family/year</t>
  </si>
  <si>
    <t>Calculated</t>
  </si>
  <si>
    <t>Calorific value of fuel</t>
  </si>
  <si>
    <t>TJ/T</t>
  </si>
  <si>
    <t>IPCC default</t>
  </si>
  <si>
    <t>Energy savings per year</t>
  </si>
  <si>
    <t>TJ/family/year</t>
  </si>
  <si>
    <t>Conversion factor</t>
  </si>
  <si>
    <t>TJ/GWh</t>
  </si>
  <si>
    <t>Default</t>
  </si>
  <si>
    <t>Energy savings per improved cookstove</t>
  </si>
  <si>
    <t>GWhth/year</t>
  </si>
  <si>
    <t>Energy savings for the maximum distribution</t>
  </si>
  <si>
    <t>Overall Energy Savings*</t>
  </si>
  <si>
    <t>*The energy savings anticipated is &lt;180 GWhth, thus adhering to the small scale threshold for ICS</t>
  </si>
  <si>
    <t>ER,1</t>
  </si>
  <si>
    <t>ER,2</t>
  </si>
  <si>
    <t>ER,3</t>
  </si>
  <si>
    <t>ER,4</t>
  </si>
  <si>
    <t>ER,5</t>
  </si>
  <si>
    <t>Specific fuel savings for an individual project technology of baseline b/project p pair in year 1 (mass or volume units/technology*day)</t>
  </si>
  <si>
    <t>Specific fuel savings for an individual project technology of baseline b/project p pair in year 2 (mass or volume units/technology*day)</t>
  </si>
  <si>
    <t>Specific fuel savings for an individual project technology of baseline b/project p pair in year 3 (mass or volume units/technology*day)</t>
  </si>
  <si>
    <t>Specific fuel savings for an individual project technology of baseline b/project p pair in year 4 (mass or volume units/technology*day)</t>
  </si>
  <si>
    <t>Specific fuel savings for an individual project technology of baseline b/project p pair in year 5 (mass or volume units/technology*day)</t>
  </si>
  <si>
    <t>SFSp,b,1</t>
  </si>
  <si>
    <t>SFSp,b,2</t>
  </si>
  <si>
    <t>SFSp,b,3</t>
  </si>
  <si>
    <t>SFSp,b,4</t>
  </si>
  <si>
    <t>SFSp,b,5</t>
  </si>
  <si>
    <t>Total estimated emission reductions (tCO2-e)</t>
  </si>
  <si>
    <t>Annual Average</t>
  </si>
  <si>
    <t>Total VERs</t>
  </si>
  <si>
    <t>EMISSION REDUCTIONS (SDG-13)</t>
  </si>
  <si>
    <t>Using Methodology Capped Value</t>
  </si>
  <si>
    <t>Monitored</t>
  </si>
  <si>
    <t xml:space="preserve">Fixed ex-ante  </t>
  </si>
  <si>
    <t>tonnes/HH-day</t>
  </si>
  <si>
    <t>To be monitored-Project KPT)</t>
  </si>
  <si>
    <t>Methodology</t>
  </si>
  <si>
    <t>Version of the sheet</t>
  </si>
  <si>
    <t>RECH v.4</t>
  </si>
  <si>
    <t xml:space="preserve">Baseline survey </t>
  </si>
  <si>
    <t>Fixed ex-ante ((Capped at 0.95 / capita / year)</t>
  </si>
  <si>
    <t>Tool 30</t>
  </si>
  <si>
    <t>Value</t>
  </si>
  <si>
    <t>REDUCED EMISSIONS FROM COOKING AND HEATING: Technologies and Practices to Displace Decentralized Thermal Energy Consumption (TPDDTEC) v.4</t>
  </si>
  <si>
    <t>adjustment factor of 0.95 to the emission reductions to approximate leakage emissions</t>
  </si>
  <si>
    <t>"</t>
  </si>
  <si>
    <t>-</t>
  </si>
  <si>
    <t>A 5% decrease each year in fuel savings over time is assumed for the project, as stove efficiency may decrease as they age. During project verification, fuel savings will be calculated based on actual monitored project consumption.</t>
  </si>
  <si>
    <t>Baseline survey -  (Capped as per the RECH v.4 - 0.95tonnes/person/year)</t>
  </si>
  <si>
    <t>TJ/day</t>
  </si>
  <si>
    <t>1 TJ</t>
  </si>
  <si>
    <t>https://www.convertunits.com/from/TJ/to/megawatt-hour</t>
  </si>
  <si>
    <t>kWh</t>
  </si>
  <si>
    <t>Kwh/day</t>
  </si>
  <si>
    <t>Estimated daily use (hours)</t>
  </si>
  <si>
    <t>Useful output (kW)</t>
  </si>
  <si>
    <t>Stove KW Threshold calculation</t>
  </si>
  <si>
    <t>GS 10911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</si>
</sst>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0.0"/>
    <numFmt numFmtId="167" formatCode="_ * #,##0_ ;_ * \-#,##0_ ;_ * &quot;-&quot;??_ ;_ @_ "/>
  </numFmts>
  <fonts count="12" x14ac:knownFonts="1">
    <font>
      <sz val="11"/>
      <color theme="1"/>
      <name val="Calibri"/>
      <family val="2"/>
      <scheme val="minor"/>
    </font>
    <font>
      <sz val="11"/>
      <color theme="1"/>
      <name val="Calibri"/>
      <family val="2"/>
      <scheme val="minor"/>
    </font>
    <font>
      <b/>
      <sz val="11"/>
      <color theme="1"/>
      <name val="Calibri"/>
      <family val="2"/>
      <scheme val="minor"/>
    </font>
    <font>
      <vertAlign val="subscript"/>
      <sz val="11"/>
      <color theme="1"/>
      <name val="Calibri"/>
      <family val="2"/>
      <scheme val="minor"/>
    </font>
    <font>
      <b/>
      <sz val="12"/>
      <name val="Calibri"/>
      <family val="2"/>
    </font>
    <font>
      <sz val="8"/>
      <name val="Calibri"/>
      <family val="2"/>
      <scheme val="minor"/>
    </font>
    <font>
      <sz val="11"/>
      <name val="Calibri"/>
      <family val="2"/>
      <scheme val="minor"/>
    </font>
    <font>
      <i/>
      <sz val="11"/>
      <color theme="0" tint="-0.249977111117893"/>
      <name val="Calibri"/>
      <family val="2"/>
      <scheme val="minor"/>
    </font>
    <font>
      <b/>
      <u/>
      <sz val="11"/>
      <color theme="1"/>
      <name val="Calibri"/>
      <family val="2"/>
      <scheme val="minor"/>
    </font>
    <font>
      <b/>
      <i/>
      <sz val="11"/>
      <color theme="1"/>
      <name val="Calibri"/>
      <family val="2"/>
      <scheme val="minor"/>
    </font>
    <font>
      <b/>
      <sz val="11"/>
      <color theme="1"/>
      <name val="Calibri"/>
      <family val="2"/>
    </font>
    <font>
      <b/>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9"/>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0" fillId="0" borderId="4" xfId="0" applyBorder="1"/>
    <xf numFmtId="0" fontId="0" fillId="0" borderId="0" xfId="0" applyAlignment="1">
      <alignment wrapText="1"/>
    </xf>
    <xf numFmtId="0" fontId="0" fillId="0" borderId="0" xfId="0" applyAlignment="1">
      <alignment horizontal="center"/>
    </xf>
    <xf numFmtId="0" fontId="0" fillId="3" borderId="4" xfId="0" applyFill="1" applyBorder="1" applyAlignment="1">
      <alignment horizontal="left" vertical="center"/>
    </xf>
    <xf numFmtId="0" fontId="0" fillId="4" borderId="4" xfId="0" applyFill="1" applyBorder="1" applyAlignment="1">
      <alignment horizontal="left" vertical="center"/>
    </xf>
    <xf numFmtId="0" fontId="0" fillId="5" borderId="4" xfId="0" applyFill="1" applyBorder="1" applyAlignment="1">
      <alignment horizontal="left" vertical="center"/>
    </xf>
    <xf numFmtId="0" fontId="2" fillId="6" borderId="4" xfId="0" applyFont="1" applyFill="1" applyBorder="1" applyAlignment="1">
      <alignment horizontal="left"/>
    </xf>
    <xf numFmtId="0" fontId="2" fillId="6" borderId="4" xfId="0" applyFont="1" applyFill="1" applyBorder="1" applyAlignment="1">
      <alignment horizontal="center" wrapText="1"/>
    </xf>
    <xf numFmtId="0" fontId="0" fillId="0" borderId="4" xfId="0" applyBorder="1" applyAlignment="1">
      <alignment horizontal="left"/>
    </xf>
    <xf numFmtId="3" fontId="6" fillId="0" borderId="4" xfId="0" applyNumberFormat="1" applyFont="1" applyBorder="1" applyAlignment="1">
      <alignment horizontal="center"/>
    </xf>
    <xf numFmtId="3" fontId="0" fillId="0" borderId="4" xfId="0" applyNumberFormat="1" applyBorder="1"/>
    <xf numFmtId="0" fontId="7" fillId="0" borderId="0" xfId="0" applyFont="1"/>
    <xf numFmtId="3" fontId="0" fillId="0" borderId="0" xfId="0" applyNumberFormat="1" applyAlignment="1">
      <alignment horizontal="center"/>
    </xf>
    <xf numFmtId="0" fontId="8" fillId="0" borderId="0" xfId="0" applyFont="1"/>
    <xf numFmtId="0" fontId="0" fillId="0" borderId="0" xfId="0" applyAlignment="1">
      <alignment horizontal="center" vertical="center"/>
    </xf>
    <xf numFmtId="0" fontId="2" fillId="0" borderId="6" xfId="0" applyFont="1" applyBorder="1" applyAlignment="1">
      <alignment horizontal="center" vertical="center"/>
    </xf>
    <xf numFmtId="0" fontId="0" fillId="0" borderId="1" xfId="0" applyBorder="1"/>
    <xf numFmtId="0" fontId="0" fillId="0" borderId="7" xfId="0" applyBorder="1" applyAlignment="1">
      <alignment horizontal="center" vertical="center"/>
    </xf>
    <xf numFmtId="2" fontId="0" fillId="0" borderId="7" xfId="0" applyNumberFormat="1" applyBorder="1" applyAlignment="1">
      <alignment horizontal="center" vertical="center"/>
    </xf>
    <xf numFmtId="0" fontId="0" fillId="0" borderId="8" xfId="0" applyBorder="1" applyAlignment="1">
      <alignment horizontal="center" vertical="center"/>
    </xf>
    <xf numFmtId="0" fontId="0" fillId="0" borderId="2" xfId="0" applyBorder="1"/>
    <xf numFmtId="0" fontId="0" fillId="0" borderId="4" xfId="0" applyBorder="1" applyAlignment="1">
      <alignment horizontal="center" vertical="center"/>
    </xf>
    <xf numFmtId="165" fontId="0" fillId="0" borderId="4" xfId="0" applyNumberFormat="1" applyBorder="1" applyAlignment="1">
      <alignment horizontal="center" vertical="center"/>
    </xf>
    <xf numFmtId="0" fontId="0" fillId="7" borderId="9" xfId="0" applyFill="1" applyBorder="1" applyAlignment="1">
      <alignment horizontal="center" vertical="center" wrapText="1"/>
    </xf>
    <xf numFmtId="2" fontId="0" fillId="0" borderId="4" xfId="0" applyNumberFormat="1" applyBorder="1" applyAlignment="1">
      <alignment horizontal="center" vertical="center"/>
    </xf>
    <xf numFmtId="0" fontId="0" fillId="0" borderId="9" xfId="0" applyBorder="1" applyAlignment="1">
      <alignment horizontal="center" vertical="center"/>
    </xf>
    <xf numFmtId="2" fontId="0" fillId="7" borderId="4" xfId="0" applyNumberFormat="1" applyFill="1" applyBorder="1" applyAlignment="1">
      <alignment horizontal="center" vertical="center"/>
    </xf>
    <xf numFmtId="0" fontId="0" fillId="0" borderId="2" xfId="0" applyBorder="1" applyAlignment="1">
      <alignment wrapText="1"/>
    </xf>
    <xf numFmtId="0" fontId="0" fillId="8" borderId="2" xfId="0" applyFill="1" applyBorder="1" applyAlignment="1">
      <alignment wrapText="1"/>
    </xf>
    <xf numFmtId="0" fontId="0" fillId="8" borderId="4" xfId="0" applyFill="1" applyBorder="1" applyAlignment="1">
      <alignment horizontal="center" vertical="center"/>
    </xf>
    <xf numFmtId="1" fontId="0" fillId="8" borderId="4" xfId="0" applyNumberFormat="1" applyFill="1" applyBorder="1" applyAlignment="1">
      <alignment horizontal="center" vertical="center"/>
    </xf>
    <xf numFmtId="0" fontId="0" fillId="8" borderId="9" xfId="0" applyFill="1" applyBorder="1" applyAlignment="1">
      <alignment horizontal="center" vertical="center"/>
    </xf>
    <xf numFmtId="0" fontId="2" fillId="8" borderId="3" xfId="0" applyFont="1" applyFill="1" applyBorder="1" applyAlignment="1">
      <alignment wrapText="1"/>
    </xf>
    <xf numFmtId="0" fontId="2" fillId="8" borderId="4" xfId="0" applyFont="1" applyFill="1" applyBorder="1" applyAlignment="1">
      <alignment horizontal="center" vertical="center"/>
    </xf>
    <xf numFmtId="0" fontId="2" fillId="8" borderId="10" xfId="0" applyFont="1" applyFill="1" applyBorder="1" applyAlignment="1">
      <alignment horizontal="center" vertical="center"/>
    </xf>
    <xf numFmtId="166" fontId="2" fillId="8" borderId="5" xfId="0" applyNumberFormat="1" applyFont="1" applyFill="1" applyBorder="1" applyAlignment="1">
      <alignment horizontal="center" vertical="center"/>
    </xf>
    <xf numFmtId="3" fontId="0" fillId="0" borderId="0" xfId="0" applyNumberFormat="1"/>
    <xf numFmtId="0" fontId="2" fillId="0" borderId="0" xfId="0" applyFont="1" applyAlignment="1">
      <alignment horizontal="center" wrapText="1"/>
    </xf>
    <xf numFmtId="0" fontId="2" fillId="9" borderId="1" xfId="0" applyFont="1" applyFill="1" applyBorder="1" applyAlignment="1">
      <alignment wrapText="1"/>
    </xf>
    <xf numFmtId="0" fontId="0" fillId="0" borderId="2" xfId="0" applyBorder="1" applyAlignment="1">
      <alignment horizontal="left" vertical="center" wrapText="1"/>
    </xf>
    <xf numFmtId="0" fontId="10" fillId="9" borderId="2" xfId="0" applyFont="1" applyFill="1" applyBorder="1" applyAlignment="1">
      <alignment vertical="top" wrapText="1"/>
    </xf>
    <xf numFmtId="0" fontId="0" fillId="8" borderId="3" xfId="0" applyFill="1" applyBorder="1" applyAlignment="1">
      <alignment wrapText="1"/>
    </xf>
    <xf numFmtId="0" fontId="0" fillId="3" borderId="4" xfId="0" applyFill="1" applyBorder="1" applyAlignment="1">
      <alignment horizontal="center"/>
    </xf>
    <xf numFmtId="9" fontId="0" fillId="3" borderId="4" xfId="0" applyNumberFormat="1" applyFill="1" applyBorder="1" applyAlignment="1">
      <alignment horizontal="center"/>
    </xf>
    <xf numFmtId="0" fontId="0" fillId="5" borderId="4" xfId="0" applyFill="1" applyBorder="1" applyAlignment="1">
      <alignment horizontal="center"/>
    </xf>
    <xf numFmtId="10" fontId="0" fillId="5" borderId="4" xfId="0" applyNumberFormat="1" applyFill="1" applyBorder="1" applyAlignment="1">
      <alignment horizontal="center"/>
    </xf>
    <xf numFmtId="0" fontId="0" fillId="4" borderId="4" xfId="0" applyFill="1" applyBorder="1" applyAlignment="1">
      <alignment horizontal="center"/>
    </xf>
    <xf numFmtId="0" fontId="2" fillId="9" borderId="4" xfId="0" applyFont="1" applyFill="1" applyBorder="1" applyAlignment="1">
      <alignment wrapText="1"/>
    </xf>
    <xf numFmtId="0" fontId="2" fillId="0" borderId="4" xfId="0" applyFont="1" applyBorder="1" applyAlignment="1">
      <alignment horizontal="left"/>
    </xf>
    <xf numFmtId="3" fontId="2" fillId="0" borderId="4" xfId="0" applyNumberFormat="1" applyFont="1" applyBorder="1" applyAlignment="1">
      <alignment horizontal="center"/>
    </xf>
    <xf numFmtId="3" fontId="11" fillId="0" borderId="4" xfId="0" applyNumberFormat="1" applyFont="1" applyBorder="1" applyAlignment="1">
      <alignment horizontal="center"/>
    </xf>
    <xf numFmtId="0" fontId="0" fillId="3" borderId="4" xfId="0" applyFill="1" applyBorder="1" applyAlignment="1">
      <alignment horizontal="left" vertical="center" wrapText="1"/>
    </xf>
    <xf numFmtId="0" fontId="0" fillId="5" borderId="4" xfId="0" applyFill="1" applyBorder="1" applyAlignment="1">
      <alignment horizontal="left" vertical="center" wrapText="1"/>
    </xf>
    <xf numFmtId="0" fontId="0" fillId="4" borderId="4" xfId="0" applyFill="1" applyBorder="1" applyAlignment="1">
      <alignment horizontal="left" vertical="center" wrapText="1"/>
    </xf>
    <xf numFmtId="167" fontId="0" fillId="0" borderId="4" xfId="1" applyNumberFormat="1" applyFont="1" applyBorder="1"/>
    <xf numFmtId="167" fontId="10" fillId="9" borderId="4" xfId="1" applyNumberFormat="1" applyFont="1" applyFill="1" applyBorder="1" applyAlignment="1">
      <alignment vertical="top" wrapText="1"/>
    </xf>
    <xf numFmtId="167" fontId="0" fillId="8" borderId="4" xfId="1" applyNumberFormat="1" applyFont="1" applyFill="1" applyBorder="1" applyAlignment="1">
      <alignment wrapText="1"/>
    </xf>
    <xf numFmtId="164" fontId="0" fillId="0" borderId="0" xfId="0" applyNumberFormat="1"/>
    <xf numFmtId="0" fontId="2" fillId="0" borderId="4" xfId="0" applyFont="1" applyBorder="1"/>
    <xf numFmtId="0" fontId="0" fillId="0" borderId="4" xfId="0" applyBorder="1" applyAlignment="1">
      <alignment wrapText="1"/>
    </xf>
    <xf numFmtId="14" fontId="0" fillId="0" borderId="4" xfId="0" applyNumberFormat="1" applyBorder="1"/>
    <xf numFmtId="0" fontId="2" fillId="2"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0" fillId="0" borderId="0" xfId="0" applyAlignment="1">
      <alignment horizontal="center" vertical="center" wrapText="1"/>
    </xf>
    <xf numFmtId="1" fontId="0" fillId="4" borderId="4" xfId="0" applyNumberFormat="1" applyFill="1" applyBorder="1" applyAlignment="1">
      <alignment horizontal="center"/>
    </xf>
    <xf numFmtId="0" fontId="0" fillId="4" borderId="4" xfId="0" quotePrefix="1" applyFill="1" applyBorder="1" applyAlignment="1">
      <alignment horizontal="left" vertical="center" wrapText="1"/>
    </xf>
    <xf numFmtId="0" fontId="0" fillId="4" borderId="4" xfId="0" applyFill="1" applyBorder="1" applyAlignment="1">
      <alignment horizontal="center" vertical="center"/>
    </xf>
    <xf numFmtId="0" fontId="0" fillId="5" borderId="4" xfId="0" applyFill="1" applyBorder="1" applyAlignment="1">
      <alignment horizontal="center" vertical="center"/>
    </xf>
    <xf numFmtId="0" fontId="0" fillId="3" borderId="4" xfId="0" applyFill="1" applyBorder="1" applyAlignment="1">
      <alignment horizontal="center" vertical="center"/>
    </xf>
    <xf numFmtId="0" fontId="0" fillId="0" borderId="0" xfId="2" applyNumberFormat="1" applyFont="1" applyFill="1"/>
    <xf numFmtId="0" fontId="0" fillId="0" borderId="0" xfId="0" applyAlignment="1">
      <alignment horizontal="right"/>
    </xf>
    <xf numFmtId="0" fontId="0" fillId="11" borderId="0" xfId="0" applyFill="1"/>
    <xf numFmtId="0" fontId="0" fillId="11" borderId="4" xfId="0" applyFill="1" applyBorder="1"/>
    <xf numFmtId="1" fontId="0" fillId="11" borderId="4" xfId="0" applyNumberFormat="1" applyFill="1" applyBorder="1"/>
    <xf numFmtId="4" fontId="0" fillId="11" borderId="4" xfId="0" applyNumberFormat="1" applyFill="1" applyBorder="1"/>
    <xf numFmtId="0" fontId="9" fillId="0" borderId="11" xfId="0" applyFont="1" applyBorder="1" applyAlignment="1">
      <alignment horizontal="left"/>
    </xf>
    <xf numFmtId="0" fontId="0" fillId="8" borderId="0" xfId="0" applyFill="1" applyAlignment="1">
      <alignment horizontal="center"/>
    </xf>
    <xf numFmtId="0" fontId="8" fillId="10" borderId="0" xfId="0"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258860</xdr:rowOff>
    </xdr:from>
    <xdr:to>
      <xdr:col>4</xdr:col>
      <xdr:colOff>303389</xdr:colOff>
      <xdr:row>3</xdr:row>
      <xdr:rowOff>374753</xdr:rowOff>
    </xdr:to>
    <xdr:pic>
      <xdr:nvPicPr>
        <xdr:cNvPr id="2" name="Picture 1">
          <a:extLst>
            <a:ext uri="{FF2B5EF4-FFF2-40B4-BE49-F238E27FC236}">
              <a16:creationId xmlns:a16="http://schemas.microsoft.com/office/drawing/2014/main" id="{5A2BFF40-D25E-0FE7-6F3D-0F71EE9B0498}"/>
            </a:ext>
          </a:extLst>
        </xdr:cNvPr>
        <xdr:cNvPicPr>
          <a:picLocks noChangeAspect="1"/>
        </xdr:cNvPicPr>
      </xdr:nvPicPr>
      <xdr:blipFill>
        <a:blip xmlns:r="http://schemas.openxmlformats.org/officeDocument/2006/relationships" r:embed="rId1"/>
        <a:stretch>
          <a:fillRect/>
        </a:stretch>
      </xdr:blipFill>
      <xdr:spPr>
        <a:xfrm>
          <a:off x="0" y="442304"/>
          <a:ext cx="7281333" cy="9061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5F24-ADC5-42C0-A9C2-654FF7455676}">
  <dimension ref="A1:B8"/>
  <sheetViews>
    <sheetView tabSelected="1" workbookViewId="0"/>
  </sheetViews>
  <sheetFormatPr defaultColWidth="8.81640625" defaultRowHeight="14.5" x14ac:dyDescent="0.35"/>
  <cols>
    <col min="1" max="1" width="17.1796875" customWidth="1"/>
    <col min="2" max="2" width="63.453125" customWidth="1"/>
  </cols>
  <sheetData>
    <row r="1" spans="1:2" x14ac:dyDescent="0.35">
      <c r="A1" s="59" t="s">
        <v>0</v>
      </c>
      <c r="B1" s="1" t="s">
        <v>6</v>
      </c>
    </row>
    <row r="2" spans="1:2" x14ac:dyDescent="0.35">
      <c r="A2" s="59" t="s">
        <v>1</v>
      </c>
      <c r="B2" s="1">
        <v>10898</v>
      </c>
    </row>
    <row r="3" spans="1:2" x14ac:dyDescent="0.35">
      <c r="A3" s="59" t="s">
        <v>2</v>
      </c>
      <c r="B3" s="1" t="s">
        <v>120</v>
      </c>
    </row>
    <row r="4" spans="1:2" x14ac:dyDescent="0.35">
      <c r="A4" s="59" t="s">
        <v>7</v>
      </c>
      <c r="B4" s="1" t="s">
        <v>8</v>
      </c>
    </row>
    <row r="5" spans="1:2" x14ac:dyDescent="0.35">
      <c r="A5" s="59" t="s">
        <v>3</v>
      </c>
      <c r="B5" s="1" t="s">
        <v>5</v>
      </c>
    </row>
    <row r="6" spans="1:2" ht="43.5" x14ac:dyDescent="0.35">
      <c r="A6" s="59" t="s">
        <v>99</v>
      </c>
      <c r="B6" s="60" t="s">
        <v>106</v>
      </c>
    </row>
    <row r="7" spans="1:2" x14ac:dyDescent="0.35">
      <c r="A7" s="59" t="s">
        <v>100</v>
      </c>
      <c r="B7" s="1">
        <v>2</v>
      </c>
    </row>
    <row r="8" spans="1:2" x14ac:dyDescent="0.35">
      <c r="A8" s="59" t="s">
        <v>4</v>
      </c>
      <c r="B8" s="61">
        <v>45607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F38A-5C44-428E-B50B-0128DD98AB3C}">
  <dimension ref="A1:F7"/>
  <sheetViews>
    <sheetView workbookViewId="0">
      <selection activeCell="B2" sqref="B2"/>
    </sheetView>
  </sheetViews>
  <sheetFormatPr defaultRowHeight="14.5" x14ac:dyDescent="0.35"/>
  <cols>
    <col min="1" max="1" width="9.6328125" customWidth="1"/>
    <col min="2" max="2" width="12.1796875" customWidth="1"/>
    <col min="3" max="3" width="21.36328125" customWidth="1"/>
    <col min="4" max="4" width="65" customWidth="1"/>
    <col min="5" max="5" width="21.36328125" customWidth="1"/>
    <col min="6" max="6" width="17.453125" customWidth="1"/>
  </cols>
  <sheetData>
    <row r="1" spans="1:6" ht="31" x14ac:dyDescent="0.35">
      <c r="A1" t="s">
        <v>9</v>
      </c>
      <c r="B1" t="s">
        <v>105</v>
      </c>
      <c r="C1" t="s">
        <v>18</v>
      </c>
      <c r="D1" t="s">
        <v>19</v>
      </c>
      <c r="E1" s="63" t="s">
        <v>20</v>
      </c>
      <c r="F1" s="63" t="s">
        <v>21</v>
      </c>
    </row>
    <row r="2" spans="1:6" x14ac:dyDescent="0.35">
      <c r="A2" s="6" t="s">
        <v>11</v>
      </c>
      <c r="B2" s="45">
        <f>0.0156</f>
        <v>1.5599999999999999E-2</v>
      </c>
      <c r="C2" s="6" t="s">
        <v>26</v>
      </c>
      <c r="D2" s="53" t="s">
        <v>27</v>
      </c>
      <c r="E2" s="53" t="s">
        <v>96</v>
      </c>
      <c r="F2" s="53" t="s">
        <v>101</v>
      </c>
    </row>
    <row r="3" spans="1:6" ht="43.5" x14ac:dyDescent="0.35">
      <c r="A3" s="6" t="s">
        <v>12</v>
      </c>
      <c r="B3" s="45">
        <v>0.76</v>
      </c>
      <c r="C3" s="6" t="s">
        <v>28</v>
      </c>
      <c r="D3" s="53" t="s">
        <v>29</v>
      </c>
      <c r="E3" s="53" t="s">
        <v>96</v>
      </c>
      <c r="F3" s="53" t="s">
        <v>104</v>
      </c>
    </row>
    <row r="4" spans="1:6" ht="16.5" x14ac:dyDescent="0.35">
      <c r="A4" s="6" t="s">
        <v>13</v>
      </c>
      <c r="B4" s="45">
        <v>112</v>
      </c>
      <c r="C4" s="6" t="s">
        <v>30</v>
      </c>
      <c r="D4" s="53" t="s">
        <v>31</v>
      </c>
      <c r="E4" s="53" t="s">
        <v>96</v>
      </c>
      <c r="F4" s="53" t="s">
        <v>101</v>
      </c>
    </row>
    <row r="5" spans="1:6" ht="31" x14ac:dyDescent="0.35">
      <c r="A5" s="6" t="s">
        <v>14</v>
      </c>
      <c r="B5" s="45">
        <v>9.4600000000000009</v>
      </c>
      <c r="C5" s="6" t="s">
        <v>30</v>
      </c>
      <c r="D5" s="53" t="s">
        <v>32</v>
      </c>
      <c r="E5" s="53" t="s">
        <v>96</v>
      </c>
      <c r="F5" s="53" t="s">
        <v>101</v>
      </c>
    </row>
    <row r="6" spans="1:6" x14ac:dyDescent="0.35">
      <c r="A6" s="6" t="s">
        <v>15</v>
      </c>
      <c r="B6" s="6">
        <f>0.95*4.4/365</f>
        <v>1.1452054794520548E-2</v>
      </c>
      <c r="C6" s="6" t="s">
        <v>97</v>
      </c>
      <c r="D6" s="6" t="s">
        <v>33</v>
      </c>
      <c r="E6" s="6" t="s">
        <v>103</v>
      </c>
      <c r="F6" s="6" t="s">
        <v>111</v>
      </c>
    </row>
    <row r="7" spans="1:6" ht="29" x14ac:dyDescent="0.35">
      <c r="A7" s="6" t="s">
        <v>17</v>
      </c>
      <c r="B7" s="46">
        <v>0.95</v>
      </c>
      <c r="C7" s="6" t="s">
        <v>23</v>
      </c>
      <c r="D7" s="53" t="s">
        <v>107</v>
      </c>
      <c r="E7" s="53" t="s">
        <v>96</v>
      </c>
      <c r="F7" s="53"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EBB0-138E-4DB1-87AA-3E7A28FC3E7A}">
  <dimension ref="A2:L32"/>
  <sheetViews>
    <sheetView zoomScale="90" zoomScaleNormal="90" workbookViewId="0"/>
  </sheetViews>
  <sheetFormatPr defaultColWidth="8.81640625" defaultRowHeight="14.5" x14ac:dyDescent="0.35"/>
  <cols>
    <col min="1" max="1" width="17.6328125" customWidth="1"/>
    <col min="2" max="2" width="19.1796875" style="3" customWidth="1"/>
    <col min="3" max="3" width="21.36328125" style="3" customWidth="1"/>
    <col min="4" max="4" width="41.6328125" style="2" customWidth="1"/>
    <col min="5" max="5" width="32.1796875" customWidth="1"/>
    <col min="6" max="6" width="19.08984375" customWidth="1"/>
    <col min="7" max="7" width="18.54296875" customWidth="1"/>
    <col min="10" max="10" width="36.6328125" customWidth="1"/>
    <col min="11" max="11" width="26.6328125" customWidth="1"/>
    <col min="12" max="12" width="23.81640625" customWidth="1"/>
    <col min="13" max="13" width="29.36328125" customWidth="1"/>
  </cols>
  <sheetData>
    <row r="2" spans="1:12" ht="31.25" customHeight="1" x14ac:dyDescent="0.35"/>
    <row r="3" spans="1:12" ht="31.25" customHeight="1" x14ac:dyDescent="0.35">
      <c r="C3"/>
    </row>
    <row r="4" spans="1:12" ht="44.4" customHeight="1" x14ac:dyDescent="0.35">
      <c r="C4"/>
    </row>
    <row r="5" spans="1:12" s="64" customFormat="1" ht="38.4" customHeight="1" x14ac:dyDescent="0.35">
      <c r="A5" s="62" t="s">
        <v>9</v>
      </c>
      <c r="B5" s="63" t="s">
        <v>94</v>
      </c>
      <c r="C5" s="63" t="s">
        <v>18</v>
      </c>
      <c r="D5" s="63" t="s">
        <v>19</v>
      </c>
      <c r="E5" s="63" t="s">
        <v>20</v>
      </c>
      <c r="F5" s="63" t="s">
        <v>21</v>
      </c>
    </row>
    <row r="6" spans="1:12" ht="43.5" x14ac:dyDescent="0.35">
      <c r="A6" s="4" t="s">
        <v>42</v>
      </c>
      <c r="B6" s="43">
        <f>'Distribution &amp; Thermal Energy'!C2*365</f>
        <v>182500</v>
      </c>
      <c r="C6" s="4" t="s">
        <v>22</v>
      </c>
      <c r="D6" s="52" t="s">
        <v>37</v>
      </c>
      <c r="E6" s="4" t="s">
        <v>95</v>
      </c>
      <c r="F6" s="4"/>
      <c r="J6" s="3"/>
      <c r="K6" s="3"/>
      <c r="L6" s="3"/>
    </row>
    <row r="7" spans="1:12" ht="43.5" x14ac:dyDescent="0.35">
      <c r="A7" s="4" t="s">
        <v>43</v>
      </c>
      <c r="B7" s="43">
        <f>'Distribution &amp; Thermal Energy'!C3*365</f>
        <v>2007500</v>
      </c>
      <c r="C7" s="4" t="s">
        <v>22</v>
      </c>
      <c r="D7" s="52" t="s">
        <v>38</v>
      </c>
      <c r="E7" s="4" t="s">
        <v>95</v>
      </c>
      <c r="F7" s="4"/>
    </row>
    <row r="8" spans="1:12" ht="43.5" x14ac:dyDescent="0.35">
      <c r="A8" s="4" t="s">
        <v>44</v>
      </c>
      <c r="B8" s="43">
        <f>'Distribution &amp; Thermal Energy'!C4*365</f>
        <v>4015000</v>
      </c>
      <c r="C8" s="4" t="s">
        <v>22</v>
      </c>
      <c r="D8" s="52" t="s">
        <v>39</v>
      </c>
      <c r="E8" s="4" t="s">
        <v>95</v>
      </c>
      <c r="F8" s="4"/>
    </row>
    <row r="9" spans="1:12" ht="43.5" x14ac:dyDescent="0.35">
      <c r="A9" s="4" t="s">
        <v>45</v>
      </c>
      <c r="B9" s="43">
        <f>'Distribution &amp; Thermal Energy'!C5*365</f>
        <v>6205000</v>
      </c>
      <c r="C9" s="4" t="s">
        <v>22</v>
      </c>
      <c r="D9" s="52" t="s">
        <v>40</v>
      </c>
      <c r="E9" s="4" t="s">
        <v>95</v>
      </c>
      <c r="F9" s="4"/>
    </row>
    <row r="10" spans="1:12" ht="43.5" x14ac:dyDescent="0.35">
      <c r="A10" s="4" t="s">
        <v>46</v>
      </c>
      <c r="B10" s="43">
        <f>'Distribution &amp; Thermal Energy'!C6*365</f>
        <v>8030000</v>
      </c>
      <c r="C10" s="4" t="s">
        <v>22</v>
      </c>
      <c r="D10" s="52" t="s">
        <v>41</v>
      </c>
      <c r="E10" s="4" t="s">
        <v>95</v>
      </c>
      <c r="F10" s="4"/>
    </row>
    <row r="11" spans="1:12" ht="29" x14ac:dyDescent="0.35">
      <c r="A11" s="4" t="s">
        <v>10</v>
      </c>
      <c r="B11" s="44">
        <v>0.9</v>
      </c>
      <c r="C11" s="4" t="s">
        <v>23</v>
      </c>
      <c r="D11" s="52" t="s">
        <v>24</v>
      </c>
      <c r="E11" s="4" t="s">
        <v>95</v>
      </c>
      <c r="F11" s="4"/>
    </row>
    <row r="12" spans="1:12" x14ac:dyDescent="0.35">
      <c r="A12" s="6" t="s">
        <v>11</v>
      </c>
      <c r="B12" s="45">
        <f>Parameters!B2</f>
        <v>1.5599999999999999E-2</v>
      </c>
      <c r="C12" s="6" t="s">
        <v>26</v>
      </c>
      <c r="D12" s="53" t="s">
        <v>27</v>
      </c>
      <c r="E12" s="53" t="s">
        <v>96</v>
      </c>
      <c r="F12" s="53" t="s">
        <v>101</v>
      </c>
    </row>
    <row r="13" spans="1:12" ht="58" x14ac:dyDescent="0.35">
      <c r="A13" s="6" t="s">
        <v>12</v>
      </c>
      <c r="B13" s="45">
        <f>Parameters!B3</f>
        <v>0.76</v>
      </c>
      <c r="C13" s="6" t="s">
        <v>28</v>
      </c>
      <c r="D13" s="53" t="s">
        <v>29</v>
      </c>
      <c r="E13" s="53" t="s">
        <v>96</v>
      </c>
      <c r="F13" s="53" t="s">
        <v>104</v>
      </c>
    </row>
    <row r="14" spans="1:12" ht="16.5" x14ac:dyDescent="0.35">
      <c r="A14" s="6" t="s">
        <v>13</v>
      </c>
      <c r="B14" s="45">
        <f>Parameters!B4</f>
        <v>112</v>
      </c>
      <c r="C14" s="6" t="s">
        <v>30</v>
      </c>
      <c r="D14" s="53" t="s">
        <v>31</v>
      </c>
      <c r="E14" s="53" t="s">
        <v>96</v>
      </c>
      <c r="F14" s="53" t="s">
        <v>101</v>
      </c>
    </row>
    <row r="15" spans="1:12" ht="45.5" x14ac:dyDescent="0.35">
      <c r="A15" s="6" t="s">
        <v>14</v>
      </c>
      <c r="B15" s="45">
        <f>Parameters!B5</f>
        <v>9.4600000000000009</v>
      </c>
      <c r="C15" s="6" t="s">
        <v>30</v>
      </c>
      <c r="D15" s="53" t="s">
        <v>32</v>
      </c>
      <c r="E15" s="53" t="s">
        <v>96</v>
      </c>
      <c r="F15" s="53" t="s">
        <v>101</v>
      </c>
    </row>
    <row r="16" spans="1:12" ht="43.5" x14ac:dyDescent="0.35">
      <c r="A16" s="5" t="s">
        <v>85</v>
      </c>
      <c r="B16" s="47">
        <f>($B$21-$B$22)</f>
        <v>5.152054794520548E-3</v>
      </c>
      <c r="C16" s="5" t="s">
        <v>25</v>
      </c>
      <c r="D16" s="54" t="s">
        <v>80</v>
      </c>
      <c r="E16" s="54" t="s">
        <v>61</v>
      </c>
      <c r="F16" s="54" t="s">
        <v>109</v>
      </c>
    </row>
    <row r="17" spans="1:7" ht="174" x14ac:dyDescent="0.35">
      <c r="A17" s="5" t="s">
        <v>86</v>
      </c>
      <c r="B17" s="67">
        <f>($B$21-$B$22)*0.95</f>
        <v>4.8944520547945201E-3</v>
      </c>
      <c r="C17" s="5" t="s">
        <v>25</v>
      </c>
      <c r="D17" s="54" t="s">
        <v>81</v>
      </c>
      <c r="E17" s="54" t="s">
        <v>61</v>
      </c>
      <c r="F17" s="54" t="s">
        <v>110</v>
      </c>
    </row>
    <row r="18" spans="1:7" ht="43.5" x14ac:dyDescent="0.35">
      <c r="A18" s="5" t="s">
        <v>87</v>
      </c>
      <c r="B18" s="47">
        <f>($B$21-$B$22)*0.9</f>
        <v>4.6368493150684932E-3</v>
      </c>
      <c r="C18" s="5" t="s">
        <v>25</v>
      </c>
      <c r="D18" s="54" t="s">
        <v>82</v>
      </c>
      <c r="E18" s="54" t="s">
        <v>61</v>
      </c>
      <c r="F18" s="66" t="s">
        <v>108</v>
      </c>
    </row>
    <row r="19" spans="1:7" ht="43.5" x14ac:dyDescent="0.35">
      <c r="A19" s="5" t="s">
        <v>88</v>
      </c>
      <c r="B19" s="47">
        <f>($B$21-$B$22)*0.85</f>
        <v>4.3792465753424653E-3</v>
      </c>
      <c r="C19" s="5" t="s">
        <v>25</v>
      </c>
      <c r="D19" s="54" t="s">
        <v>83</v>
      </c>
      <c r="E19" s="54" t="s">
        <v>61</v>
      </c>
      <c r="F19" s="54" t="s">
        <v>108</v>
      </c>
    </row>
    <row r="20" spans="1:7" ht="43.5" x14ac:dyDescent="0.35">
      <c r="A20" s="5" t="s">
        <v>89</v>
      </c>
      <c r="B20" s="47">
        <f>($B$21-$B$22)*0.8</f>
        <v>4.1216438356164384E-3</v>
      </c>
      <c r="C20" s="5" t="s">
        <v>25</v>
      </c>
      <c r="D20" s="54" t="s">
        <v>84</v>
      </c>
      <c r="E20" s="54" t="s">
        <v>61</v>
      </c>
      <c r="F20" s="54" t="s">
        <v>108</v>
      </c>
    </row>
    <row r="21" spans="1:7" ht="40.75" customHeight="1" x14ac:dyDescent="0.35">
      <c r="A21" s="6" t="s">
        <v>15</v>
      </c>
      <c r="B21" s="68">
        <f>Parameters!B6</f>
        <v>1.1452054794520548E-2</v>
      </c>
      <c r="C21" s="6" t="s">
        <v>97</v>
      </c>
      <c r="D21" s="6" t="s">
        <v>33</v>
      </c>
      <c r="E21" s="6" t="s">
        <v>103</v>
      </c>
      <c r="F21" s="6" t="s">
        <v>102</v>
      </c>
    </row>
    <row r="22" spans="1:7" ht="29" x14ac:dyDescent="0.35">
      <c r="A22" s="4" t="s">
        <v>16</v>
      </c>
      <c r="B22" s="69">
        <v>6.3E-3</v>
      </c>
      <c r="C22" s="4" t="s">
        <v>97</v>
      </c>
      <c r="D22" s="52" t="s">
        <v>34</v>
      </c>
      <c r="E22" s="52" t="s">
        <v>98</v>
      </c>
      <c r="F22" s="52"/>
      <c r="G22" s="70"/>
    </row>
    <row r="23" spans="1:7" ht="29" x14ac:dyDescent="0.35">
      <c r="A23" s="6" t="s">
        <v>17</v>
      </c>
      <c r="B23" s="46">
        <v>0.95</v>
      </c>
      <c r="C23" s="6" t="s">
        <v>23</v>
      </c>
      <c r="D23" s="53" t="s">
        <v>107</v>
      </c>
      <c r="E23" s="53" t="s">
        <v>96</v>
      </c>
      <c r="F23" s="53" t="s">
        <v>101</v>
      </c>
    </row>
    <row r="24" spans="1:7" ht="31" x14ac:dyDescent="0.35">
      <c r="A24" s="5" t="s">
        <v>75</v>
      </c>
      <c r="B24" s="65">
        <f>(B6*B$11*B16*B$12*(B$13*B$14+B$15))*B$23</f>
        <v>1186.1329346100001</v>
      </c>
      <c r="C24" s="5" t="s">
        <v>35</v>
      </c>
      <c r="D24" s="54" t="s">
        <v>36</v>
      </c>
      <c r="E24" s="54" t="s">
        <v>61</v>
      </c>
      <c r="F24" s="54"/>
    </row>
    <row r="25" spans="1:7" ht="31" x14ac:dyDescent="0.35">
      <c r="A25" s="5" t="s">
        <v>76</v>
      </c>
      <c r="B25" s="65">
        <f>(B7*B$11*B17*B$12*(B$13*B$14+B$15))*B$23</f>
        <v>12395.089166674499</v>
      </c>
      <c r="C25" s="5" t="s">
        <v>35</v>
      </c>
      <c r="D25" s="54" t="s">
        <v>36</v>
      </c>
      <c r="E25" s="54" t="s">
        <v>61</v>
      </c>
      <c r="F25" s="54"/>
    </row>
    <row r="26" spans="1:7" ht="31" x14ac:dyDescent="0.35">
      <c r="A26" s="5" t="s">
        <v>77</v>
      </c>
      <c r="B26" s="65">
        <f>(B8*B$11*B18*B$12*(B$13*B$14+B$15))*B$23</f>
        <v>23485.432105278003</v>
      </c>
      <c r="C26" s="5" t="s">
        <v>35</v>
      </c>
      <c r="D26" s="54" t="s">
        <v>36</v>
      </c>
      <c r="E26" s="54" t="s">
        <v>61</v>
      </c>
      <c r="F26" s="54"/>
    </row>
    <row r="27" spans="1:7" ht="31" x14ac:dyDescent="0.35">
      <c r="A27" s="5" t="s">
        <v>78</v>
      </c>
      <c r="B27" s="65">
        <f>(B9*B$11*B19*B$12*(B$13*B$14+B$15))*B$23</f>
        <v>34279.241810228996</v>
      </c>
      <c r="C27" s="5" t="s">
        <v>35</v>
      </c>
      <c r="D27" s="54" t="s">
        <v>36</v>
      </c>
      <c r="E27" s="54" t="s">
        <v>61</v>
      </c>
      <c r="F27" s="54"/>
    </row>
    <row r="28" spans="1:7" ht="31" x14ac:dyDescent="0.35">
      <c r="A28" s="5" t="s">
        <v>79</v>
      </c>
      <c r="B28" s="65">
        <f>(B10*B$11*B20*B$12*(B$13*B$14+B$15))*B$23</f>
        <v>41751.879298271997</v>
      </c>
      <c r="C28" s="5" t="s">
        <v>35</v>
      </c>
      <c r="D28" s="54" t="s">
        <v>36</v>
      </c>
      <c r="E28" s="54" t="s">
        <v>61</v>
      </c>
      <c r="F28" s="54"/>
    </row>
    <row r="29" spans="1:7" x14ac:dyDescent="0.35">
      <c r="C29"/>
    </row>
    <row r="30" spans="1:7" x14ac:dyDescent="0.35">
      <c r="C30"/>
    </row>
    <row r="31" spans="1:7" x14ac:dyDescent="0.35">
      <c r="C31"/>
    </row>
    <row r="32" spans="1:7" x14ac:dyDescent="0.35">
      <c r="C32"/>
    </row>
  </sheetData>
  <phoneticPr fontId="5"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D391D-B01E-4515-84ED-F197D41F58AF}">
  <dimension ref="A1:L20"/>
  <sheetViews>
    <sheetView topLeftCell="B1" workbookViewId="0">
      <selection activeCell="B8" sqref="B8"/>
    </sheetView>
  </sheetViews>
  <sheetFormatPr defaultColWidth="8.90625" defaultRowHeight="14.5" x14ac:dyDescent="0.35"/>
  <cols>
    <col min="1" max="1" width="40.81640625" customWidth="1"/>
    <col min="2" max="2" width="18.36328125" customWidth="1"/>
    <col min="3" max="3" width="16.453125" customWidth="1"/>
    <col min="4" max="4" width="17.90625" customWidth="1"/>
    <col min="6" max="6" width="23.6328125" bestFit="1" customWidth="1"/>
    <col min="10" max="10" width="9.81640625" bestFit="1" customWidth="1"/>
  </cols>
  <sheetData>
    <row r="1" spans="1:12" ht="58" x14ac:dyDescent="0.35">
      <c r="A1" s="7" t="s">
        <v>47</v>
      </c>
      <c r="B1" s="8" t="s">
        <v>48</v>
      </c>
      <c r="C1" s="8" t="s">
        <v>49</v>
      </c>
      <c r="D1" s="38"/>
    </row>
    <row r="2" spans="1:12" x14ac:dyDescent="0.35">
      <c r="A2" s="9" t="s">
        <v>50</v>
      </c>
      <c r="B2" s="10">
        <v>500</v>
      </c>
      <c r="C2" s="10">
        <f>B2</f>
        <v>500</v>
      </c>
      <c r="D2" s="37"/>
    </row>
    <row r="3" spans="1:12" x14ac:dyDescent="0.35">
      <c r="A3" s="9" t="s">
        <v>51</v>
      </c>
      <c r="B3" s="10">
        <v>5000</v>
      </c>
      <c r="C3" s="10">
        <f>B3+C2</f>
        <v>5500</v>
      </c>
      <c r="D3" s="37"/>
      <c r="F3" s="12"/>
      <c r="G3" s="12"/>
    </row>
    <row r="4" spans="1:12" x14ac:dyDescent="0.35">
      <c r="A4" s="9" t="s">
        <v>52</v>
      </c>
      <c r="B4" s="10">
        <v>5500</v>
      </c>
      <c r="C4" s="10">
        <f t="shared" ref="C4:C6" si="0">B4+C3</f>
        <v>11000</v>
      </c>
      <c r="D4" s="37"/>
      <c r="F4" s="12"/>
      <c r="G4" s="12"/>
    </row>
    <row r="5" spans="1:12" x14ac:dyDescent="0.35">
      <c r="A5" s="9" t="s">
        <v>53</v>
      </c>
      <c r="B5" s="10">
        <v>6000</v>
      </c>
      <c r="C5" s="10">
        <f t="shared" si="0"/>
        <v>17000</v>
      </c>
      <c r="D5" s="37"/>
    </row>
    <row r="6" spans="1:12" x14ac:dyDescent="0.35">
      <c r="A6" s="9" t="s">
        <v>54</v>
      </c>
      <c r="B6" s="10">
        <v>5000</v>
      </c>
      <c r="C6" s="10">
        <f t="shared" si="0"/>
        <v>22000</v>
      </c>
      <c r="D6" s="37"/>
    </row>
    <row r="7" spans="1:12" x14ac:dyDescent="0.35">
      <c r="A7" s="49" t="s">
        <v>55</v>
      </c>
      <c r="B7" s="50">
        <f>SUM(B2:B6)</f>
        <v>22000</v>
      </c>
      <c r="C7" s="51">
        <f>C6</f>
        <v>22000</v>
      </c>
      <c r="D7" s="37"/>
    </row>
    <row r="8" spans="1:12" x14ac:dyDescent="0.35">
      <c r="B8" s="13"/>
    </row>
    <row r="9" spans="1:12" x14ac:dyDescent="0.35">
      <c r="A9" s="1" t="s">
        <v>56</v>
      </c>
      <c r="B9" s="11">
        <f>+AVERAGE(C2:C6)</f>
        <v>11200</v>
      </c>
    </row>
    <row r="10" spans="1:12" x14ac:dyDescent="0.35">
      <c r="F10" s="77" t="s">
        <v>119</v>
      </c>
      <c r="G10" s="77"/>
      <c r="H10" s="77"/>
      <c r="I10" s="77"/>
      <c r="J10" s="77"/>
      <c r="K10" s="77"/>
    </row>
    <row r="11" spans="1:12" ht="15" thickBot="1" x14ac:dyDescent="0.4">
      <c r="A11" s="14" t="s">
        <v>57</v>
      </c>
      <c r="B11" s="15"/>
      <c r="C11" s="15"/>
      <c r="D11" s="15"/>
    </row>
    <row r="12" spans="1:12" ht="15" thickBot="1" x14ac:dyDescent="0.4">
      <c r="B12" s="15"/>
      <c r="C12" s="16" t="s">
        <v>58</v>
      </c>
      <c r="D12" s="15"/>
      <c r="I12" s="71" t="s">
        <v>113</v>
      </c>
      <c r="J12" s="72">
        <v>277777.777</v>
      </c>
      <c r="K12" t="s">
        <v>115</v>
      </c>
      <c r="L12" t="s">
        <v>114</v>
      </c>
    </row>
    <row r="13" spans="1:12" x14ac:dyDescent="0.35">
      <c r="A13" s="17" t="s">
        <v>59</v>
      </c>
      <c r="B13" s="18" t="s">
        <v>60</v>
      </c>
      <c r="C13" s="19">
        <f>('Emission Reduction'!B$16)*365</f>
        <v>1.8805000000000001</v>
      </c>
      <c r="D13" s="20" t="s">
        <v>61</v>
      </c>
      <c r="F13">
        <f>'Emission Reduction'!B22*C14</f>
        <v>9.8280000000000001E-5</v>
      </c>
      <c r="G13" t="s">
        <v>112</v>
      </c>
    </row>
    <row r="14" spans="1:12" x14ac:dyDescent="0.35">
      <c r="A14" s="21" t="s">
        <v>62</v>
      </c>
      <c r="B14" s="22" t="s">
        <v>63</v>
      </c>
      <c r="C14" s="23">
        <v>1.5599999999999999E-2</v>
      </c>
      <c r="D14" s="24" t="s">
        <v>64</v>
      </c>
      <c r="F14">
        <f>F13*J12</f>
        <v>27.299999923560001</v>
      </c>
      <c r="G14" t="s">
        <v>116</v>
      </c>
    </row>
    <row r="15" spans="1:12" x14ac:dyDescent="0.35">
      <c r="A15" s="21" t="s">
        <v>65</v>
      </c>
      <c r="B15" s="22" t="s">
        <v>66</v>
      </c>
      <c r="C15" s="25">
        <f>(C13*C14)</f>
        <v>2.9335799999999999E-2</v>
      </c>
      <c r="D15" s="26" t="s">
        <v>61</v>
      </c>
    </row>
    <row r="16" spans="1:12" x14ac:dyDescent="0.35">
      <c r="A16" s="21" t="s">
        <v>67</v>
      </c>
      <c r="B16" s="22" t="s">
        <v>68</v>
      </c>
      <c r="C16" s="27">
        <v>3.6</v>
      </c>
      <c r="D16" s="26" t="s">
        <v>69</v>
      </c>
      <c r="F16" s="73" t="s">
        <v>117</v>
      </c>
      <c r="G16" s="74">
        <v>1</v>
      </c>
      <c r="H16" s="73">
        <v>2</v>
      </c>
      <c r="I16" s="73">
        <v>3</v>
      </c>
      <c r="J16" s="73">
        <v>4</v>
      </c>
      <c r="K16" s="73">
        <v>5</v>
      </c>
      <c r="L16" s="73">
        <v>6</v>
      </c>
    </row>
    <row r="17" spans="1:12" x14ac:dyDescent="0.35">
      <c r="A17" s="28" t="s">
        <v>70</v>
      </c>
      <c r="B17" s="22" t="s">
        <v>71</v>
      </c>
      <c r="C17" s="25">
        <f>C15/C16</f>
        <v>8.1488333333333326E-3</v>
      </c>
      <c r="D17" s="26" t="s">
        <v>61</v>
      </c>
      <c r="F17" s="73" t="s">
        <v>118</v>
      </c>
      <c r="G17" s="75">
        <f>$F$14/G16</f>
        <v>27.299999923560001</v>
      </c>
      <c r="H17" s="75">
        <f t="shared" ref="H17:L17" si="1">$F$14/H16</f>
        <v>13.649999961780001</v>
      </c>
      <c r="I17" s="75">
        <f t="shared" si="1"/>
        <v>9.0999999745200011</v>
      </c>
      <c r="J17" s="75">
        <f t="shared" si="1"/>
        <v>6.8249999808900004</v>
      </c>
      <c r="K17" s="75">
        <f t="shared" si="1"/>
        <v>5.4599999847120007</v>
      </c>
      <c r="L17" s="75">
        <f t="shared" si="1"/>
        <v>4.5499999872600005</v>
      </c>
    </row>
    <row r="18" spans="1:12" x14ac:dyDescent="0.35">
      <c r="A18" s="29" t="s">
        <v>72</v>
      </c>
      <c r="B18" s="30" t="s">
        <v>71</v>
      </c>
      <c r="C18" s="31">
        <f>C17*B7</f>
        <v>179.27433333333332</v>
      </c>
      <c r="D18" s="32" t="s">
        <v>61</v>
      </c>
    </row>
    <row r="19" spans="1:12" ht="15" thickBot="1" x14ac:dyDescent="0.4">
      <c r="A19" s="33" t="s">
        <v>73</v>
      </c>
      <c r="B19" s="34" t="s">
        <v>71</v>
      </c>
      <c r="C19" s="36">
        <f>C18</f>
        <v>179.27433333333332</v>
      </c>
      <c r="D19" s="35" t="s">
        <v>61</v>
      </c>
    </row>
    <row r="20" spans="1:12" x14ac:dyDescent="0.35">
      <c r="A20" s="76" t="s">
        <v>74</v>
      </c>
      <c r="B20" s="76"/>
      <c r="C20" s="76"/>
      <c r="D20" s="76"/>
    </row>
  </sheetData>
  <mergeCells count="2">
    <mergeCell ref="A20:D20"/>
    <mergeCell ref="F10:K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9474-1AE3-4909-8935-CC2D93639B61}">
  <dimension ref="A3:F13"/>
  <sheetViews>
    <sheetView workbookViewId="0"/>
  </sheetViews>
  <sheetFormatPr defaultRowHeight="14.5" x14ac:dyDescent="0.35"/>
  <cols>
    <col min="1" max="1" width="24.54296875" customWidth="1"/>
    <col min="2" max="2" width="35.81640625" customWidth="1"/>
    <col min="6" max="6" width="41" style="2" customWidth="1"/>
    <col min="7" max="7" width="20.453125" customWidth="1"/>
  </cols>
  <sheetData>
    <row r="3" spans="1:5" x14ac:dyDescent="0.35">
      <c r="A3" s="2"/>
    </row>
    <row r="4" spans="1:5" ht="22.75" customHeight="1" thickBot="1" x14ac:dyDescent="0.4">
      <c r="A4" s="78" t="s">
        <v>93</v>
      </c>
      <c r="B4" s="78"/>
    </row>
    <row r="5" spans="1:5" x14ac:dyDescent="0.35">
      <c r="A5" s="39" t="s">
        <v>47</v>
      </c>
      <c r="B5" s="48" t="s">
        <v>92</v>
      </c>
    </row>
    <row r="6" spans="1:5" x14ac:dyDescent="0.35">
      <c r="A6" s="40" t="str">
        <f>'Distribution &amp; Thermal Energy'!A2</f>
        <v>Year-1</v>
      </c>
      <c r="B6" s="55">
        <f>'Emission Reduction'!B24</f>
        <v>1186.1329346100001</v>
      </c>
    </row>
    <row r="7" spans="1:5" x14ac:dyDescent="0.35">
      <c r="A7" s="40" t="str">
        <f>'Distribution &amp; Thermal Energy'!A3</f>
        <v>Year-2</v>
      </c>
      <c r="B7" s="55">
        <f>'Emission Reduction'!B25</f>
        <v>12395.089166674499</v>
      </c>
    </row>
    <row r="8" spans="1:5" x14ac:dyDescent="0.35">
      <c r="A8" s="40" t="str">
        <f>'Distribution &amp; Thermal Energy'!A4</f>
        <v>Year-3</v>
      </c>
      <c r="B8" s="55">
        <f>'Emission Reduction'!B26</f>
        <v>23485.432105278003</v>
      </c>
    </row>
    <row r="9" spans="1:5" x14ac:dyDescent="0.35">
      <c r="A9" s="40" t="str">
        <f>'Distribution &amp; Thermal Energy'!A5</f>
        <v>Year-4</v>
      </c>
      <c r="B9" s="55">
        <f>'Emission Reduction'!B27</f>
        <v>34279.241810228996</v>
      </c>
    </row>
    <row r="10" spans="1:5" x14ac:dyDescent="0.35">
      <c r="A10" s="40" t="str">
        <f>'Distribution &amp; Thermal Energy'!A6</f>
        <v>Year-5</v>
      </c>
      <c r="B10" s="55">
        <f>'Emission Reduction'!B28</f>
        <v>41751.879298271997</v>
      </c>
    </row>
    <row r="11" spans="1:5" ht="45.65" customHeight="1" x14ac:dyDescent="0.35">
      <c r="A11" s="41" t="s">
        <v>90</v>
      </c>
      <c r="B11" s="56">
        <f>SUM(B6:B10)</f>
        <v>113097.77531506348</v>
      </c>
      <c r="E11" s="58"/>
    </row>
    <row r="12" spans="1:5" ht="15" thickBot="1" x14ac:dyDescent="0.4">
      <c r="A12" s="42" t="s">
        <v>91</v>
      </c>
      <c r="B12" s="57">
        <f>B11/5</f>
        <v>22619.555063012696</v>
      </c>
    </row>
    <row r="13" spans="1:5" x14ac:dyDescent="0.35">
      <c r="A13" s="2"/>
    </row>
  </sheetData>
  <mergeCells count="1">
    <mergeCell ref="A4: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Parameters</vt:lpstr>
      <vt:lpstr>Emission Reduction</vt:lpstr>
      <vt:lpstr>Distribution &amp; Thermal Energy</vt:lpstr>
      <vt:lpstr>SDG 13 (ERs)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Karan Sharma</dc:creator>
  <cp:lastModifiedBy>Karan Sharma</cp:lastModifiedBy>
  <dcterms:created xsi:type="dcterms:W3CDTF">2024-09-19T06:57:29Z</dcterms:created>
  <dcterms:modified xsi:type="dcterms:W3CDTF">2024-11-29T05:58:19Z</dcterms:modified>
</cp:coreProperties>
</file>