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urug\UpEnergy Dropbox\Murugesh  Sudalairaja\UpEnergy-Carbon Global Technical\1. Carbon Validation\VCS Registration\2673_Nigeria\VCS\VERRA Review\Round 2\Inputs to VVB\Round 2\Supporting Docs\"/>
    </mc:Choice>
  </mc:AlternateContent>
  <xr:revisionPtr revIDLastSave="0" documentId="13_ncr:1_{31AAAD46-9542-4B67-82A7-FBA5FCB1E5E3}" xr6:coauthVersionLast="47" xr6:coauthVersionMax="47" xr10:uidLastSave="{00000000-0000-0000-0000-000000000000}"/>
  <bookViews>
    <workbookView xWindow="-108" yWindow="-108" windowWidth="23256" windowHeight="12456" tabRatio="1000" xr2:uid="{00000000-000D-0000-FFFF-FFFF00000000}"/>
  </bookViews>
  <sheets>
    <sheet name="NG VCS 2673-NPV" sheetId="12" r:id="rId1"/>
    <sheet name="Sensitivity Analysis" sheetId="15" r:id="rId2"/>
    <sheet name="Iteration 1 Inflation @10%" sheetId="16" r:id="rId3"/>
    <sheet name="Iteration 2 Inflation @-10%" sheetId="17" r:id="rId4"/>
    <sheet name="Iteration 3 Manufacturing @10%" sheetId="18" r:id="rId5"/>
    <sheet name="Iteration 4 Manufacturing @-10%" sheetId="19" r:id="rId6"/>
    <sheet name="Iteration 5 Revenue @10%" sheetId="20" r:id="rId7"/>
    <sheet name="Iteration 5 Revenue @-10%" sheetId="2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2" l="1"/>
  <c r="G8" i="15"/>
  <c r="B23" i="21"/>
  <c r="G23" i="21" s="1"/>
  <c r="B22" i="21"/>
  <c r="I22" i="21" s="1"/>
  <c r="E33" i="21"/>
  <c r="D33" i="21"/>
  <c r="C33" i="21"/>
  <c r="F26" i="21"/>
  <c r="E26" i="21"/>
  <c r="D26" i="21"/>
  <c r="C26" i="21"/>
  <c r="F20" i="21"/>
  <c r="F33" i="21" s="1"/>
  <c r="C11" i="21"/>
  <c r="C12" i="21" s="1"/>
  <c r="C9" i="21"/>
  <c r="C16" i="21" s="1"/>
  <c r="C30" i="21" s="1"/>
  <c r="G7" i="21"/>
  <c r="G26" i="21" s="1"/>
  <c r="F7" i="21"/>
  <c r="F8" i="15"/>
  <c r="E8" i="15"/>
  <c r="B23" i="20"/>
  <c r="I23" i="20" s="1"/>
  <c r="B22" i="20"/>
  <c r="E33" i="20"/>
  <c r="D33" i="20"/>
  <c r="C33" i="20"/>
  <c r="F26" i="20"/>
  <c r="E26" i="20"/>
  <c r="D26" i="20"/>
  <c r="C26" i="20"/>
  <c r="I22" i="20"/>
  <c r="H22" i="20"/>
  <c r="G22" i="20"/>
  <c r="F22" i="20"/>
  <c r="G20" i="20"/>
  <c r="G33" i="20" s="1"/>
  <c r="F20" i="20"/>
  <c r="F33" i="20" s="1"/>
  <c r="C11" i="20"/>
  <c r="C12" i="20" s="1"/>
  <c r="C9" i="20"/>
  <c r="C16" i="20" s="1"/>
  <c r="C30" i="20" s="1"/>
  <c r="G7" i="20"/>
  <c r="H7" i="20" s="1"/>
  <c r="F7" i="20"/>
  <c r="G6" i="15"/>
  <c r="B12" i="19"/>
  <c r="C12" i="19"/>
  <c r="C11" i="19"/>
  <c r="C11" i="18"/>
  <c r="E39" i="19"/>
  <c r="D39" i="19"/>
  <c r="F33" i="19"/>
  <c r="E33" i="19"/>
  <c r="D33" i="19"/>
  <c r="C33" i="19"/>
  <c r="F26" i="19"/>
  <c r="E26" i="19"/>
  <c r="D26" i="19"/>
  <c r="C26" i="19"/>
  <c r="I23" i="19"/>
  <c r="H23" i="19"/>
  <c r="G23" i="19"/>
  <c r="F23" i="19"/>
  <c r="E23" i="19"/>
  <c r="E37" i="19" s="1"/>
  <c r="D23" i="19"/>
  <c r="D37" i="19" s="1"/>
  <c r="I22" i="19"/>
  <c r="I37" i="19" s="1"/>
  <c r="I39" i="19" s="1"/>
  <c r="H22" i="19"/>
  <c r="H37" i="19" s="1"/>
  <c r="H39" i="19" s="1"/>
  <c r="G22" i="19"/>
  <c r="G37" i="19" s="1"/>
  <c r="G39" i="19" s="1"/>
  <c r="F22" i="19"/>
  <c r="F37" i="19" s="1"/>
  <c r="F39" i="19" s="1"/>
  <c r="G20" i="19"/>
  <c r="G33" i="19" s="1"/>
  <c r="F20" i="19"/>
  <c r="C15" i="19"/>
  <c r="C29" i="19" s="1"/>
  <c r="D11" i="19"/>
  <c r="E11" i="19" s="1"/>
  <c r="F11" i="19" s="1"/>
  <c r="C9" i="19"/>
  <c r="C17" i="19" s="1"/>
  <c r="C31" i="19" s="1"/>
  <c r="F7" i="19"/>
  <c r="G7" i="19" s="1"/>
  <c r="F6" i="15"/>
  <c r="B12" i="18"/>
  <c r="E33" i="18"/>
  <c r="D33" i="18"/>
  <c r="C33" i="18"/>
  <c r="E26" i="18"/>
  <c r="D26" i="18"/>
  <c r="C26" i="18"/>
  <c r="I23" i="18"/>
  <c r="H23" i="18"/>
  <c r="G23" i="18"/>
  <c r="G37" i="18" s="1"/>
  <c r="G39" i="18" s="1"/>
  <c r="F23" i="18"/>
  <c r="F37" i="18" s="1"/>
  <c r="F39" i="18" s="1"/>
  <c r="E23" i="18"/>
  <c r="E37" i="18" s="1"/>
  <c r="E39" i="18" s="1"/>
  <c r="D23" i="18"/>
  <c r="D37" i="18" s="1"/>
  <c r="D39" i="18" s="1"/>
  <c r="I22" i="18"/>
  <c r="I37" i="18" s="1"/>
  <c r="I39" i="18" s="1"/>
  <c r="H22" i="18"/>
  <c r="H37" i="18" s="1"/>
  <c r="H39" i="18" s="1"/>
  <c r="G22" i="18"/>
  <c r="F22" i="18"/>
  <c r="F20" i="18"/>
  <c r="F33" i="18" s="1"/>
  <c r="C12" i="18"/>
  <c r="C9" i="18"/>
  <c r="C19" i="18" s="1"/>
  <c r="C32" i="18" s="1"/>
  <c r="F7" i="18"/>
  <c r="G7" i="18" s="1"/>
  <c r="G7" i="15"/>
  <c r="C11" i="17"/>
  <c r="C15" i="17" s="1"/>
  <c r="C29" i="17" s="1"/>
  <c r="G39" i="17"/>
  <c r="F39" i="17"/>
  <c r="F33" i="17"/>
  <c r="E33" i="17"/>
  <c r="D33" i="17"/>
  <c r="C33" i="17"/>
  <c r="E26" i="17"/>
  <c r="D26" i="17"/>
  <c r="C26" i="17"/>
  <c r="I23" i="17"/>
  <c r="H23" i="17"/>
  <c r="G23" i="17"/>
  <c r="F23" i="17"/>
  <c r="E23" i="17"/>
  <c r="E37" i="17" s="1"/>
  <c r="E39" i="17" s="1"/>
  <c r="D23" i="17"/>
  <c r="D37" i="17" s="1"/>
  <c r="D39" i="17" s="1"/>
  <c r="I22" i="17"/>
  <c r="I37" i="17" s="1"/>
  <c r="I39" i="17" s="1"/>
  <c r="H22" i="17"/>
  <c r="H37" i="17" s="1"/>
  <c r="H39" i="17" s="1"/>
  <c r="G22" i="17"/>
  <c r="G37" i="17" s="1"/>
  <c r="F22" i="17"/>
  <c r="F37" i="17" s="1"/>
  <c r="G20" i="17"/>
  <c r="G33" i="17" s="1"/>
  <c r="F20" i="17"/>
  <c r="D11" i="17"/>
  <c r="D15" i="17" s="1"/>
  <c r="D29" i="17" s="1"/>
  <c r="C9" i="17"/>
  <c r="F7" i="17"/>
  <c r="G7" i="17" s="1"/>
  <c r="G26" i="17" s="1"/>
  <c r="F7" i="15"/>
  <c r="E7" i="15"/>
  <c r="C11" i="16"/>
  <c r="C17" i="16" s="1"/>
  <c r="C31" i="16" s="1"/>
  <c r="G33" i="16"/>
  <c r="F33" i="16"/>
  <c r="E33" i="16"/>
  <c r="D33" i="16"/>
  <c r="C33" i="16"/>
  <c r="E26" i="16"/>
  <c r="D26" i="16"/>
  <c r="C26" i="16"/>
  <c r="I23" i="16"/>
  <c r="H23" i="16"/>
  <c r="G23" i="16"/>
  <c r="F23" i="16"/>
  <c r="E23" i="16"/>
  <c r="E37" i="16" s="1"/>
  <c r="E39" i="16" s="1"/>
  <c r="D23" i="16"/>
  <c r="D37" i="16" s="1"/>
  <c r="D39" i="16" s="1"/>
  <c r="I22" i="16"/>
  <c r="I37" i="16" s="1"/>
  <c r="I39" i="16" s="1"/>
  <c r="H22" i="16"/>
  <c r="H37" i="16" s="1"/>
  <c r="H39" i="16" s="1"/>
  <c r="G22" i="16"/>
  <c r="G37" i="16" s="1"/>
  <c r="G39" i="16" s="1"/>
  <c r="F22" i="16"/>
  <c r="F37" i="16" s="1"/>
  <c r="F39" i="16" s="1"/>
  <c r="F20" i="16"/>
  <c r="G20" i="16" s="1"/>
  <c r="H20" i="16" s="1"/>
  <c r="C9" i="16"/>
  <c r="F7" i="16"/>
  <c r="F26" i="16" s="1"/>
  <c r="B29" i="12"/>
  <c r="B30" i="12"/>
  <c r="B31" i="12"/>
  <c r="B32" i="12"/>
  <c r="B33" i="12"/>
  <c r="B34" i="12"/>
  <c r="B35" i="12"/>
  <c r="B28" i="12"/>
  <c r="G22" i="21" l="1"/>
  <c r="G37" i="21" s="1"/>
  <c r="G39" i="21" s="1"/>
  <c r="G40" i="21" s="1"/>
  <c r="F22" i="21"/>
  <c r="H22" i="21"/>
  <c r="C28" i="21"/>
  <c r="C13" i="21"/>
  <c r="F23" i="21"/>
  <c r="F37" i="21" s="1"/>
  <c r="F39" i="21" s="1"/>
  <c r="D11" i="21"/>
  <c r="H23" i="21"/>
  <c r="H37" i="21" s="1"/>
  <c r="H39" i="21" s="1"/>
  <c r="D23" i="21"/>
  <c r="D37" i="21" s="1"/>
  <c r="D39" i="21" s="1"/>
  <c r="G20" i="21"/>
  <c r="I23" i="21"/>
  <c r="I37" i="21" s="1"/>
  <c r="I39" i="21" s="1"/>
  <c r="C17" i="21"/>
  <c r="C31" i="21" s="1"/>
  <c r="C15" i="21"/>
  <c r="C29" i="21" s="1"/>
  <c r="D9" i="21"/>
  <c r="C19" i="21"/>
  <c r="C32" i="21" s="1"/>
  <c r="E23" i="21"/>
  <c r="E37" i="21" s="1"/>
  <c r="E39" i="21" s="1"/>
  <c r="H7" i="21"/>
  <c r="E23" i="20"/>
  <c r="E37" i="20" s="1"/>
  <c r="E39" i="20" s="1"/>
  <c r="E40" i="20" s="1"/>
  <c r="H23" i="20"/>
  <c r="H37" i="20"/>
  <c r="H39" i="20" s="1"/>
  <c r="I37" i="20"/>
  <c r="I39" i="20" s="1"/>
  <c r="D23" i="20"/>
  <c r="D37" i="20" s="1"/>
  <c r="D39" i="20" s="1"/>
  <c r="F23" i="20"/>
  <c r="G23" i="20"/>
  <c r="G37" i="20" s="1"/>
  <c r="G39" i="20" s="1"/>
  <c r="F37" i="20"/>
  <c r="F39" i="20" s="1"/>
  <c r="H40" i="20"/>
  <c r="F40" i="20"/>
  <c r="D40" i="20"/>
  <c r="G40" i="20"/>
  <c r="H26" i="20"/>
  <c r="I7" i="20"/>
  <c r="I26" i="20" s="1"/>
  <c r="I40" i="20" s="1"/>
  <c r="C13" i="20"/>
  <c r="C28" i="20"/>
  <c r="D11" i="20"/>
  <c r="D9" i="20"/>
  <c r="C17" i="20"/>
  <c r="C31" i="20" s="1"/>
  <c r="H20" i="20"/>
  <c r="C15" i="20"/>
  <c r="C29" i="20" s="1"/>
  <c r="G26" i="20"/>
  <c r="C19" i="20"/>
  <c r="C32" i="20" s="1"/>
  <c r="E15" i="19"/>
  <c r="E29" i="19" s="1"/>
  <c r="D15" i="19"/>
  <c r="D29" i="19" s="1"/>
  <c r="F40" i="19"/>
  <c r="G26" i="19"/>
  <c r="G40" i="19" s="1"/>
  <c r="H7" i="19"/>
  <c r="F15" i="19"/>
  <c r="F29" i="19" s="1"/>
  <c r="G11" i="19"/>
  <c r="C13" i="19"/>
  <c r="C28" i="19"/>
  <c r="E40" i="19"/>
  <c r="D9" i="19"/>
  <c r="F12" i="19"/>
  <c r="D12" i="19"/>
  <c r="H20" i="19"/>
  <c r="D40" i="19"/>
  <c r="E12" i="19"/>
  <c r="C16" i="19"/>
  <c r="C30" i="19" s="1"/>
  <c r="C19" i="19"/>
  <c r="C32" i="19" s="1"/>
  <c r="D40" i="18"/>
  <c r="E40" i="18"/>
  <c r="H7" i="18"/>
  <c r="G26" i="18"/>
  <c r="G40" i="18" s="1"/>
  <c r="C13" i="18"/>
  <c r="C28" i="18"/>
  <c r="C16" i="18"/>
  <c r="C30" i="18" s="1"/>
  <c r="D11" i="18"/>
  <c r="C17" i="18"/>
  <c r="C31" i="18" s="1"/>
  <c r="D9" i="18"/>
  <c r="G20" i="18"/>
  <c r="F26" i="18"/>
  <c r="F40" i="18" s="1"/>
  <c r="C15" i="18"/>
  <c r="C29" i="18" s="1"/>
  <c r="C12" i="17"/>
  <c r="C13" i="17" s="1"/>
  <c r="D40" i="17"/>
  <c r="E40" i="17"/>
  <c r="H7" i="17"/>
  <c r="C16" i="17"/>
  <c r="C30" i="17" s="1"/>
  <c r="C19" i="17"/>
  <c r="C32" i="17" s="1"/>
  <c r="D9" i="17"/>
  <c r="C17" i="17"/>
  <c r="C31" i="17" s="1"/>
  <c r="E11" i="17"/>
  <c r="D12" i="17"/>
  <c r="H20" i="17"/>
  <c r="F26" i="17"/>
  <c r="F40" i="17" s="1"/>
  <c r="G40" i="17"/>
  <c r="C16" i="16"/>
  <c r="C30" i="16" s="1"/>
  <c r="D11" i="16"/>
  <c r="E11" i="16" s="1"/>
  <c r="E12" i="16" s="1"/>
  <c r="E13" i="16" s="1"/>
  <c r="C12" i="16"/>
  <c r="C15" i="16"/>
  <c r="C29" i="16" s="1"/>
  <c r="D15" i="16"/>
  <c r="D29" i="16" s="1"/>
  <c r="I20" i="16"/>
  <c r="I33" i="16" s="1"/>
  <c r="H33" i="16"/>
  <c r="F40" i="16"/>
  <c r="B33" i="16"/>
  <c r="D40" i="16"/>
  <c r="E40" i="16"/>
  <c r="G7" i="16"/>
  <c r="C13" i="16"/>
  <c r="C28" i="16"/>
  <c r="C19" i="16"/>
  <c r="C32" i="16" s="1"/>
  <c r="D9" i="16"/>
  <c r="I34" i="12"/>
  <c r="D34" i="12"/>
  <c r="E34" i="12"/>
  <c r="F34" i="12"/>
  <c r="G34" i="12"/>
  <c r="H34" i="12"/>
  <c r="D33" i="12"/>
  <c r="E33" i="12"/>
  <c r="F33" i="12"/>
  <c r="G33" i="12"/>
  <c r="H33" i="12"/>
  <c r="I33" i="12"/>
  <c r="D32" i="12"/>
  <c r="E32" i="12"/>
  <c r="F32" i="12"/>
  <c r="G32" i="12"/>
  <c r="H32" i="12"/>
  <c r="I32" i="12"/>
  <c r="D31" i="12"/>
  <c r="E31" i="12"/>
  <c r="F31" i="12"/>
  <c r="G31" i="12"/>
  <c r="H31" i="12"/>
  <c r="I31" i="12"/>
  <c r="C31" i="12"/>
  <c r="D30" i="12"/>
  <c r="E30" i="12"/>
  <c r="F30" i="12"/>
  <c r="G30" i="12"/>
  <c r="H30" i="12"/>
  <c r="I30" i="12"/>
  <c r="D29" i="12"/>
  <c r="E29" i="12"/>
  <c r="F29" i="12"/>
  <c r="G29" i="12"/>
  <c r="H29" i="12"/>
  <c r="I29" i="12"/>
  <c r="F20" i="12"/>
  <c r="G20" i="12"/>
  <c r="H20" i="12"/>
  <c r="I20" i="12"/>
  <c r="D40" i="21" l="1"/>
  <c r="F40" i="21"/>
  <c r="H26" i="21"/>
  <c r="H40" i="21" s="1"/>
  <c r="I7" i="21"/>
  <c r="I26" i="21" s="1"/>
  <c r="I40" i="21" s="1"/>
  <c r="C34" i="21"/>
  <c r="E40" i="21"/>
  <c r="G33" i="21"/>
  <c r="H20" i="21"/>
  <c r="D12" i="21"/>
  <c r="D15" i="21"/>
  <c r="D29" i="21" s="1"/>
  <c r="E11" i="21"/>
  <c r="D19" i="21"/>
  <c r="D32" i="21" s="1"/>
  <c r="E9" i="21"/>
  <c r="D17" i="21"/>
  <c r="D31" i="21" s="1"/>
  <c r="D16" i="21"/>
  <c r="D30" i="21" s="1"/>
  <c r="C34" i="20"/>
  <c r="H33" i="20"/>
  <c r="I20" i="20"/>
  <c r="I33" i="20" s="1"/>
  <c r="D16" i="20"/>
  <c r="D30" i="20" s="1"/>
  <c r="E9" i="20"/>
  <c r="D17" i="20"/>
  <c r="D31" i="20" s="1"/>
  <c r="D19" i="20"/>
  <c r="D32" i="20" s="1"/>
  <c r="D15" i="20"/>
  <c r="D29" i="20" s="1"/>
  <c r="E11" i="20"/>
  <c r="D12" i="20"/>
  <c r="E13" i="19"/>
  <c r="E28" i="19"/>
  <c r="H11" i="19"/>
  <c r="G15" i="19"/>
  <c r="G29" i="19" s="1"/>
  <c r="H33" i="19"/>
  <c r="B33" i="19" s="1"/>
  <c r="I20" i="19"/>
  <c r="I33" i="19" s="1"/>
  <c r="H26" i="19"/>
  <c r="H40" i="19" s="1"/>
  <c r="I7" i="19"/>
  <c r="I26" i="19" s="1"/>
  <c r="I40" i="19" s="1"/>
  <c r="D13" i="19"/>
  <c r="D28" i="19"/>
  <c r="D16" i="19"/>
  <c r="D30" i="19" s="1"/>
  <c r="D19" i="19"/>
  <c r="D32" i="19" s="1"/>
  <c r="E9" i="19"/>
  <c r="D17" i="19"/>
  <c r="D31" i="19" s="1"/>
  <c r="C34" i="19"/>
  <c r="F13" i="19"/>
  <c r="F28" i="19"/>
  <c r="G12" i="19"/>
  <c r="G33" i="18"/>
  <c r="H20" i="18"/>
  <c r="H26" i="18"/>
  <c r="H40" i="18" s="1"/>
  <c r="I7" i="18"/>
  <c r="I26" i="18" s="1"/>
  <c r="I40" i="18" s="1"/>
  <c r="D19" i="18"/>
  <c r="D32" i="18" s="1"/>
  <c r="D17" i="18"/>
  <c r="D31" i="18" s="1"/>
  <c r="D16" i="18"/>
  <c r="D30" i="18" s="1"/>
  <c r="E9" i="18"/>
  <c r="D12" i="18"/>
  <c r="D15" i="18"/>
  <c r="D29" i="18" s="1"/>
  <c r="E11" i="18"/>
  <c r="C34" i="18"/>
  <c r="C28" i="17"/>
  <c r="C34" i="17" s="1"/>
  <c r="D13" i="17"/>
  <c r="D28" i="17"/>
  <c r="D16" i="17"/>
  <c r="D30" i="17" s="1"/>
  <c r="D19" i="17"/>
  <c r="D32" i="17" s="1"/>
  <c r="E9" i="17"/>
  <c r="D17" i="17"/>
  <c r="D31" i="17" s="1"/>
  <c r="H26" i="17"/>
  <c r="H40" i="17" s="1"/>
  <c r="I7" i="17"/>
  <c r="I26" i="17" s="1"/>
  <c r="I40" i="17" s="1"/>
  <c r="E12" i="17"/>
  <c r="F11" i="17"/>
  <c r="E15" i="17"/>
  <c r="E29" i="17" s="1"/>
  <c r="H33" i="17"/>
  <c r="I20" i="17"/>
  <c r="I33" i="17" s="1"/>
  <c r="F11" i="16"/>
  <c r="F12" i="16" s="1"/>
  <c r="E15" i="16"/>
  <c r="E29" i="16" s="1"/>
  <c r="E28" i="16"/>
  <c r="D12" i="16"/>
  <c r="C34" i="16"/>
  <c r="D16" i="16"/>
  <c r="D30" i="16" s="1"/>
  <c r="E9" i="16"/>
  <c r="D19" i="16"/>
  <c r="D32" i="16" s="1"/>
  <c r="D17" i="16"/>
  <c r="D31" i="16" s="1"/>
  <c r="G26" i="16"/>
  <c r="G40" i="16" s="1"/>
  <c r="H7" i="16"/>
  <c r="D11" i="12"/>
  <c r="E11" i="12" s="1"/>
  <c r="F11" i="12" s="1"/>
  <c r="G11" i="12" s="1"/>
  <c r="H11" i="12" s="1"/>
  <c r="I11" i="12" s="1"/>
  <c r="E15" i="21" l="1"/>
  <c r="E29" i="21" s="1"/>
  <c r="E12" i="21"/>
  <c r="F11" i="21"/>
  <c r="E17" i="21"/>
  <c r="E31" i="21" s="1"/>
  <c r="E16" i="21"/>
  <c r="E30" i="21" s="1"/>
  <c r="E19" i="21"/>
  <c r="E32" i="21" s="1"/>
  <c r="F9" i="21"/>
  <c r="D13" i="21"/>
  <c r="D28" i="21"/>
  <c r="C35" i="21"/>
  <c r="H33" i="21"/>
  <c r="I20" i="21"/>
  <c r="I33" i="21" s="1"/>
  <c r="B33" i="21"/>
  <c r="D13" i="20"/>
  <c r="D28" i="20"/>
  <c r="E15" i="20"/>
  <c r="E29" i="20" s="1"/>
  <c r="F11" i="20"/>
  <c r="E12" i="20"/>
  <c r="E16" i="20"/>
  <c r="E30" i="20" s="1"/>
  <c r="F9" i="20"/>
  <c r="E17" i="20"/>
  <c r="E31" i="20" s="1"/>
  <c r="E19" i="20"/>
  <c r="E32" i="20" s="1"/>
  <c r="C35" i="20"/>
  <c r="B33" i="20"/>
  <c r="E16" i="19"/>
  <c r="E30" i="19" s="1"/>
  <c r="E19" i="19"/>
  <c r="E32" i="19" s="1"/>
  <c r="F9" i="19"/>
  <c r="E17" i="19"/>
  <c r="E31" i="19" s="1"/>
  <c r="D34" i="19"/>
  <c r="G28" i="19"/>
  <c r="G13" i="19"/>
  <c r="H15" i="19"/>
  <c r="H29" i="19" s="1"/>
  <c r="I11" i="19"/>
  <c r="H12" i="19"/>
  <c r="E34" i="19"/>
  <c r="C35" i="19"/>
  <c r="E15" i="18"/>
  <c r="E29" i="18" s="1"/>
  <c r="F11" i="18"/>
  <c r="E12" i="18"/>
  <c r="C35" i="18"/>
  <c r="D13" i="18"/>
  <c r="D28" i="18"/>
  <c r="E17" i="18"/>
  <c r="E31" i="18" s="1"/>
  <c r="E16" i="18"/>
  <c r="E30" i="18" s="1"/>
  <c r="E19" i="18"/>
  <c r="E32" i="18" s="1"/>
  <c r="F9" i="18"/>
  <c r="I20" i="18"/>
  <c r="I33" i="18" s="1"/>
  <c r="H33" i="18"/>
  <c r="B33" i="18"/>
  <c r="F12" i="17"/>
  <c r="G11" i="17"/>
  <c r="F15" i="17"/>
  <c r="F29" i="17" s="1"/>
  <c r="E13" i="17"/>
  <c r="E28" i="17"/>
  <c r="E16" i="17"/>
  <c r="E30" i="17" s="1"/>
  <c r="E19" i="17"/>
  <c r="E32" i="17" s="1"/>
  <c r="F9" i="17"/>
  <c r="E17" i="17"/>
  <c r="E31" i="17" s="1"/>
  <c r="C35" i="17"/>
  <c r="D34" i="17"/>
  <c r="B33" i="17"/>
  <c r="F15" i="16"/>
  <c r="F29" i="16" s="1"/>
  <c r="G11" i="16"/>
  <c r="D13" i="16"/>
  <c r="D28" i="16"/>
  <c r="G12" i="16"/>
  <c r="G15" i="16"/>
  <c r="G29" i="16" s="1"/>
  <c r="H11" i="16"/>
  <c r="D34" i="16"/>
  <c r="I7" i="16"/>
  <c r="I26" i="16" s="1"/>
  <c r="I40" i="16" s="1"/>
  <c r="H26" i="16"/>
  <c r="H40" i="16" s="1"/>
  <c r="F13" i="16"/>
  <c r="F28" i="16"/>
  <c r="E16" i="16"/>
  <c r="E30" i="16" s="1"/>
  <c r="F9" i="16"/>
  <c r="E19" i="16"/>
  <c r="E32" i="16" s="1"/>
  <c r="E17" i="16"/>
  <c r="E31" i="16" s="1"/>
  <c r="C35" i="16"/>
  <c r="I22" i="12"/>
  <c r="H22" i="12"/>
  <c r="G22" i="12"/>
  <c r="F22" i="12"/>
  <c r="D34" i="21" l="1"/>
  <c r="F17" i="21"/>
  <c r="F31" i="21" s="1"/>
  <c r="F16" i="21"/>
  <c r="F30" i="21" s="1"/>
  <c r="F19" i="21"/>
  <c r="F32" i="21" s="1"/>
  <c r="G9" i="21"/>
  <c r="F15" i="21"/>
  <c r="F29" i="21" s="1"/>
  <c r="F12" i="21"/>
  <c r="G11" i="21"/>
  <c r="E13" i="21"/>
  <c r="E28" i="21"/>
  <c r="E34" i="21" s="1"/>
  <c r="F17" i="20"/>
  <c r="F31" i="20" s="1"/>
  <c r="F16" i="20"/>
  <c r="F30" i="20" s="1"/>
  <c r="F19" i="20"/>
  <c r="F32" i="20" s="1"/>
  <c r="G9" i="20"/>
  <c r="E28" i="20"/>
  <c r="E34" i="20" s="1"/>
  <c r="E13" i="20"/>
  <c r="G11" i="20"/>
  <c r="F15" i="20"/>
  <c r="F29" i="20" s="1"/>
  <c r="F12" i="20"/>
  <c r="D34" i="20"/>
  <c r="E35" i="19"/>
  <c r="E41" i="19"/>
  <c r="I15" i="19"/>
  <c r="I29" i="19" s="1"/>
  <c r="B29" i="19" s="1"/>
  <c r="I12" i="19"/>
  <c r="H28" i="19"/>
  <c r="H13" i="19"/>
  <c r="D35" i="19"/>
  <c r="D41" i="19"/>
  <c r="F16" i="19"/>
  <c r="F30" i="19" s="1"/>
  <c r="F19" i="19"/>
  <c r="F32" i="19" s="1"/>
  <c r="G9" i="19"/>
  <c r="F17" i="19"/>
  <c r="F31" i="19" s="1"/>
  <c r="F19" i="18"/>
  <c r="F32" i="18" s="1"/>
  <c r="F17" i="18"/>
  <c r="F31" i="18" s="1"/>
  <c r="F16" i="18"/>
  <c r="F30" i="18" s="1"/>
  <c r="G9" i="18"/>
  <c r="D34" i="18"/>
  <c r="E13" i="18"/>
  <c r="E28" i="18"/>
  <c r="E34" i="18" s="1"/>
  <c r="F12" i="18"/>
  <c r="G11" i="18"/>
  <c r="F15" i="18"/>
  <c r="F29" i="18" s="1"/>
  <c r="D35" i="17"/>
  <c r="D41" i="17"/>
  <c r="F17" i="17"/>
  <c r="F31" i="17" s="1"/>
  <c r="F16" i="17"/>
  <c r="F30" i="17" s="1"/>
  <c r="F19" i="17"/>
  <c r="F32" i="17" s="1"/>
  <c r="G9" i="17"/>
  <c r="E34" i="17"/>
  <c r="G12" i="17"/>
  <c r="H11" i="17"/>
  <c r="G15" i="17"/>
  <c r="G29" i="17" s="1"/>
  <c r="F13" i="17"/>
  <c r="F28" i="17"/>
  <c r="E34" i="16"/>
  <c r="F16" i="16"/>
  <c r="F30" i="16" s="1"/>
  <c r="G9" i="16"/>
  <c r="F19" i="16"/>
  <c r="F32" i="16" s="1"/>
  <c r="F17" i="16"/>
  <c r="F31" i="16" s="1"/>
  <c r="D35" i="16"/>
  <c r="D41" i="16"/>
  <c r="H12" i="16"/>
  <c r="H15" i="16"/>
  <c r="H29" i="16" s="1"/>
  <c r="I11" i="16"/>
  <c r="G13" i="16"/>
  <c r="G28" i="16"/>
  <c r="C33" i="12"/>
  <c r="E26" i="12"/>
  <c r="D26" i="12"/>
  <c r="C26" i="12"/>
  <c r="I23" i="12"/>
  <c r="H23" i="12"/>
  <c r="G23" i="12"/>
  <c r="F23" i="12"/>
  <c r="E23" i="12"/>
  <c r="D23" i="12"/>
  <c r="F15" i="12"/>
  <c r="E15" i="12"/>
  <c r="D15" i="12"/>
  <c r="C15" i="12"/>
  <c r="C29" i="12" s="1"/>
  <c r="E12" i="12"/>
  <c r="E28" i="12" s="1"/>
  <c r="D12" i="12"/>
  <c r="D28" i="12" s="1"/>
  <c r="C28" i="12"/>
  <c r="C9" i="12"/>
  <c r="F7" i="12"/>
  <c r="F26" i="12" s="1"/>
  <c r="G12" i="21" l="1"/>
  <c r="H11" i="21"/>
  <c r="G15" i="21"/>
  <c r="G29" i="21" s="1"/>
  <c r="G17" i="21"/>
  <c r="G31" i="21" s="1"/>
  <c r="H9" i="21"/>
  <c r="G16" i="21"/>
  <c r="G30" i="21" s="1"/>
  <c r="G19" i="21"/>
  <c r="G32" i="21" s="1"/>
  <c r="D35" i="21"/>
  <c r="D41" i="21"/>
  <c r="E35" i="21"/>
  <c r="E41" i="21"/>
  <c r="F13" i="21"/>
  <c r="F28" i="21"/>
  <c r="F34" i="21" s="1"/>
  <c r="G15" i="20"/>
  <c r="G29" i="20" s="1"/>
  <c r="G12" i="20"/>
  <c r="H11" i="20"/>
  <c r="D35" i="20"/>
  <c r="D41" i="20"/>
  <c r="F28" i="20"/>
  <c r="F13" i="20"/>
  <c r="E35" i="20"/>
  <c r="E41" i="20"/>
  <c r="G17" i="20"/>
  <c r="G31" i="20" s="1"/>
  <c r="G16" i="20"/>
  <c r="G30" i="20" s="1"/>
  <c r="G19" i="20"/>
  <c r="G32" i="20" s="1"/>
  <c r="H9" i="20"/>
  <c r="G16" i="19"/>
  <c r="G30" i="19" s="1"/>
  <c r="G19" i="19"/>
  <c r="G32" i="19" s="1"/>
  <c r="H9" i="19"/>
  <c r="G17" i="19"/>
  <c r="G31" i="19" s="1"/>
  <c r="I28" i="19"/>
  <c r="I13" i="19"/>
  <c r="B28" i="19"/>
  <c r="F34" i="19"/>
  <c r="H11" i="18"/>
  <c r="G12" i="18"/>
  <c r="G15" i="18"/>
  <c r="G29" i="18" s="1"/>
  <c r="E35" i="18"/>
  <c r="E41" i="18"/>
  <c r="D35" i="18"/>
  <c r="D41" i="18"/>
  <c r="G17" i="18"/>
  <c r="G31" i="18" s="1"/>
  <c r="G16" i="18"/>
  <c r="G30" i="18" s="1"/>
  <c r="G19" i="18"/>
  <c r="G32" i="18" s="1"/>
  <c r="H9" i="18"/>
  <c r="F13" i="18"/>
  <c r="F28" i="18"/>
  <c r="F34" i="18" s="1"/>
  <c r="I11" i="17"/>
  <c r="H12" i="17"/>
  <c r="H15" i="17"/>
  <c r="H29" i="17" s="1"/>
  <c r="G16" i="17"/>
  <c r="G30" i="17" s="1"/>
  <c r="G19" i="17"/>
  <c r="G32" i="17" s="1"/>
  <c r="H9" i="17"/>
  <c r="G17" i="17"/>
  <c r="G31" i="17" s="1"/>
  <c r="G28" i="17"/>
  <c r="G13" i="17"/>
  <c r="E35" i="17"/>
  <c r="E41" i="17"/>
  <c r="F34" i="17"/>
  <c r="F34" i="16"/>
  <c r="F35" i="16" s="1"/>
  <c r="F41" i="16"/>
  <c r="G16" i="16"/>
  <c r="G30" i="16" s="1"/>
  <c r="H9" i="16"/>
  <c r="G19" i="16"/>
  <c r="G32" i="16" s="1"/>
  <c r="G17" i="16"/>
  <c r="G31" i="16" s="1"/>
  <c r="I12" i="16"/>
  <c r="I15" i="16"/>
  <c r="I29" i="16" s="1"/>
  <c r="B29" i="16" s="1"/>
  <c r="H28" i="16"/>
  <c r="H13" i="16"/>
  <c r="G34" i="16"/>
  <c r="E35" i="16"/>
  <c r="E41" i="16"/>
  <c r="F37" i="12"/>
  <c r="F39" i="12" s="1"/>
  <c r="F40" i="12" s="1"/>
  <c r="D37" i="12"/>
  <c r="D39" i="12" s="1"/>
  <c r="D40" i="12" s="1"/>
  <c r="I37" i="12"/>
  <c r="I39" i="12" s="1"/>
  <c r="H37" i="12"/>
  <c r="H39" i="12" s="1"/>
  <c r="E37" i="12"/>
  <c r="E39" i="12" s="1"/>
  <c r="E40" i="12" s="1"/>
  <c r="G37" i="12"/>
  <c r="G39" i="12" s="1"/>
  <c r="C16" i="12"/>
  <c r="C30" i="12" s="1"/>
  <c r="C17" i="12"/>
  <c r="C13" i="12"/>
  <c r="D13" i="12"/>
  <c r="E13" i="12"/>
  <c r="D9" i="12"/>
  <c r="D17" i="12" s="1"/>
  <c r="G7" i="12"/>
  <c r="G12" i="12" s="1"/>
  <c r="G28" i="12" s="1"/>
  <c r="F12" i="12"/>
  <c r="F28" i="12" s="1"/>
  <c r="C19" i="12"/>
  <c r="C32" i="12" s="1"/>
  <c r="F35" i="21" l="1"/>
  <c r="F41" i="21"/>
  <c r="H17" i="21"/>
  <c r="H31" i="21" s="1"/>
  <c r="H19" i="21"/>
  <c r="H32" i="21" s="1"/>
  <c r="H16" i="21"/>
  <c r="H30" i="21" s="1"/>
  <c r="I9" i="21"/>
  <c r="I11" i="21"/>
  <c r="H12" i="21"/>
  <c r="H15" i="21"/>
  <c r="H29" i="21" s="1"/>
  <c r="G28" i="21"/>
  <c r="G34" i="21" s="1"/>
  <c r="G13" i="21"/>
  <c r="H19" i="20"/>
  <c r="H32" i="20" s="1"/>
  <c r="H17" i="20"/>
  <c r="H31" i="20" s="1"/>
  <c r="I9" i="20"/>
  <c r="H16" i="20"/>
  <c r="H30" i="20" s="1"/>
  <c r="F34" i="20"/>
  <c r="G13" i="20"/>
  <c r="G28" i="20"/>
  <c r="G34" i="20" s="1"/>
  <c r="I11" i="20"/>
  <c r="H15" i="20"/>
  <c r="H29" i="20" s="1"/>
  <c r="H12" i="20"/>
  <c r="F35" i="19"/>
  <c r="F41" i="19"/>
  <c r="H16" i="19"/>
  <c r="H30" i="19" s="1"/>
  <c r="H19" i="19"/>
  <c r="H32" i="19" s="1"/>
  <c r="I9" i="19"/>
  <c r="H17" i="19"/>
  <c r="H31" i="19" s="1"/>
  <c r="G34" i="19"/>
  <c r="F35" i="18"/>
  <c r="F41" i="18"/>
  <c r="H16" i="18"/>
  <c r="H30" i="18" s="1"/>
  <c r="H17" i="18"/>
  <c r="H31" i="18" s="1"/>
  <c r="H19" i="18"/>
  <c r="H32" i="18" s="1"/>
  <c r="I9" i="18"/>
  <c r="G13" i="18"/>
  <c r="G28" i="18"/>
  <c r="H12" i="18"/>
  <c r="I11" i="18"/>
  <c r="H15" i="18"/>
  <c r="H29" i="18" s="1"/>
  <c r="F35" i="17"/>
  <c r="F41" i="17"/>
  <c r="H16" i="17"/>
  <c r="H30" i="17" s="1"/>
  <c r="H19" i="17"/>
  <c r="H32" i="17" s="1"/>
  <c r="I9" i="17"/>
  <c r="H17" i="17"/>
  <c r="H31" i="17" s="1"/>
  <c r="G34" i="17"/>
  <c r="H28" i="17"/>
  <c r="H34" i="17" s="1"/>
  <c r="H13" i="17"/>
  <c r="I12" i="17"/>
  <c r="I15" i="17"/>
  <c r="I29" i="17" s="1"/>
  <c r="B29" i="17" s="1"/>
  <c r="H16" i="16"/>
  <c r="H30" i="16" s="1"/>
  <c r="I9" i="16"/>
  <c r="H19" i="16"/>
  <c r="H32" i="16" s="1"/>
  <c r="H17" i="16"/>
  <c r="H31" i="16" s="1"/>
  <c r="G35" i="16"/>
  <c r="G41" i="16"/>
  <c r="H34" i="16"/>
  <c r="I28" i="16"/>
  <c r="I13" i="16"/>
  <c r="C34" i="12"/>
  <c r="C35" i="12" s="1"/>
  <c r="G13" i="12"/>
  <c r="F13" i="12"/>
  <c r="G26" i="12"/>
  <c r="G40" i="12" s="1"/>
  <c r="H7" i="12"/>
  <c r="H12" i="12" s="1"/>
  <c r="H28" i="12" s="1"/>
  <c r="G15" i="12"/>
  <c r="D19" i="12"/>
  <c r="E9" i="12"/>
  <c r="E17" i="12" s="1"/>
  <c r="D16" i="12"/>
  <c r="H13" i="21" l="1"/>
  <c r="H28" i="21"/>
  <c r="H34" i="21" s="1"/>
  <c r="G35" i="21"/>
  <c r="G41" i="21"/>
  <c r="I12" i="21"/>
  <c r="I15" i="21"/>
  <c r="I29" i="21" s="1"/>
  <c r="B29" i="21" s="1"/>
  <c r="C22" i="21"/>
  <c r="I16" i="21"/>
  <c r="I30" i="21" s="1"/>
  <c r="B30" i="21" s="1"/>
  <c r="I19" i="21"/>
  <c r="I32" i="21" s="1"/>
  <c r="B32" i="21" s="1"/>
  <c r="C23" i="21"/>
  <c r="I17" i="21"/>
  <c r="I31" i="21" s="1"/>
  <c r="B31" i="21" s="1"/>
  <c r="H28" i="20"/>
  <c r="H34" i="20" s="1"/>
  <c r="H13" i="20"/>
  <c r="I12" i="20"/>
  <c r="I15" i="20"/>
  <c r="I29" i="20" s="1"/>
  <c r="B29" i="20" s="1"/>
  <c r="F35" i="20"/>
  <c r="F41" i="20"/>
  <c r="G35" i="20"/>
  <c r="G41" i="20"/>
  <c r="I16" i="20"/>
  <c r="I30" i="20" s="1"/>
  <c r="B30" i="20" s="1"/>
  <c r="C22" i="20"/>
  <c r="C23" i="20"/>
  <c r="I19" i="20"/>
  <c r="I32" i="20" s="1"/>
  <c r="B32" i="20" s="1"/>
  <c r="I17" i="20"/>
  <c r="I31" i="20" s="1"/>
  <c r="B31" i="20" s="1"/>
  <c r="I19" i="19"/>
  <c r="I32" i="19" s="1"/>
  <c r="B32" i="19" s="1"/>
  <c r="C23" i="19"/>
  <c r="I17" i="19"/>
  <c r="I31" i="19" s="1"/>
  <c r="B31" i="19" s="1"/>
  <c r="I16" i="19"/>
  <c r="I30" i="19" s="1"/>
  <c r="C22" i="19"/>
  <c r="C37" i="19" s="1"/>
  <c r="G35" i="19"/>
  <c r="G41" i="19"/>
  <c r="H34" i="19"/>
  <c r="C22" i="18"/>
  <c r="I19" i="18"/>
  <c r="I32" i="18" s="1"/>
  <c r="B32" i="18" s="1"/>
  <c r="C23" i="18"/>
  <c r="I16" i="18"/>
  <c r="I30" i="18" s="1"/>
  <c r="B30" i="18" s="1"/>
  <c r="I17" i="18"/>
  <c r="I31" i="18" s="1"/>
  <c r="B31" i="18" s="1"/>
  <c r="I12" i="18"/>
  <c r="I15" i="18"/>
  <c r="I29" i="18" s="1"/>
  <c r="B29" i="18" s="1"/>
  <c r="H13" i="18"/>
  <c r="H28" i="18"/>
  <c r="H34" i="18" s="1"/>
  <c r="G34" i="18"/>
  <c r="H35" i="17"/>
  <c r="H41" i="17"/>
  <c r="G35" i="17"/>
  <c r="G41" i="17"/>
  <c r="I28" i="17"/>
  <c r="I13" i="17"/>
  <c r="B28" i="17"/>
  <c r="I19" i="17"/>
  <c r="I32" i="17" s="1"/>
  <c r="B32" i="17" s="1"/>
  <c r="C23" i="17"/>
  <c r="I17" i="17"/>
  <c r="I31" i="17" s="1"/>
  <c r="B31" i="17" s="1"/>
  <c r="C22" i="17"/>
  <c r="C37" i="17" s="1"/>
  <c r="I16" i="17"/>
  <c r="I30" i="17" s="1"/>
  <c r="B30" i="17" s="1"/>
  <c r="B28" i="16"/>
  <c r="H35" i="16"/>
  <c r="H41" i="16"/>
  <c r="I16" i="16"/>
  <c r="I30" i="16" s="1"/>
  <c r="B30" i="16" s="1"/>
  <c r="I19" i="16"/>
  <c r="I32" i="16" s="1"/>
  <c r="B32" i="16" s="1"/>
  <c r="C23" i="16"/>
  <c r="I17" i="16"/>
  <c r="I31" i="16" s="1"/>
  <c r="B31" i="16" s="1"/>
  <c r="C22" i="16"/>
  <c r="C37" i="16" s="1"/>
  <c r="H15" i="12"/>
  <c r="D35" i="12"/>
  <c r="I7" i="12"/>
  <c r="I26" i="12" s="1"/>
  <c r="I40" i="12" s="1"/>
  <c r="H26" i="12"/>
  <c r="H40" i="12" s="1"/>
  <c r="E19" i="12"/>
  <c r="F9" i="12"/>
  <c r="F17" i="12" s="1"/>
  <c r="E16" i="12"/>
  <c r="H13" i="12"/>
  <c r="C37" i="21" l="1"/>
  <c r="H35" i="21"/>
  <c r="H41" i="21"/>
  <c r="I28" i="21"/>
  <c r="I13" i="21"/>
  <c r="C37" i="20"/>
  <c r="I13" i="20"/>
  <c r="I28" i="20"/>
  <c r="H35" i="20"/>
  <c r="H41" i="20"/>
  <c r="H35" i="19"/>
  <c r="H41" i="19"/>
  <c r="C39" i="19"/>
  <c r="B37" i="19"/>
  <c r="B30" i="19"/>
  <c r="I34" i="19"/>
  <c r="H35" i="18"/>
  <c r="H41" i="18"/>
  <c r="G35" i="18"/>
  <c r="G41" i="18"/>
  <c r="I13" i="18"/>
  <c r="I28" i="18"/>
  <c r="C37" i="18"/>
  <c r="C39" i="17"/>
  <c r="B37" i="17"/>
  <c r="I34" i="17"/>
  <c r="C39" i="16"/>
  <c r="B37" i="16"/>
  <c r="I34" i="16"/>
  <c r="E35" i="12"/>
  <c r="I12" i="12"/>
  <c r="I28" i="12" s="1"/>
  <c r="D41" i="12"/>
  <c r="G9" i="12"/>
  <c r="G17" i="12" s="1"/>
  <c r="F16" i="12"/>
  <c r="F19" i="12"/>
  <c r="I15" i="12"/>
  <c r="I34" i="21" l="1"/>
  <c r="B28" i="21"/>
  <c r="B37" i="21"/>
  <c r="C39" i="21"/>
  <c r="I34" i="20"/>
  <c r="B28" i="20"/>
  <c r="B37" i="20"/>
  <c r="C39" i="20"/>
  <c r="I35" i="19"/>
  <c r="B35" i="19" s="1"/>
  <c r="I41" i="19"/>
  <c r="B34" i="19"/>
  <c r="C41" i="19"/>
  <c r="C42" i="19" s="1"/>
  <c r="B4" i="19" s="1"/>
  <c r="C40" i="19"/>
  <c r="B40" i="19" s="1"/>
  <c r="C39" i="18"/>
  <c r="B37" i="18"/>
  <c r="I34" i="18"/>
  <c r="B28" i="18"/>
  <c r="I35" i="17"/>
  <c r="B35" i="17" s="1"/>
  <c r="I41" i="17"/>
  <c r="B34" i="17"/>
  <c r="C41" i="17"/>
  <c r="C42" i="17" s="1"/>
  <c r="B4" i="17" s="1"/>
  <c r="C40" i="17"/>
  <c r="B40" i="17" s="1"/>
  <c r="I35" i="16"/>
  <c r="B35" i="16" s="1"/>
  <c r="I41" i="16"/>
  <c r="B34" i="16"/>
  <c r="C41" i="16"/>
  <c r="C42" i="16" s="1"/>
  <c r="B4" i="16" s="1"/>
  <c r="C40" i="16"/>
  <c r="B40" i="16" s="1"/>
  <c r="I13" i="12"/>
  <c r="E41" i="12"/>
  <c r="G16" i="12"/>
  <c r="G19" i="12"/>
  <c r="H9" i="12"/>
  <c r="H17" i="12" s="1"/>
  <c r="C41" i="21" l="1"/>
  <c r="C40" i="21"/>
  <c r="B40" i="21" s="1"/>
  <c r="I35" i="21"/>
  <c r="B35" i="21" s="1"/>
  <c r="I41" i="21"/>
  <c r="B34" i="21"/>
  <c r="C41" i="20"/>
  <c r="C40" i="20"/>
  <c r="B40" i="20" s="1"/>
  <c r="I35" i="20"/>
  <c r="B35" i="20" s="1"/>
  <c r="I41" i="20"/>
  <c r="B34" i="20"/>
  <c r="I35" i="18"/>
  <c r="B35" i="18" s="1"/>
  <c r="I41" i="18"/>
  <c r="B34" i="18"/>
  <c r="C41" i="18"/>
  <c r="C42" i="18" s="1"/>
  <c r="B4" i="18" s="1"/>
  <c r="E6" i="15" s="1"/>
  <c r="C40" i="18"/>
  <c r="B40" i="18" s="1"/>
  <c r="I9" i="12"/>
  <c r="H16" i="12"/>
  <c r="H19" i="12"/>
  <c r="F35" i="12"/>
  <c r="F41" i="12"/>
  <c r="C42" i="21" l="1"/>
  <c r="B4" i="21" s="1"/>
  <c r="C42" i="20"/>
  <c r="B4" i="20" s="1"/>
  <c r="I17" i="12"/>
  <c r="C23" i="12"/>
  <c r="C22" i="12"/>
  <c r="C37" i="12" s="1"/>
  <c r="G35" i="12"/>
  <c r="G41" i="12"/>
  <c r="I16" i="12"/>
  <c r="I19" i="12"/>
  <c r="C39" i="12" l="1"/>
  <c r="B37" i="12"/>
  <c r="C40" i="12"/>
  <c r="B40" i="12" s="1"/>
  <c r="C41" i="12"/>
  <c r="H35" i="12"/>
  <c r="H41" i="12"/>
  <c r="I35" i="12" l="1"/>
  <c r="I41" i="12"/>
  <c r="C42" i="12" s="1"/>
  <c r="B4" i="12" s="1"/>
</calcChain>
</file>

<file path=xl/sharedStrings.xml><?xml version="1.0" encoding="utf-8"?>
<sst xmlns="http://schemas.openxmlformats.org/spreadsheetml/2006/main" count="454" uniqueCount="64">
  <si>
    <t xml:space="preserve">Variable </t>
  </si>
  <si>
    <t>Discount rate</t>
  </si>
  <si>
    <t>NPV</t>
  </si>
  <si>
    <t xml:space="preserve">Discount factor </t>
  </si>
  <si>
    <t>Total</t>
  </si>
  <si>
    <t>Costs</t>
  </si>
  <si>
    <t>Software development</t>
  </si>
  <si>
    <t>Part 1: Assumptions (USD)</t>
  </si>
  <si>
    <t>Manufacturing</t>
  </si>
  <si>
    <t>Distribution</t>
  </si>
  <si>
    <t>Revenues</t>
  </si>
  <si>
    <t>Tax</t>
  </si>
  <si>
    <t>ICS distributed (#, yearly)</t>
  </si>
  <si>
    <t>ICS distributed (#, cumulative)</t>
  </si>
  <si>
    <t>Inflaton rate</t>
  </si>
  <si>
    <t>Repalcement / failure rate</t>
  </si>
  <si>
    <t>Source document</t>
  </si>
  <si>
    <t>Management assumption</t>
  </si>
  <si>
    <t>Excl. VCUs</t>
  </si>
  <si>
    <t>NPV ($)</t>
  </si>
  <si>
    <t>Per unit</t>
  </si>
  <si>
    <t>UpEnergy - Social and Climate Impact Programme-Nigeria-1</t>
  </si>
  <si>
    <t>Overheads</t>
  </si>
  <si>
    <t xml:space="preserve">Project Management </t>
  </si>
  <si>
    <t>Project Cost</t>
  </si>
  <si>
    <t>Stove cost</t>
  </si>
  <si>
    <t>Implementation cost</t>
  </si>
  <si>
    <t>Cost on account of defective stove/breakdown</t>
  </si>
  <si>
    <t>Costs involving software/database maintenance</t>
  </si>
  <si>
    <t>Discounted cost</t>
  </si>
  <si>
    <t>Project Revenue</t>
  </si>
  <si>
    <t>Other revenue</t>
  </si>
  <si>
    <t>Discounted annual revenue</t>
  </si>
  <si>
    <t>Net Revenue</t>
  </si>
  <si>
    <t>2022-23</t>
  </si>
  <si>
    <t>2023-24</t>
  </si>
  <si>
    <t>2024-25</t>
  </si>
  <si>
    <t>2025-26</t>
  </si>
  <si>
    <t>2026-27</t>
  </si>
  <si>
    <t>2027-28</t>
  </si>
  <si>
    <t>2028-29</t>
  </si>
  <si>
    <t>Transport &amp; Storage</t>
  </si>
  <si>
    <t>Project plan - Ex Ante ER Sheet</t>
  </si>
  <si>
    <t xml:space="preserve">Project Feasiblity Report </t>
  </si>
  <si>
    <t>https://businessday.ng/uncategorized/article/as-vat-rate-of-7-5-commences/</t>
  </si>
  <si>
    <t>ICS distribution revenue (Pilot scale @ 5% volume)</t>
  </si>
  <si>
    <t>ICS distribution revenue (Full scale @ 95% volume)</t>
  </si>
  <si>
    <t>Revenue from distribution of ICS</t>
  </si>
  <si>
    <t xml:space="preserve">Data management </t>
  </si>
  <si>
    <t>Overhead costs</t>
  </si>
  <si>
    <t>Total in USD</t>
  </si>
  <si>
    <t>Sensitivity Analysis</t>
  </si>
  <si>
    <t>Inflation Rate</t>
  </si>
  <si>
    <t>Manufacturing Cost</t>
  </si>
  <si>
    <t>Parameter / Variation</t>
  </si>
  <si>
    <t>Project NPV in $</t>
  </si>
  <si>
    <t>Inflaton rate (+10%)</t>
  </si>
  <si>
    <t>Inflaton rate (-10%)</t>
  </si>
  <si>
    <t>Manufacturing (+10%)</t>
  </si>
  <si>
    <t>Manufacturing (-10%)</t>
  </si>
  <si>
    <t>ICS Distribution Cost</t>
  </si>
  <si>
    <t xml:space="preserve">Quotes from Manufacturers </t>
  </si>
  <si>
    <t xml:space="preserve">https://www.imf.org/external/datamapper/PCPIPCH@WEO/OEMDC/ADVEC/WEOWORLD/NGA  </t>
  </si>
  <si>
    <t>Adopted Company wide Discount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</si>
</sst>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&quot;Year&quot;\ 0"/>
    <numFmt numFmtId="166" formatCode="#,##0.0_);\(#,##0.0\)"/>
    <numFmt numFmtId="167" formatCode="[$$-409]#,##0_ ;[Red]\-[$$-409]#,##0\ "/>
    <numFmt numFmtId="168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FF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8" fillId="0" borderId="0" xfId="0" applyFont="1"/>
    <xf numFmtId="0" fontId="7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0" borderId="3" xfId="0" applyFont="1" applyBorder="1" applyAlignment="1">
      <alignment horizontal="left" indent="1"/>
    </xf>
    <xf numFmtId="0" fontId="4" fillId="3" borderId="3" xfId="0" applyFont="1" applyFill="1" applyBorder="1" applyAlignment="1">
      <alignment horizontal="left" indent="1"/>
    </xf>
    <xf numFmtId="0" fontId="5" fillId="0" borderId="3" xfId="0" applyFont="1" applyBorder="1"/>
    <xf numFmtId="0" fontId="4" fillId="0" borderId="3" xfId="0" applyFont="1" applyBorder="1"/>
    <xf numFmtId="0" fontId="5" fillId="0" borderId="3" xfId="0" applyFont="1" applyBorder="1" applyAlignment="1">
      <alignment horizontal="left" vertical="center"/>
    </xf>
    <xf numFmtId="0" fontId="4" fillId="3" borderId="4" xfId="0" applyFont="1" applyFill="1" applyBorder="1" applyAlignment="1">
      <alignment horizontal="left" indent="1"/>
    </xf>
    <xf numFmtId="0" fontId="5" fillId="3" borderId="3" xfId="0" applyFont="1" applyFill="1" applyBorder="1"/>
    <xf numFmtId="2" fontId="4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7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6" fillId="0" borderId="3" xfId="1" applyNumberFormat="1" applyFont="1" applyFill="1" applyBorder="1" applyAlignment="1">
      <alignment horizontal="center" vertical="center"/>
    </xf>
    <xf numFmtId="39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1" fontId="4" fillId="0" borderId="3" xfId="0" applyNumberFormat="1" applyFont="1" applyBorder="1" applyAlignment="1">
      <alignment horizontal="center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center" vertical="center"/>
    </xf>
    <xf numFmtId="2" fontId="5" fillId="3" borderId="0" xfId="0" applyNumberFormat="1" applyFont="1" applyFill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37" fontId="9" fillId="0" borderId="3" xfId="0" applyNumberFormat="1" applyFont="1" applyBorder="1" applyAlignment="1">
      <alignment horizontal="center" vertical="center"/>
    </xf>
    <xf numFmtId="37" fontId="5" fillId="0" borderId="3" xfId="0" applyNumberFormat="1" applyFont="1" applyBorder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/>
    </xf>
    <xf numFmtId="37" fontId="4" fillId="3" borderId="3" xfId="0" applyNumberFormat="1" applyFont="1" applyFill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165" fontId="5" fillId="0" borderId="3" xfId="0" applyNumberFormat="1" applyFont="1" applyBorder="1" applyAlignment="1">
      <alignment horizontal="center" vertical="center"/>
    </xf>
    <xf numFmtId="37" fontId="7" fillId="0" borderId="0" xfId="0" applyNumberFormat="1" applyFont="1" applyAlignment="1">
      <alignment horizontal="center" vertical="center"/>
    </xf>
    <xf numFmtId="37" fontId="4" fillId="0" borderId="3" xfId="4" applyNumberFormat="1" applyFont="1" applyBorder="1" applyAlignment="1">
      <alignment horizontal="center" vertical="center"/>
    </xf>
    <xf numFmtId="0" fontId="4" fillId="4" borderId="3" xfId="0" applyFont="1" applyFill="1" applyBorder="1" applyAlignment="1">
      <alignment horizontal="left" indent="1"/>
    </xf>
    <xf numFmtId="0" fontId="0" fillId="0" borderId="0" xfId="0" applyAlignment="1">
      <alignment horizontal="center" vertical="center"/>
    </xf>
    <xf numFmtId="168" fontId="4" fillId="0" borderId="3" xfId="4" applyNumberFormat="1" applyFont="1" applyBorder="1" applyAlignment="1">
      <alignment horizontal="center" vertical="center"/>
    </xf>
    <xf numFmtId="164" fontId="6" fillId="4" borderId="3" xfId="1" applyNumberFormat="1" applyFont="1" applyFill="1" applyBorder="1" applyAlignment="1">
      <alignment horizontal="center" vertical="center"/>
    </xf>
    <xf numFmtId="164" fontId="6" fillId="3" borderId="3" xfId="1" applyNumberFormat="1" applyFont="1" applyFill="1" applyBorder="1" applyAlignment="1">
      <alignment horizontal="center" vertical="center"/>
    </xf>
    <xf numFmtId="166" fontId="6" fillId="4" borderId="3" xfId="0" applyNumberFormat="1" applyFont="1" applyFill="1" applyBorder="1" applyAlignment="1">
      <alignment horizontal="center" vertical="center"/>
    </xf>
    <xf numFmtId="37" fontId="4" fillId="4" borderId="3" xfId="0" applyNumberFormat="1" applyFont="1" applyFill="1" applyBorder="1" applyAlignment="1">
      <alignment horizontal="center" vertical="center"/>
    </xf>
    <xf numFmtId="37" fontId="0" fillId="0" borderId="3" xfId="0" applyNumberFormat="1" applyBorder="1" applyAlignment="1">
      <alignment horizontal="center" vertical="center"/>
    </xf>
    <xf numFmtId="0" fontId="0" fillId="0" borderId="8" xfId="0" applyBorder="1"/>
    <xf numFmtId="37" fontId="0" fillId="0" borderId="9" xfId="0" applyNumberFormat="1" applyBorder="1" applyAlignment="1">
      <alignment horizontal="center" vertical="center"/>
    </xf>
    <xf numFmtId="0" fontId="0" fillId="0" borderId="10" xfId="0" applyBorder="1"/>
    <xf numFmtId="37" fontId="0" fillId="0" borderId="11" xfId="0" applyNumberFormat="1" applyBorder="1" applyAlignment="1">
      <alignment horizontal="center" vertical="center"/>
    </xf>
    <xf numFmtId="37" fontId="0" fillId="0" borderId="12" xfId="0" applyNumberFormat="1" applyBorder="1" applyAlignment="1">
      <alignment horizontal="center" vertical="center"/>
    </xf>
    <xf numFmtId="0" fontId="11" fillId="5" borderId="5" xfId="0" applyFont="1" applyFill="1" applyBorder="1"/>
    <xf numFmtId="0" fontId="11" fillId="3" borderId="0" xfId="0" applyFont="1" applyFill="1"/>
    <xf numFmtId="0" fontId="0" fillId="3" borderId="0" xfId="0" applyFill="1" applyAlignment="1">
      <alignment horizontal="center" vertical="center"/>
    </xf>
    <xf numFmtId="0" fontId="0" fillId="3" borderId="0" xfId="0" applyFill="1"/>
    <xf numFmtId="0" fontId="11" fillId="5" borderId="16" xfId="0" applyFont="1" applyFill="1" applyBorder="1"/>
    <xf numFmtId="9" fontId="11" fillId="5" borderId="17" xfId="0" applyNumberFormat="1" applyFont="1" applyFill="1" applyBorder="1" applyAlignment="1">
      <alignment horizontal="center" vertical="center"/>
    </xf>
    <xf numFmtId="9" fontId="11" fillId="5" borderId="18" xfId="0" applyNumberFormat="1" applyFont="1" applyFill="1" applyBorder="1" applyAlignment="1">
      <alignment horizontal="center" vertical="center"/>
    </xf>
    <xf numFmtId="9" fontId="11" fillId="5" borderId="19" xfId="0" applyNumberFormat="1" applyFont="1" applyFill="1" applyBorder="1" applyAlignment="1">
      <alignment horizontal="center" vertical="center"/>
    </xf>
    <xf numFmtId="0" fontId="0" fillId="0" borderId="5" xfId="0" applyBorder="1"/>
    <xf numFmtId="37" fontId="0" fillId="0" borderId="6" xfId="0" applyNumberFormat="1" applyBorder="1" applyAlignment="1">
      <alignment horizontal="center" vertical="center"/>
    </xf>
    <xf numFmtId="37" fontId="0" fillId="0" borderId="7" xfId="0" applyNumberFormat="1" applyBorder="1" applyAlignment="1">
      <alignment horizontal="center" vertical="center"/>
    </xf>
    <xf numFmtId="0" fontId="5" fillId="2" borderId="5" xfId="0" applyFont="1" applyFill="1" applyBorder="1"/>
    <xf numFmtId="0" fontId="5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5" fillId="0" borderId="8" xfId="0" applyFont="1" applyBorder="1"/>
    <xf numFmtId="0" fontId="4" fillId="0" borderId="8" xfId="0" applyFont="1" applyBorder="1" applyAlignment="1">
      <alignment horizontal="left" indent="1"/>
    </xf>
    <xf numFmtId="0" fontId="2" fillId="0" borderId="9" xfId="2" applyBorder="1" applyAlignment="1">
      <alignment horizontal="left"/>
    </xf>
    <xf numFmtId="0" fontId="4" fillId="3" borderId="8" xfId="0" applyFont="1" applyFill="1" applyBorder="1" applyAlignment="1">
      <alignment horizontal="left" indent="1"/>
    </xf>
    <xf numFmtId="0" fontId="5" fillId="3" borderId="8" xfId="0" applyFont="1" applyFill="1" applyBorder="1"/>
    <xf numFmtId="0" fontId="4" fillId="3" borderId="8" xfId="0" applyFont="1" applyFill="1" applyBorder="1" applyAlignment="1">
      <alignment horizontal="center"/>
    </xf>
    <xf numFmtId="0" fontId="4" fillId="0" borderId="9" xfId="0" applyFont="1" applyBorder="1"/>
    <xf numFmtId="0" fontId="4" fillId="0" borderId="9" xfId="2" applyFont="1" applyFill="1" applyBorder="1" applyAlignment="1">
      <alignment horizontal="left"/>
    </xf>
    <xf numFmtId="0" fontId="7" fillId="0" borderId="9" xfId="0" applyFont="1" applyBorder="1"/>
    <xf numFmtId="37" fontId="7" fillId="0" borderId="9" xfId="0" applyNumberFormat="1" applyFont="1" applyBorder="1"/>
    <xf numFmtId="0" fontId="5" fillId="0" borderId="10" xfId="0" applyFont="1" applyBorder="1"/>
    <xf numFmtId="0" fontId="4" fillId="0" borderId="1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 vertical="center"/>
    </xf>
    <xf numFmtId="0" fontId="7" fillId="0" borderId="12" xfId="0" applyFont="1" applyBorder="1"/>
    <xf numFmtId="0" fontId="11" fillId="5" borderId="13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</cellXfs>
  <cellStyles count="5">
    <cellStyle name="Comma" xfId="4" builtinId="3"/>
    <cellStyle name="Hyperlink" xfId="2" builtinId="8"/>
    <cellStyle name="Normal" xfId="0" builtinId="0"/>
    <cellStyle name="Normal 3" xfId="3" xr:uid="{3D4EF70E-502E-3340-97CF-4FE210CD95B6}"/>
    <cellStyle name="Per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imf.org/external/datamapper/PCPIPCH@WEO/OEMDC/ADVEC/WEOWORLD/NGA" TargetMode="External"/><Relationship Id="rId1" Type="http://schemas.openxmlformats.org/officeDocument/2006/relationships/hyperlink" Target="about:bla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88CBD-E433-4578-8A92-18D4BD337F1E}">
  <dimension ref="A1:J43"/>
  <sheetViews>
    <sheetView tabSelected="1" zoomScale="94" zoomScaleNormal="80" workbookViewId="0">
      <selection activeCell="C36" sqref="C36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80.5546875" style="2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-21102544.743950456</v>
      </c>
      <c r="C4" s="31"/>
      <c r="D4" s="31"/>
      <c r="E4" s="17"/>
      <c r="F4" s="17"/>
      <c r="G4" s="17"/>
      <c r="H4" s="17"/>
      <c r="I4" s="17"/>
    </row>
    <row r="5" spans="1:10" s="4" customFormat="1" ht="14.4" thickBot="1" x14ac:dyDescent="0.3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66" t="s">
        <v>7</v>
      </c>
      <c r="B6" s="67"/>
      <c r="C6" s="68"/>
      <c r="D6" s="68"/>
      <c r="E6" s="68"/>
      <c r="F6" s="68"/>
      <c r="G6" s="68"/>
      <c r="H6" s="68"/>
      <c r="I6" s="68"/>
      <c r="J6" s="69"/>
    </row>
    <row r="7" spans="1:10" s="4" customFormat="1" ht="13.8" x14ac:dyDescent="0.25">
      <c r="A7" s="70" t="s">
        <v>0</v>
      </c>
      <c r="B7" s="19" t="s">
        <v>20</v>
      </c>
      <c r="C7" s="39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71" t="s">
        <v>16</v>
      </c>
    </row>
    <row r="8" spans="1:10" s="4" customFormat="1" ht="13.8" x14ac:dyDescent="0.25">
      <c r="A8" s="72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72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74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75" t="s">
        <v>14</v>
      </c>
      <c r="B11" s="21"/>
      <c r="C11" s="21">
        <v>0.188</v>
      </c>
      <c r="D11" s="21">
        <f>C11</f>
        <v>0.188</v>
      </c>
      <c r="E11" s="21">
        <f t="shared" ref="E11:I11" si="2">D11</f>
        <v>0.188</v>
      </c>
      <c r="F11" s="21">
        <f t="shared" si="2"/>
        <v>0.188</v>
      </c>
      <c r="G11" s="21">
        <f t="shared" si="2"/>
        <v>0.188</v>
      </c>
      <c r="H11" s="21">
        <f t="shared" si="2"/>
        <v>0.188</v>
      </c>
      <c r="I11" s="21">
        <f t="shared" si="2"/>
        <v>0.188</v>
      </c>
      <c r="J11" s="76" t="s">
        <v>62</v>
      </c>
    </row>
    <row r="12" spans="1:10" s="4" customFormat="1" ht="13.8" x14ac:dyDescent="0.25">
      <c r="A12" s="75" t="s">
        <v>8</v>
      </c>
      <c r="B12" s="28">
        <v>13.5</v>
      </c>
      <c r="C12" s="16">
        <f>C$8*$B12*(1+C$11)^(C$7-1)</f>
        <v>1012500</v>
      </c>
      <c r="D12" s="16">
        <f>D$8*$B12*(1+D$11)^(D$7-1)</f>
        <v>2806650</v>
      </c>
      <c r="E12" s="16">
        <f>E$8*$B12*(1+E$11)^(E$7-1)</f>
        <v>4763286</v>
      </c>
      <c r="F12" s="16">
        <f t="shared" ref="F12:I12" si="3">F$8*$B12*(1+F$11)^(F$7-1)</f>
        <v>0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73" t="s">
        <v>61</v>
      </c>
    </row>
    <row r="13" spans="1:10" s="4" customFormat="1" ht="14.4" x14ac:dyDescent="0.3">
      <c r="A13" s="75" t="s">
        <v>11</v>
      </c>
      <c r="B13" s="21">
        <v>7.4999999999999997E-2</v>
      </c>
      <c r="C13" s="16">
        <f>C12*$B13</f>
        <v>75937.5</v>
      </c>
      <c r="D13" s="16">
        <f t="shared" ref="D13:I13" si="4">D12*$B13</f>
        <v>210498.75</v>
      </c>
      <c r="E13" s="16">
        <f t="shared" si="4"/>
        <v>357246.45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77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5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644490</v>
      </c>
      <c r="E15" s="16">
        <f t="shared" si="5"/>
        <v>1093791.5999999999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5" t="s">
        <v>15</v>
      </c>
      <c r="B16" s="21">
        <v>0.01</v>
      </c>
      <c r="C16" s="16">
        <f t="shared" ref="C16:I16" si="6">C$9*$B16*$B12*(1+C$11)^(C$7-1)</f>
        <v>10125</v>
      </c>
      <c r="D16" s="16">
        <f t="shared" si="6"/>
        <v>40095</v>
      </c>
      <c r="E16" s="16">
        <f t="shared" si="6"/>
        <v>95265.72</v>
      </c>
      <c r="F16" s="16">
        <f t="shared" si="6"/>
        <v>113175.67535999999</v>
      </c>
      <c r="G16" s="16">
        <f t="shared" si="6"/>
        <v>134452.70232767999</v>
      </c>
      <c r="H16" s="16">
        <f t="shared" si="6"/>
        <v>159729.81036528383</v>
      </c>
      <c r="I16" s="16">
        <f t="shared" si="6"/>
        <v>189759.01471395718</v>
      </c>
      <c r="J16" s="73" t="s">
        <v>43</v>
      </c>
    </row>
    <row r="17" spans="1:10" s="4" customFormat="1" ht="13.8" x14ac:dyDescent="0.25">
      <c r="A17" s="77" t="s">
        <v>48</v>
      </c>
      <c r="B17" s="28">
        <v>2.5</v>
      </c>
      <c r="C17" s="16">
        <f>C$9*$B17*(1+C$11)^(C$7-1)</f>
        <v>187500</v>
      </c>
      <c r="D17" s="16">
        <f>D$9*$B17*(1+D$11)^(D$7-1)</f>
        <v>742500</v>
      </c>
      <c r="E17" s="16">
        <f t="shared" ref="E17:I17" si="7">E$9*$B17*(1+E$11)^(E$7-1)</f>
        <v>1764180</v>
      </c>
      <c r="F17" s="16">
        <f t="shared" si="7"/>
        <v>2095845.8399999999</v>
      </c>
      <c r="G17" s="16">
        <f t="shared" si="7"/>
        <v>2489864.8579199999</v>
      </c>
      <c r="H17" s="16">
        <f t="shared" si="7"/>
        <v>2957959.4512089598</v>
      </c>
      <c r="I17" s="16">
        <f t="shared" si="7"/>
        <v>3514055.828036244</v>
      </c>
      <c r="J17" s="73" t="s">
        <v>43</v>
      </c>
    </row>
    <row r="18" spans="1:10" s="4" customFormat="1" ht="13.8" x14ac:dyDescent="0.25">
      <c r="A18" s="77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77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891000</v>
      </c>
      <c r="E19" s="16">
        <f t="shared" si="8"/>
        <v>2117016</v>
      </c>
      <c r="F19" s="16">
        <f t="shared" si="8"/>
        <v>2515015.0079999999</v>
      </c>
      <c r="G19" s="16">
        <f t="shared" si="8"/>
        <v>2987837.8295039996</v>
      </c>
      <c r="H19" s="16">
        <f t="shared" si="8"/>
        <v>3549551.3414507518</v>
      </c>
      <c r="I19" s="16">
        <f t="shared" si="8"/>
        <v>4216866.9936434925</v>
      </c>
      <c r="J19" s="73" t="s">
        <v>43</v>
      </c>
    </row>
    <row r="20" spans="1:10" s="4" customFormat="1" ht="13.8" x14ac:dyDescent="0.25">
      <c r="A20" s="77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78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79" t="s">
        <v>45</v>
      </c>
      <c r="B22" s="29">
        <v>12.6</v>
      </c>
      <c r="C22" s="16">
        <f>(I9*5%)*$B22</f>
        <v>315000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79" t="s">
        <v>46</v>
      </c>
      <c r="B23" s="29">
        <v>5</v>
      </c>
      <c r="C23" s="16">
        <f>(C8-I9*5%)*$B23</f>
        <v>250000</v>
      </c>
      <c r="D23" s="16">
        <f t="shared" si="9"/>
        <v>875000</v>
      </c>
      <c r="E23" s="16">
        <f t="shared" si="9"/>
        <v>1250000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74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5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5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74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5" t="s">
        <v>25</v>
      </c>
      <c r="B28" s="16">
        <f>SUM(C28:I28)</f>
        <v>8582436</v>
      </c>
      <c r="C28" s="16">
        <f t="shared" ref="C28:I28" si="11">C12</f>
        <v>1012500</v>
      </c>
      <c r="D28" s="16">
        <f t="shared" si="11"/>
        <v>2806650</v>
      </c>
      <c r="E28" s="16">
        <f t="shared" si="11"/>
        <v>4763286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5" t="s">
        <v>26</v>
      </c>
      <c r="B29" s="16">
        <f t="shared" ref="B29:B35" si="12">SUM(C29:I29)</f>
        <v>4018154.3999999994</v>
      </c>
      <c r="C29" s="16">
        <f t="shared" ref="C29:I29" si="13">C15+C14</f>
        <v>480000</v>
      </c>
      <c r="D29" s="16">
        <f t="shared" si="13"/>
        <v>1338067.5</v>
      </c>
      <c r="E29" s="16">
        <f t="shared" si="13"/>
        <v>2200086.8999999994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5" t="s">
        <v>27</v>
      </c>
      <c r="B30" s="16">
        <f t="shared" si="12"/>
        <v>742602.92276692099</v>
      </c>
      <c r="C30" s="16">
        <f>C16</f>
        <v>10125</v>
      </c>
      <c r="D30" s="16">
        <f t="shared" ref="D30:I30" si="14">D16</f>
        <v>40095</v>
      </c>
      <c r="E30" s="16">
        <f t="shared" si="14"/>
        <v>95265.72</v>
      </c>
      <c r="F30" s="16">
        <f t="shared" si="14"/>
        <v>113175.67535999999</v>
      </c>
      <c r="G30" s="16">
        <f t="shared" si="14"/>
        <v>134452.70232767999</v>
      </c>
      <c r="H30" s="16">
        <f t="shared" si="14"/>
        <v>159729.81036528383</v>
      </c>
      <c r="I30" s="16">
        <f t="shared" si="14"/>
        <v>189759.01471395718</v>
      </c>
      <c r="J30" s="82"/>
    </row>
    <row r="31" spans="1:10" ht="13.8" x14ac:dyDescent="0.25">
      <c r="A31" s="75" t="s">
        <v>28</v>
      </c>
      <c r="B31" s="16">
        <f t="shared" si="12"/>
        <v>13947905.977165204</v>
      </c>
      <c r="C31" s="16">
        <f>C17+C18</f>
        <v>239500</v>
      </c>
      <c r="D31" s="16">
        <f t="shared" ref="D31:I31" si="15">D17+D18</f>
        <v>766500</v>
      </c>
      <c r="E31" s="16">
        <f t="shared" si="15"/>
        <v>1788180</v>
      </c>
      <c r="F31" s="16">
        <f t="shared" si="15"/>
        <v>2119845.84</v>
      </c>
      <c r="G31" s="16">
        <f t="shared" si="15"/>
        <v>2513864.8579199999</v>
      </c>
      <c r="H31" s="16">
        <f t="shared" si="15"/>
        <v>2981959.4512089598</v>
      </c>
      <c r="I31" s="16">
        <f t="shared" si="15"/>
        <v>3538055.828036244</v>
      </c>
      <c r="J31" s="82"/>
    </row>
    <row r="32" spans="1:10" ht="13.8" x14ac:dyDescent="0.25">
      <c r="A32" s="75" t="s">
        <v>49</v>
      </c>
      <c r="B32" s="16">
        <f t="shared" si="12"/>
        <v>16502287.172598243</v>
      </c>
      <c r="C32" s="16">
        <f t="shared" ref="C32:I33" si="16">C19</f>
        <v>225000</v>
      </c>
      <c r="D32" s="16">
        <f t="shared" si="16"/>
        <v>891000</v>
      </c>
      <c r="E32" s="16">
        <f t="shared" si="16"/>
        <v>2117016</v>
      </c>
      <c r="F32" s="16">
        <f t="shared" si="16"/>
        <v>2515015.0079999999</v>
      </c>
      <c r="G32" s="16">
        <f t="shared" si="16"/>
        <v>2987837.8295039996</v>
      </c>
      <c r="H32" s="16">
        <f t="shared" si="16"/>
        <v>3549551.3414507518</v>
      </c>
      <c r="I32" s="16">
        <f t="shared" si="16"/>
        <v>4216866.9936434925</v>
      </c>
      <c r="J32" s="82"/>
    </row>
    <row r="33" spans="1:10" ht="13.8" x14ac:dyDescent="0.25">
      <c r="A33" s="75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5" t="s">
        <v>4</v>
      </c>
      <c r="B34" s="16">
        <f t="shared" si="12"/>
        <v>47593386.472530365</v>
      </c>
      <c r="C34" s="16">
        <f>SUM(C28:C33)</f>
        <v>2317125</v>
      </c>
      <c r="D34" s="16">
        <f t="shared" ref="D34:H34" si="17">SUM(D28:D33)</f>
        <v>6292312.5</v>
      </c>
      <c r="E34" s="16">
        <f t="shared" si="17"/>
        <v>11563834.619999999</v>
      </c>
      <c r="F34" s="16">
        <f t="shared" si="17"/>
        <v>5348036.5233599991</v>
      </c>
      <c r="G34" s="16">
        <f t="shared" si="17"/>
        <v>6236155.3897516793</v>
      </c>
      <c r="H34" s="16">
        <f t="shared" si="17"/>
        <v>7291240.603024995</v>
      </c>
      <c r="I34" s="16">
        <f>SUM(I28:I33)</f>
        <v>8544681.8363936935</v>
      </c>
      <c r="J34" s="82"/>
    </row>
    <row r="35" spans="1:10" ht="13.8" x14ac:dyDescent="0.25">
      <c r="A35" s="75" t="s">
        <v>29</v>
      </c>
      <c r="B35" s="16">
        <f t="shared" si="12"/>
        <v>22904396.595802307</v>
      </c>
      <c r="C35" s="44">
        <f>C34*C26</f>
        <v>1930937.5</v>
      </c>
      <c r="D35" s="27">
        <f t="shared" ref="D35:I35" si="18">D34*D26</f>
        <v>4369661.458333333</v>
      </c>
      <c r="E35" s="27">
        <f t="shared" si="18"/>
        <v>6692033.923611111</v>
      </c>
      <c r="F35" s="27">
        <f t="shared" si="18"/>
        <v>2579107.1196759255</v>
      </c>
      <c r="G35" s="27">
        <f t="shared" si="18"/>
        <v>2506170.9867507713</v>
      </c>
      <c r="H35" s="27">
        <f t="shared" si="18"/>
        <v>2441821.7254429348</v>
      </c>
      <c r="I35" s="27">
        <f t="shared" si="18"/>
        <v>2384663.8819882306</v>
      </c>
      <c r="J35" s="83"/>
    </row>
    <row r="36" spans="1:10" ht="13.8" x14ac:dyDescent="0.25">
      <c r="A36" s="74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5" t="s">
        <v>47</v>
      </c>
      <c r="B37" s="16">
        <f>SUM(C37:I37)</f>
        <v>2690000</v>
      </c>
      <c r="C37" s="16">
        <f>C22+C23</f>
        <v>565000</v>
      </c>
      <c r="D37" s="16">
        <f t="shared" ref="D37:I37" si="19">D22+D23</f>
        <v>875000</v>
      </c>
      <c r="E37" s="16">
        <f t="shared" si="19"/>
        <v>1250000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5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5" t="s">
        <v>4</v>
      </c>
      <c r="B39" s="20"/>
      <c r="C39" s="16">
        <f>SUM(C37:C38)</f>
        <v>565000</v>
      </c>
      <c r="D39" s="16">
        <f t="shared" ref="D39:I39" si="20">SUM(D37:D38)</f>
        <v>875000</v>
      </c>
      <c r="E39" s="16">
        <f t="shared" si="20"/>
        <v>1250000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5" t="s">
        <v>32</v>
      </c>
      <c r="B40" s="16">
        <f>SUM(C40:I40)</f>
        <v>1801851.8518518519</v>
      </c>
      <c r="C40" s="41">
        <f t="shared" ref="C40:I40" si="21">C39*C26</f>
        <v>470833.33333333337</v>
      </c>
      <c r="D40" s="41">
        <f t="shared" si="21"/>
        <v>607638.88888888888</v>
      </c>
      <c r="E40" s="41">
        <f t="shared" si="21"/>
        <v>723379.62962962966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74" t="s">
        <v>33</v>
      </c>
      <c r="B41" s="20"/>
      <c r="C41" s="16">
        <f t="shared" ref="C41:I41" si="22">C39-C34</f>
        <v>-1752125</v>
      </c>
      <c r="D41" s="16">
        <f t="shared" si="22"/>
        <v>-5417312.5</v>
      </c>
      <c r="E41" s="16">
        <f t="shared" si="22"/>
        <v>-10313834.619999999</v>
      </c>
      <c r="F41" s="16">
        <f t="shared" si="22"/>
        <v>-5348036.5233599991</v>
      </c>
      <c r="G41" s="16">
        <f t="shared" si="22"/>
        <v>-6236155.3897516793</v>
      </c>
      <c r="H41" s="16">
        <f t="shared" si="22"/>
        <v>-7291240.603024995</v>
      </c>
      <c r="I41" s="16">
        <f t="shared" si="22"/>
        <v>-8544681.8363936935</v>
      </c>
      <c r="J41" s="82"/>
    </row>
    <row r="42" spans="1:10" ht="14.4" thickBot="1" x14ac:dyDescent="0.3">
      <c r="A42" s="84" t="s">
        <v>2</v>
      </c>
      <c r="B42" s="85"/>
      <c r="C42" s="86">
        <f>NPV(B25,C41:I41)</f>
        <v>-21102544.743950456</v>
      </c>
      <c r="D42" s="85"/>
      <c r="E42" s="85"/>
      <c r="F42" s="85"/>
      <c r="G42" s="85"/>
      <c r="H42" s="85"/>
      <c r="I42" s="85"/>
      <c r="J42" s="87"/>
    </row>
    <row r="43" spans="1:10" x14ac:dyDescent="0.25">
      <c r="B43" s="40"/>
    </row>
  </sheetData>
  <phoneticPr fontId="10" type="noConversion"/>
  <hyperlinks>
    <hyperlink ref="J13" r:id="rId1" xr:uid="{F8BCA0AA-F64F-4CA7-98F0-10D1D6720E98}"/>
    <hyperlink ref="J11" r:id="rId2" xr:uid="{FCFB6679-CE81-423C-BC2B-D309E26EDEA3}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0A72D-D5F5-4A8B-9EB6-BBAF90A0CD62}">
  <dimension ref="D1:G8"/>
  <sheetViews>
    <sheetView zoomScale="90" zoomScaleNormal="90" workbookViewId="0">
      <selection activeCell="G8" sqref="G8"/>
    </sheetView>
  </sheetViews>
  <sheetFormatPr defaultRowHeight="14.4" x14ac:dyDescent="0.3"/>
  <cols>
    <col min="4" max="4" width="20" customWidth="1"/>
    <col min="5" max="6" width="13.77734375" style="43" customWidth="1"/>
    <col min="7" max="7" width="12.21875" style="43" bestFit="1" customWidth="1"/>
  </cols>
  <sheetData>
    <row r="1" spans="4:7" ht="15" thickBot="1" x14ac:dyDescent="0.35"/>
    <row r="2" spans="4:7" x14ac:dyDescent="0.3">
      <c r="D2" s="55" t="s">
        <v>51</v>
      </c>
    </row>
    <row r="3" spans="4:7" s="58" customFormat="1" ht="15" thickBot="1" x14ac:dyDescent="0.35">
      <c r="D3" s="56"/>
      <c r="E3" s="57"/>
      <c r="F3" s="57"/>
      <c r="G3" s="57"/>
    </row>
    <row r="4" spans="4:7" ht="15" thickBot="1" x14ac:dyDescent="0.35">
      <c r="E4" s="88" t="s">
        <v>55</v>
      </c>
      <c r="F4" s="89"/>
      <c r="G4" s="90"/>
    </row>
    <row r="5" spans="4:7" ht="15" thickBot="1" x14ac:dyDescent="0.35">
      <c r="D5" s="59" t="s">
        <v>54</v>
      </c>
      <c r="E5" s="60">
        <v>0.1</v>
      </c>
      <c r="F5" s="61">
        <v>0</v>
      </c>
      <c r="G5" s="62">
        <v>-0.1</v>
      </c>
    </row>
    <row r="6" spans="4:7" x14ac:dyDescent="0.3">
      <c r="D6" s="63" t="s">
        <v>53</v>
      </c>
      <c r="E6" s="64">
        <f>'Iteration 3 Manufacturing @10%'!B4</f>
        <v>-21688126.735752776</v>
      </c>
      <c r="F6" s="64">
        <f>'NG VCS 2673-NPV'!B4</f>
        <v>-21102544.743950456</v>
      </c>
      <c r="G6" s="65">
        <f>'Iteration 4 Manufacturing @-10%'!B4</f>
        <v>-20516962.75214814</v>
      </c>
    </row>
    <row r="7" spans="4:7" x14ac:dyDescent="0.3">
      <c r="D7" s="50" t="s">
        <v>52</v>
      </c>
      <c r="E7" s="49">
        <f>'Iteration 1 Inflation @10%'!B4</f>
        <v>-21997187.809892409</v>
      </c>
      <c r="F7" s="49">
        <f>'NG VCS 2673-NPV'!B4</f>
        <v>-21102544.743950456</v>
      </c>
      <c r="G7" s="51">
        <f>'Iteration 2 Inflation @-10%'!B4</f>
        <v>-20248749.242051408</v>
      </c>
    </row>
    <row r="8" spans="4:7" ht="15" thickBot="1" x14ac:dyDescent="0.35">
      <c r="D8" s="52" t="s">
        <v>60</v>
      </c>
      <c r="E8" s="53">
        <f>'Iteration 5 Revenue @10%'!B4</f>
        <v>-21817002.624707222</v>
      </c>
      <c r="F8" s="53">
        <f>'NG VCS 2673-NPV'!B4</f>
        <v>-21102544.743950456</v>
      </c>
      <c r="G8" s="54">
        <f>'Iteration 5 Revenue @-10%'!B4</f>
        <v>-22177372.995077595</v>
      </c>
    </row>
  </sheetData>
  <mergeCells count="1">
    <mergeCell ref="E4:G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FCF8F-AF80-4387-B339-27368CE24170}">
  <dimension ref="A1:J43"/>
  <sheetViews>
    <sheetView topLeftCell="B1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-21997187.809892409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42" t="s">
        <v>56</v>
      </c>
      <c r="B11" s="45"/>
      <c r="C11" s="45">
        <f>18.8%*110%</f>
        <v>0.20680000000000001</v>
      </c>
      <c r="D11" s="45">
        <f>C11</f>
        <v>0.20680000000000001</v>
      </c>
      <c r="E11" s="45">
        <f t="shared" ref="E11:I11" si="2">D11</f>
        <v>0.20680000000000001</v>
      </c>
      <c r="F11" s="45">
        <f t="shared" si="2"/>
        <v>0.20680000000000001</v>
      </c>
      <c r="G11" s="45">
        <f t="shared" si="2"/>
        <v>0.20680000000000001</v>
      </c>
      <c r="H11" s="45">
        <f t="shared" si="2"/>
        <v>0.20680000000000001</v>
      </c>
      <c r="I11" s="45">
        <f t="shared" si="2"/>
        <v>0.20680000000000001</v>
      </c>
      <c r="J11" s="76" t="s">
        <v>62</v>
      </c>
    </row>
    <row r="12" spans="1:10" s="4" customFormat="1" ht="13.8" x14ac:dyDescent="0.25">
      <c r="A12" s="7" t="s">
        <v>8</v>
      </c>
      <c r="B12" s="28">
        <v>13.5</v>
      </c>
      <c r="C12" s="16">
        <f>C$8*$B12*(1+C$11)^(C$7-1)</f>
        <v>1012500</v>
      </c>
      <c r="D12" s="16">
        <f>D$8*$B12*(1+D$11)^(D$7-1)</f>
        <v>2851065</v>
      </c>
      <c r="E12" s="16">
        <f>E$8*$B12*(1+E$11)^(E$7-1)</f>
        <v>4915236.0600000005</v>
      </c>
      <c r="F12" s="16">
        <f t="shared" ref="F12:I12" si="3">F$8*$B12*(1+F$11)^(F$7-1)</f>
        <v>0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75937.5</v>
      </c>
      <c r="D13" s="16">
        <f t="shared" ref="D13:I13" si="4">D12*$B13</f>
        <v>213829.875</v>
      </c>
      <c r="E13" s="16">
        <f t="shared" si="4"/>
        <v>368642.70450000005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654689</v>
      </c>
      <c r="E15" s="16">
        <f t="shared" si="5"/>
        <v>1128683.8360000001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10125</v>
      </c>
      <c r="D16" s="16">
        <f t="shared" si="6"/>
        <v>40729.5</v>
      </c>
      <c r="E16" s="16">
        <f t="shared" si="6"/>
        <v>98304.721200000015</v>
      </c>
      <c r="F16" s="16">
        <f t="shared" si="6"/>
        <v>118634.13754416002</v>
      </c>
      <c r="G16" s="16">
        <f t="shared" si="6"/>
        <v>143167.67718829232</v>
      </c>
      <c r="H16" s="16">
        <f t="shared" si="6"/>
        <v>172774.75283083119</v>
      </c>
      <c r="I16" s="16">
        <f t="shared" si="6"/>
        <v>208504.5717162471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754250.00000000012</v>
      </c>
      <c r="E17" s="16">
        <f t="shared" ref="E17:I17" si="7">E$9*$B17*(1+E$11)^(E$7-1)</f>
        <v>1820457.8000000003</v>
      </c>
      <c r="F17" s="16">
        <f t="shared" si="7"/>
        <v>2196928.4730400005</v>
      </c>
      <c r="G17" s="16">
        <f t="shared" si="7"/>
        <v>2651253.2812646725</v>
      </c>
      <c r="H17" s="16">
        <f t="shared" si="7"/>
        <v>3199532.4598302073</v>
      </c>
      <c r="I17" s="16">
        <f t="shared" si="7"/>
        <v>3861195.7725230944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905100.00000000012</v>
      </c>
      <c r="E19" s="16">
        <f t="shared" si="8"/>
        <v>2184549.3600000003</v>
      </c>
      <c r="F19" s="16">
        <f t="shared" si="8"/>
        <v>2636314.1676480006</v>
      </c>
      <c r="G19" s="16">
        <f t="shared" si="8"/>
        <v>3181503.9375176071</v>
      </c>
      <c r="H19" s="16">
        <f t="shared" si="8"/>
        <v>3839438.9517962486</v>
      </c>
      <c r="I19" s="16">
        <f t="shared" si="8"/>
        <v>4633434.9270277135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29">
        <v>12.6</v>
      </c>
      <c r="C22" s="16">
        <f>(I9*5%)*$B22</f>
        <v>315000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29">
        <v>5</v>
      </c>
      <c r="C23" s="16">
        <f>(C8-I9*5%)*$B23</f>
        <v>250000</v>
      </c>
      <c r="D23" s="16">
        <f t="shared" si="9"/>
        <v>875000</v>
      </c>
      <c r="E23" s="16">
        <f t="shared" si="9"/>
        <v>1250000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8778801.0600000005</v>
      </c>
      <c r="C28" s="16">
        <f t="shared" ref="C28:I28" si="11">C12</f>
        <v>1012500</v>
      </c>
      <c r="D28" s="16">
        <f t="shared" si="11"/>
        <v>2851065</v>
      </c>
      <c r="E28" s="16">
        <f t="shared" si="11"/>
        <v>4915236.0600000005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4063245.6359999999</v>
      </c>
      <c r="C29" s="16">
        <f t="shared" ref="C29:I29" si="13">C15+C14</f>
        <v>480000</v>
      </c>
      <c r="D29" s="16">
        <f t="shared" si="13"/>
        <v>1348266.5</v>
      </c>
      <c r="E29" s="16">
        <f t="shared" si="13"/>
        <v>2234979.1359999999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792240.36047953065</v>
      </c>
      <c r="C30" s="16">
        <f>C16</f>
        <v>10125</v>
      </c>
      <c r="D30" s="16">
        <f t="shared" ref="D30:I30" si="14">D16</f>
        <v>40729.5</v>
      </c>
      <c r="E30" s="16">
        <f t="shared" si="14"/>
        <v>98304.721200000015</v>
      </c>
      <c r="F30" s="16">
        <f t="shared" si="14"/>
        <v>118634.13754416002</v>
      </c>
      <c r="G30" s="16">
        <f t="shared" si="14"/>
        <v>143167.67718829232</v>
      </c>
      <c r="H30" s="16">
        <f t="shared" si="14"/>
        <v>172774.75283083119</v>
      </c>
      <c r="I30" s="16">
        <f t="shared" si="14"/>
        <v>208504.5717162471</v>
      </c>
      <c r="J30" s="82"/>
    </row>
    <row r="31" spans="1:10" ht="13.8" x14ac:dyDescent="0.25">
      <c r="A31" s="7" t="s">
        <v>28</v>
      </c>
      <c r="B31" s="16">
        <f t="shared" si="12"/>
        <v>14867117.786657974</v>
      </c>
      <c r="C31" s="16">
        <f>C17+C18</f>
        <v>239500</v>
      </c>
      <c r="D31" s="16">
        <f t="shared" ref="D31:I31" si="15">D17+D18</f>
        <v>778250.00000000012</v>
      </c>
      <c r="E31" s="16">
        <f t="shared" si="15"/>
        <v>1844457.8000000003</v>
      </c>
      <c r="F31" s="16">
        <f t="shared" si="15"/>
        <v>2220928.4730400005</v>
      </c>
      <c r="G31" s="16">
        <f t="shared" si="15"/>
        <v>2675253.2812646725</v>
      </c>
      <c r="H31" s="16">
        <f t="shared" si="15"/>
        <v>3223532.4598302073</v>
      </c>
      <c r="I31" s="16">
        <f t="shared" si="15"/>
        <v>3885195.7725230944</v>
      </c>
      <c r="J31" s="82"/>
    </row>
    <row r="32" spans="1:10" ht="13.8" x14ac:dyDescent="0.25">
      <c r="A32" s="7" t="s">
        <v>49</v>
      </c>
      <c r="B32" s="16">
        <f t="shared" si="12"/>
        <v>17605341.34398957</v>
      </c>
      <c r="C32" s="16">
        <f t="shared" ref="C32:I33" si="16">C19</f>
        <v>225000</v>
      </c>
      <c r="D32" s="16">
        <f t="shared" si="16"/>
        <v>905100.00000000012</v>
      </c>
      <c r="E32" s="16">
        <f t="shared" si="16"/>
        <v>2184549.3600000003</v>
      </c>
      <c r="F32" s="16">
        <f t="shared" si="16"/>
        <v>2636314.1676480006</v>
      </c>
      <c r="G32" s="16">
        <f t="shared" si="16"/>
        <v>3181503.9375176071</v>
      </c>
      <c r="H32" s="16">
        <f t="shared" si="16"/>
        <v>3839438.9517962486</v>
      </c>
      <c r="I32" s="16">
        <f t="shared" si="16"/>
        <v>4633434.9270277135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49906746.187127076</v>
      </c>
      <c r="C34" s="16">
        <f>SUM(C28:C33)</f>
        <v>2317125</v>
      </c>
      <c r="D34" s="16">
        <f t="shared" ref="D34:H34" si="17">SUM(D28:D33)</f>
        <v>6373411</v>
      </c>
      <c r="E34" s="16">
        <f t="shared" si="17"/>
        <v>11877527.077199999</v>
      </c>
      <c r="F34" s="16">
        <f t="shared" si="17"/>
        <v>5575876.778232161</v>
      </c>
      <c r="G34" s="16">
        <f t="shared" si="17"/>
        <v>6599924.8959705718</v>
      </c>
      <c r="H34" s="16">
        <f t="shared" si="17"/>
        <v>7835746.1644572876</v>
      </c>
      <c r="I34" s="16">
        <f>SUM(I28:I33)</f>
        <v>9327135.2712670546</v>
      </c>
      <c r="J34" s="82"/>
    </row>
    <row r="35" spans="1:10" ht="13.8" x14ac:dyDescent="0.25">
      <c r="A35" s="7" t="s">
        <v>29</v>
      </c>
      <c r="B35" s="16">
        <f t="shared" si="12"/>
        <v>23799039.661744259</v>
      </c>
      <c r="C35" s="44">
        <f>C34*C26</f>
        <v>1930937.5</v>
      </c>
      <c r="D35" s="27">
        <f t="shared" ref="D35:I35" si="18">D34*D26</f>
        <v>4425979.861111111</v>
      </c>
      <c r="E35" s="27">
        <f t="shared" si="18"/>
        <v>6873568.9104166664</v>
      </c>
      <c r="F35" s="27">
        <f t="shared" si="18"/>
        <v>2688983.7857986889</v>
      </c>
      <c r="G35" s="27">
        <f t="shared" si="18"/>
        <v>2652361.7926836465</v>
      </c>
      <c r="H35" s="27">
        <f t="shared" si="18"/>
        <v>2624175.5362578263</v>
      </c>
      <c r="I35" s="27">
        <f t="shared" si="18"/>
        <v>2603032.2754763183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2690000</v>
      </c>
      <c r="C37" s="16">
        <f>C22+C23</f>
        <v>565000</v>
      </c>
      <c r="D37" s="16">
        <f t="shared" ref="D37:I37" si="19">D22+D23</f>
        <v>875000</v>
      </c>
      <c r="E37" s="16">
        <f t="shared" si="19"/>
        <v>1250000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565000</v>
      </c>
      <c r="D39" s="16">
        <f t="shared" ref="D39:I39" si="20">SUM(D37:D38)</f>
        <v>875000</v>
      </c>
      <c r="E39" s="16">
        <f t="shared" si="20"/>
        <v>1250000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1801851.8518518519</v>
      </c>
      <c r="C40" s="41">
        <f t="shared" ref="C40:I40" si="21">C39*C26</f>
        <v>470833.33333333337</v>
      </c>
      <c r="D40" s="41">
        <f t="shared" si="21"/>
        <v>607638.88888888888</v>
      </c>
      <c r="E40" s="41">
        <f t="shared" si="21"/>
        <v>723379.62962962966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-1752125</v>
      </c>
      <c r="D41" s="16">
        <f t="shared" si="22"/>
        <v>-5498411</v>
      </c>
      <c r="E41" s="16">
        <f t="shared" si="22"/>
        <v>-10627527.077199999</v>
      </c>
      <c r="F41" s="16">
        <f t="shared" si="22"/>
        <v>-5575876.778232161</v>
      </c>
      <c r="G41" s="16">
        <f t="shared" si="22"/>
        <v>-6599924.8959705718</v>
      </c>
      <c r="H41" s="16">
        <f t="shared" si="22"/>
        <v>-7835746.1644572876</v>
      </c>
      <c r="I41" s="16">
        <f t="shared" si="22"/>
        <v>-9327135.2712670546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-21997187.809892409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D5B7B56D-3EB4-42EF-8596-818679832E51}"/>
    <hyperlink ref="J11" r:id="rId2" xr:uid="{4C1CB6B0-7130-4912-B6F6-1D6D11B2AE5E}"/>
  </hyperlinks>
  <pageMargins left="0.7" right="0.7" top="0.75" bottom="0.75" header="0.3" footer="0.3"/>
  <pageSetup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0AFAE-6A3A-4E6E-A748-F2D7D2C99B55}">
  <dimension ref="A1:J43"/>
  <sheetViews>
    <sheetView topLeftCell="B1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-20248749.242051408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42" t="s">
        <v>57</v>
      </c>
      <c r="B11" s="45"/>
      <c r="C11" s="45">
        <f>18.8%*90%</f>
        <v>0.16920000000000002</v>
      </c>
      <c r="D11" s="45">
        <f>C11</f>
        <v>0.16920000000000002</v>
      </c>
      <c r="E11" s="45">
        <f t="shared" ref="E11:I11" si="2">D11</f>
        <v>0.16920000000000002</v>
      </c>
      <c r="F11" s="45">
        <f t="shared" si="2"/>
        <v>0.16920000000000002</v>
      </c>
      <c r="G11" s="45">
        <f t="shared" si="2"/>
        <v>0.16920000000000002</v>
      </c>
      <c r="H11" s="45">
        <f t="shared" si="2"/>
        <v>0.16920000000000002</v>
      </c>
      <c r="I11" s="45">
        <f t="shared" si="2"/>
        <v>0.16920000000000002</v>
      </c>
      <c r="J11" s="76" t="s">
        <v>62</v>
      </c>
    </row>
    <row r="12" spans="1:10" s="4" customFormat="1" ht="13.8" x14ac:dyDescent="0.25">
      <c r="A12" s="7" t="s">
        <v>8</v>
      </c>
      <c r="B12" s="28">
        <v>13.5</v>
      </c>
      <c r="C12" s="16">
        <f>C$8*$B12*(1+C$11)^(C$7-1)</f>
        <v>1012500</v>
      </c>
      <c r="D12" s="16">
        <f>D$8*$B12*(1+D$11)^(D$7-1)</f>
        <v>2762235</v>
      </c>
      <c r="E12" s="16">
        <f>E$8*$B12*(1+E$11)^(E$7-1)</f>
        <v>4613721.66</v>
      </c>
      <c r="F12" s="16">
        <f t="shared" ref="F12:I12" si="3">F$8*$B12*(1+F$11)^(F$7-1)</f>
        <v>0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75937.5</v>
      </c>
      <c r="D13" s="16">
        <f t="shared" ref="D13:I13" si="4">D12*$B13</f>
        <v>207167.625</v>
      </c>
      <c r="E13" s="16">
        <f t="shared" si="4"/>
        <v>346029.12449999998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634291</v>
      </c>
      <c r="E15" s="16">
        <f t="shared" si="5"/>
        <v>1059447.196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10125</v>
      </c>
      <c r="D16" s="16">
        <f t="shared" si="6"/>
        <v>39460.5</v>
      </c>
      <c r="E16" s="16">
        <f t="shared" si="6"/>
        <v>92274.433199999999</v>
      </c>
      <c r="F16" s="16">
        <f t="shared" si="6"/>
        <v>107887.26729743999</v>
      </c>
      <c r="G16" s="16">
        <f t="shared" si="6"/>
        <v>126141.79292416685</v>
      </c>
      <c r="H16" s="16">
        <f t="shared" si="6"/>
        <v>147484.98428693588</v>
      </c>
      <c r="I16" s="16">
        <f t="shared" si="6"/>
        <v>172439.44362828543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730750</v>
      </c>
      <c r="E17" s="16">
        <f t="shared" ref="E17:I17" si="7">E$9*$B17*(1+E$11)^(E$7-1)</f>
        <v>1708785.8</v>
      </c>
      <c r="F17" s="16">
        <f t="shared" si="7"/>
        <v>1997912.35736</v>
      </c>
      <c r="G17" s="16">
        <f t="shared" si="7"/>
        <v>2335959.1282253121</v>
      </c>
      <c r="H17" s="16">
        <f t="shared" si="7"/>
        <v>2731203.4127210351</v>
      </c>
      <c r="I17" s="16">
        <f t="shared" si="7"/>
        <v>3193323.0301534338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876900</v>
      </c>
      <c r="E19" s="16">
        <f t="shared" si="8"/>
        <v>2050542.96</v>
      </c>
      <c r="F19" s="16">
        <f t="shared" si="8"/>
        <v>2397494.828832</v>
      </c>
      <c r="G19" s="16">
        <f t="shared" si="8"/>
        <v>2803150.9538703742</v>
      </c>
      <c r="H19" s="16">
        <f t="shared" si="8"/>
        <v>3277444.0952652418</v>
      </c>
      <c r="I19" s="16">
        <f t="shared" si="8"/>
        <v>3831987.6361841206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29">
        <v>12.6</v>
      </c>
      <c r="C22" s="16">
        <f>(I9*5%)*$B22</f>
        <v>315000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29">
        <v>5</v>
      </c>
      <c r="C23" s="16">
        <f>(C8-I9*5%)*$B23</f>
        <v>250000</v>
      </c>
      <c r="D23" s="16">
        <f t="shared" si="9"/>
        <v>875000</v>
      </c>
      <c r="E23" s="16">
        <f t="shared" si="9"/>
        <v>1250000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8388456.6600000001</v>
      </c>
      <c r="C28" s="16">
        <f t="shared" ref="C28:I28" si="11">C12</f>
        <v>1012500</v>
      </c>
      <c r="D28" s="16">
        <f t="shared" si="11"/>
        <v>2762235</v>
      </c>
      <c r="E28" s="16">
        <f t="shared" si="11"/>
        <v>4613721.66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3973610.9959999998</v>
      </c>
      <c r="C29" s="16">
        <f t="shared" ref="C29:I29" si="13">C15+C14</f>
        <v>480000</v>
      </c>
      <c r="D29" s="16">
        <f t="shared" si="13"/>
        <v>1327868.5</v>
      </c>
      <c r="E29" s="16">
        <f t="shared" si="13"/>
        <v>2165742.4959999998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695813.42133682815</v>
      </c>
      <c r="C30" s="16">
        <f>C16</f>
        <v>10125</v>
      </c>
      <c r="D30" s="16">
        <f t="shared" ref="D30:I30" si="14">D16</f>
        <v>39460.5</v>
      </c>
      <c r="E30" s="16">
        <f t="shared" si="14"/>
        <v>92274.433199999999</v>
      </c>
      <c r="F30" s="16">
        <f t="shared" si="14"/>
        <v>107887.26729743999</v>
      </c>
      <c r="G30" s="16">
        <f t="shared" si="14"/>
        <v>126141.79292416685</v>
      </c>
      <c r="H30" s="16">
        <f t="shared" si="14"/>
        <v>147484.98428693588</v>
      </c>
      <c r="I30" s="16">
        <f t="shared" si="14"/>
        <v>172439.44362828543</v>
      </c>
      <c r="J30" s="82"/>
    </row>
    <row r="31" spans="1:10" ht="13.8" x14ac:dyDescent="0.25">
      <c r="A31" s="7" t="s">
        <v>28</v>
      </c>
      <c r="B31" s="16">
        <f t="shared" si="12"/>
        <v>13081433.728459783</v>
      </c>
      <c r="C31" s="16">
        <f>C17+C18</f>
        <v>239500</v>
      </c>
      <c r="D31" s="16">
        <f t="shared" ref="D31:I31" si="15">D17+D18</f>
        <v>754750</v>
      </c>
      <c r="E31" s="16">
        <f t="shared" si="15"/>
        <v>1732785.8</v>
      </c>
      <c r="F31" s="16">
        <f t="shared" si="15"/>
        <v>2021912.35736</v>
      </c>
      <c r="G31" s="16">
        <f t="shared" si="15"/>
        <v>2359959.1282253121</v>
      </c>
      <c r="H31" s="16">
        <f t="shared" si="15"/>
        <v>2755203.4127210351</v>
      </c>
      <c r="I31" s="16">
        <f t="shared" si="15"/>
        <v>3217323.0301534338</v>
      </c>
      <c r="J31" s="82"/>
    </row>
    <row r="32" spans="1:10" ht="13.8" x14ac:dyDescent="0.25">
      <c r="A32" s="7" t="s">
        <v>49</v>
      </c>
      <c r="B32" s="16">
        <f t="shared" si="12"/>
        <v>15462520.474151736</v>
      </c>
      <c r="C32" s="16">
        <f t="shared" ref="C32:I33" si="16">C19</f>
        <v>225000</v>
      </c>
      <c r="D32" s="16">
        <f t="shared" si="16"/>
        <v>876900</v>
      </c>
      <c r="E32" s="16">
        <f t="shared" si="16"/>
        <v>2050542.96</v>
      </c>
      <c r="F32" s="16">
        <f t="shared" si="16"/>
        <v>2397494.828832</v>
      </c>
      <c r="G32" s="16">
        <f t="shared" si="16"/>
        <v>2803150.9538703742</v>
      </c>
      <c r="H32" s="16">
        <f t="shared" si="16"/>
        <v>3277444.0952652418</v>
      </c>
      <c r="I32" s="16">
        <f t="shared" si="16"/>
        <v>3831987.6361841206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45401835.279948346</v>
      </c>
      <c r="C34" s="16">
        <f>SUM(C28:C33)</f>
        <v>2317125</v>
      </c>
      <c r="D34" s="16">
        <f t="shared" ref="D34:H34" si="17">SUM(D28:D33)</f>
        <v>6211214</v>
      </c>
      <c r="E34" s="16">
        <f t="shared" si="17"/>
        <v>11255067.349199999</v>
      </c>
      <c r="F34" s="16">
        <f t="shared" si="17"/>
        <v>5127294.4534894396</v>
      </c>
      <c r="G34" s="16">
        <f t="shared" si="17"/>
        <v>5889251.875019853</v>
      </c>
      <c r="H34" s="16">
        <f t="shared" si="17"/>
        <v>6780132.4922732133</v>
      </c>
      <c r="I34" s="16">
        <f>SUM(I28:I33)</f>
        <v>7821750.1099658404</v>
      </c>
      <c r="J34" s="82"/>
    </row>
    <row r="35" spans="1:10" ht="13.8" x14ac:dyDescent="0.25">
      <c r="A35" s="7" t="s">
        <v>29</v>
      </c>
      <c r="B35" s="16">
        <f t="shared" si="12"/>
        <v>22050601.093903258</v>
      </c>
      <c r="C35" s="44">
        <f>C34*C26</f>
        <v>1930937.5</v>
      </c>
      <c r="D35" s="27">
        <f t="shared" ref="D35:I35" si="18">D34*D26</f>
        <v>4313343.055555555</v>
      </c>
      <c r="E35" s="27">
        <f t="shared" si="18"/>
        <v>6513349.1604166664</v>
      </c>
      <c r="F35" s="27">
        <f t="shared" si="18"/>
        <v>2472653.5751781636</v>
      </c>
      <c r="G35" s="27">
        <f t="shared" si="18"/>
        <v>2366758.2445263686</v>
      </c>
      <c r="H35" s="27">
        <f t="shared" si="18"/>
        <v>2270652.6532872291</v>
      </c>
      <c r="I35" s="27">
        <f t="shared" si="18"/>
        <v>2182906.9049392766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2690000</v>
      </c>
      <c r="C37" s="16">
        <f>C22+C23</f>
        <v>565000</v>
      </c>
      <c r="D37" s="16">
        <f t="shared" ref="D37:I37" si="19">D22+D23</f>
        <v>875000</v>
      </c>
      <c r="E37" s="16">
        <f t="shared" si="19"/>
        <v>1250000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565000</v>
      </c>
      <c r="D39" s="16">
        <f t="shared" ref="D39:I39" si="20">SUM(D37:D38)</f>
        <v>875000</v>
      </c>
      <c r="E39" s="16">
        <f t="shared" si="20"/>
        <v>1250000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1801851.8518518519</v>
      </c>
      <c r="C40" s="41">
        <f t="shared" ref="C40:I40" si="21">C39*C26</f>
        <v>470833.33333333337</v>
      </c>
      <c r="D40" s="41">
        <f t="shared" si="21"/>
        <v>607638.88888888888</v>
      </c>
      <c r="E40" s="41">
        <f t="shared" si="21"/>
        <v>723379.62962962966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-1752125</v>
      </c>
      <c r="D41" s="16">
        <f t="shared" si="22"/>
        <v>-5336214</v>
      </c>
      <c r="E41" s="16">
        <f t="shared" si="22"/>
        <v>-10005067.349199999</v>
      </c>
      <c r="F41" s="16">
        <f t="shared" si="22"/>
        <v>-5127294.4534894396</v>
      </c>
      <c r="G41" s="16">
        <f t="shared" si="22"/>
        <v>-5889251.875019853</v>
      </c>
      <c r="H41" s="16">
        <f t="shared" si="22"/>
        <v>-6780132.4922732133</v>
      </c>
      <c r="I41" s="16">
        <f t="shared" si="22"/>
        <v>-7821750.1099658404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-20248749.242051408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33F25CE2-5AA4-4797-8E48-48E38D996FCC}"/>
    <hyperlink ref="J11" r:id="rId2" xr:uid="{C424603C-A2BD-4511-88EA-09BDC02893B9}"/>
  </hyperlinks>
  <pageMargins left="0.7" right="0.7" top="0.75" bottom="0.75" header="0.3" footer="0.3"/>
  <pageSetup orientation="portrait" verticalDpi="0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99735-2E6A-4FD3-AB76-4C016E290EE1}">
  <dimension ref="A1:J43"/>
  <sheetViews>
    <sheetView topLeftCell="B1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-21688126.735752776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8" t="s">
        <v>14</v>
      </c>
      <c r="B11" s="46"/>
      <c r="C11" s="46">
        <f>18.8%</f>
        <v>0.188</v>
      </c>
      <c r="D11" s="46">
        <f>C11</f>
        <v>0.188</v>
      </c>
      <c r="E11" s="46">
        <f t="shared" ref="E11:I11" si="2">D11</f>
        <v>0.188</v>
      </c>
      <c r="F11" s="46">
        <f t="shared" si="2"/>
        <v>0.188</v>
      </c>
      <c r="G11" s="46">
        <f t="shared" si="2"/>
        <v>0.188</v>
      </c>
      <c r="H11" s="46">
        <f t="shared" si="2"/>
        <v>0.188</v>
      </c>
      <c r="I11" s="46">
        <f t="shared" si="2"/>
        <v>0.188</v>
      </c>
      <c r="J11" s="76" t="s">
        <v>62</v>
      </c>
    </row>
    <row r="12" spans="1:10" s="4" customFormat="1" ht="13.8" x14ac:dyDescent="0.25">
      <c r="A12" s="42" t="s">
        <v>58</v>
      </c>
      <c r="B12" s="47">
        <f>13.5*110%</f>
        <v>14.850000000000001</v>
      </c>
      <c r="C12" s="48">
        <f>C$8*$B12*(1+C$11)^(C$7-1)</f>
        <v>1113750</v>
      </c>
      <c r="D12" s="48">
        <f>D$8*$B12*(1+D$11)^(D$7-1)</f>
        <v>3087315.0000000005</v>
      </c>
      <c r="E12" s="48">
        <f>E$8*$B12*(1+E$11)^(E$7-1)</f>
        <v>5239614.6000000006</v>
      </c>
      <c r="F12" s="48">
        <f t="shared" ref="F12:I12" si="3">F$8*$B12*(1+F$11)^(F$7-1)</f>
        <v>0</v>
      </c>
      <c r="G12" s="48">
        <f t="shared" si="3"/>
        <v>0</v>
      </c>
      <c r="H12" s="48">
        <f t="shared" si="3"/>
        <v>0</v>
      </c>
      <c r="I12" s="48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83531.25</v>
      </c>
      <c r="D13" s="16">
        <f t="shared" ref="D13:I13" si="4">D12*$B13</f>
        <v>231548.62500000003</v>
      </c>
      <c r="E13" s="16">
        <f t="shared" si="4"/>
        <v>392971.09500000003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644490</v>
      </c>
      <c r="E15" s="16">
        <f t="shared" si="5"/>
        <v>1093791.5999999999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11137.500000000002</v>
      </c>
      <c r="D16" s="16">
        <f t="shared" si="6"/>
        <v>44104.5</v>
      </c>
      <c r="E16" s="16">
        <f t="shared" si="6"/>
        <v>104792.292</v>
      </c>
      <c r="F16" s="16">
        <f t="shared" si="6"/>
        <v>124493.242896</v>
      </c>
      <c r="G16" s="16">
        <f t="shared" si="6"/>
        <v>147897.97256044799</v>
      </c>
      <c r="H16" s="16">
        <f t="shared" si="6"/>
        <v>175702.7914018122</v>
      </c>
      <c r="I16" s="16">
        <f t="shared" si="6"/>
        <v>208734.91618535289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742500</v>
      </c>
      <c r="E17" s="16">
        <f t="shared" ref="E17:I17" si="7">E$9*$B17*(1+E$11)^(E$7-1)</f>
        <v>1764180</v>
      </c>
      <c r="F17" s="16">
        <f t="shared" si="7"/>
        <v>2095845.8399999999</v>
      </c>
      <c r="G17" s="16">
        <f t="shared" si="7"/>
        <v>2489864.8579199999</v>
      </c>
      <c r="H17" s="16">
        <f t="shared" si="7"/>
        <v>2957959.4512089598</v>
      </c>
      <c r="I17" s="16">
        <f t="shared" si="7"/>
        <v>3514055.828036244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891000</v>
      </c>
      <c r="E19" s="16">
        <f t="shared" si="8"/>
        <v>2117016</v>
      </c>
      <c r="F19" s="16">
        <f t="shared" si="8"/>
        <v>2515015.0079999999</v>
      </c>
      <c r="G19" s="16">
        <f t="shared" si="8"/>
        <v>2987837.8295039996</v>
      </c>
      <c r="H19" s="16">
        <f t="shared" si="8"/>
        <v>3549551.3414507518</v>
      </c>
      <c r="I19" s="16">
        <f t="shared" si="8"/>
        <v>4216866.9936434925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29">
        <v>12.6</v>
      </c>
      <c r="C22" s="16">
        <f>(I9*5%)*$B22</f>
        <v>315000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29">
        <v>5</v>
      </c>
      <c r="C23" s="16">
        <f>(C8-I9*5%)*$B23</f>
        <v>250000</v>
      </c>
      <c r="D23" s="16">
        <f t="shared" si="9"/>
        <v>875000</v>
      </c>
      <c r="E23" s="16">
        <f t="shared" si="9"/>
        <v>1250000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9440679.6000000015</v>
      </c>
      <c r="C28" s="16">
        <f t="shared" ref="C28:I28" si="11">C12</f>
        <v>1113750</v>
      </c>
      <c r="D28" s="16">
        <f t="shared" si="11"/>
        <v>3087315.0000000005</v>
      </c>
      <c r="E28" s="16">
        <f t="shared" si="11"/>
        <v>5239614.6000000006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4018154.3999999994</v>
      </c>
      <c r="C29" s="16">
        <f t="shared" ref="C29:I29" si="13">C15+C14</f>
        <v>480000</v>
      </c>
      <c r="D29" s="16">
        <f t="shared" si="13"/>
        <v>1338067.5</v>
      </c>
      <c r="E29" s="16">
        <f t="shared" si="13"/>
        <v>2200086.8999999994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816863.21504361299</v>
      </c>
      <c r="C30" s="16">
        <f>C16</f>
        <v>11137.500000000002</v>
      </c>
      <c r="D30" s="16">
        <f t="shared" ref="D30:I30" si="14">D16</f>
        <v>44104.5</v>
      </c>
      <c r="E30" s="16">
        <f t="shared" si="14"/>
        <v>104792.292</v>
      </c>
      <c r="F30" s="16">
        <f t="shared" si="14"/>
        <v>124493.242896</v>
      </c>
      <c r="G30" s="16">
        <f t="shared" si="14"/>
        <v>147897.97256044799</v>
      </c>
      <c r="H30" s="16">
        <f t="shared" si="14"/>
        <v>175702.7914018122</v>
      </c>
      <c r="I30" s="16">
        <f t="shared" si="14"/>
        <v>208734.91618535289</v>
      </c>
      <c r="J30" s="82"/>
    </row>
    <row r="31" spans="1:10" ht="13.8" x14ac:dyDescent="0.25">
      <c r="A31" s="7" t="s">
        <v>28</v>
      </c>
      <c r="B31" s="16">
        <f t="shared" si="12"/>
        <v>13947905.977165204</v>
      </c>
      <c r="C31" s="16">
        <f>C17+C18</f>
        <v>239500</v>
      </c>
      <c r="D31" s="16">
        <f t="shared" ref="D31:I31" si="15">D17+D18</f>
        <v>766500</v>
      </c>
      <c r="E31" s="16">
        <f t="shared" si="15"/>
        <v>1788180</v>
      </c>
      <c r="F31" s="16">
        <f t="shared" si="15"/>
        <v>2119845.84</v>
      </c>
      <c r="G31" s="16">
        <f t="shared" si="15"/>
        <v>2513864.8579199999</v>
      </c>
      <c r="H31" s="16">
        <f t="shared" si="15"/>
        <v>2981959.4512089598</v>
      </c>
      <c r="I31" s="16">
        <f t="shared" si="15"/>
        <v>3538055.828036244</v>
      </c>
      <c r="J31" s="82"/>
    </row>
    <row r="32" spans="1:10" ht="13.8" x14ac:dyDescent="0.25">
      <c r="A32" s="7" t="s">
        <v>49</v>
      </c>
      <c r="B32" s="16">
        <f t="shared" si="12"/>
        <v>16502287.172598243</v>
      </c>
      <c r="C32" s="16">
        <f t="shared" ref="C32:I33" si="16">C19</f>
        <v>225000</v>
      </c>
      <c r="D32" s="16">
        <f t="shared" si="16"/>
        <v>891000</v>
      </c>
      <c r="E32" s="16">
        <f t="shared" si="16"/>
        <v>2117016</v>
      </c>
      <c r="F32" s="16">
        <f t="shared" si="16"/>
        <v>2515015.0079999999</v>
      </c>
      <c r="G32" s="16">
        <f t="shared" si="16"/>
        <v>2987837.8295039996</v>
      </c>
      <c r="H32" s="16">
        <f t="shared" si="16"/>
        <v>3549551.3414507518</v>
      </c>
      <c r="I32" s="16">
        <f t="shared" si="16"/>
        <v>4216866.9936434925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48525890.364807062</v>
      </c>
      <c r="C34" s="16">
        <f>SUM(C28:C33)</f>
        <v>2419387.5</v>
      </c>
      <c r="D34" s="16">
        <f t="shared" ref="D34:H34" si="17">SUM(D28:D33)</f>
        <v>6576987</v>
      </c>
      <c r="E34" s="16">
        <f t="shared" si="17"/>
        <v>12049689.791999999</v>
      </c>
      <c r="F34" s="16">
        <f t="shared" si="17"/>
        <v>5359354.0908959992</v>
      </c>
      <c r="G34" s="16">
        <f t="shared" si="17"/>
        <v>6249600.6599844471</v>
      </c>
      <c r="H34" s="16">
        <f t="shared" si="17"/>
        <v>7307213.5840615239</v>
      </c>
      <c r="I34" s="16">
        <f>SUM(I28:I33)</f>
        <v>8563657.7378650904</v>
      </c>
      <c r="J34" s="82"/>
    </row>
    <row r="35" spans="1:10" ht="13.8" x14ac:dyDescent="0.25">
      <c r="A35" s="7" t="s">
        <v>29</v>
      </c>
      <c r="B35" s="16">
        <f t="shared" si="12"/>
        <v>23489978.587604623</v>
      </c>
      <c r="C35" s="44">
        <f>C34*C26</f>
        <v>2016156.25</v>
      </c>
      <c r="D35" s="27">
        <f t="shared" ref="D35:I35" si="18">D34*D26</f>
        <v>4567352.083333333</v>
      </c>
      <c r="E35" s="27">
        <f t="shared" si="18"/>
        <v>6973200.111111111</v>
      </c>
      <c r="F35" s="27">
        <f t="shared" si="18"/>
        <v>2584565.0515509257</v>
      </c>
      <c r="G35" s="27">
        <f t="shared" si="18"/>
        <v>2511574.3393070213</v>
      </c>
      <c r="H35" s="27">
        <f t="shared" si="18"/>
        <v>2447171.0444736225</v>
      </c>
      <c r="I35" s="27">
        <f t="shared" si="18"/>
        <v>2389959.7078286116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2690000</v>
      </c>
      <c r="C37" s="16">
        <f>C22+C23</f>
        <v>565000</v>
      </c>
      <c r="D37" s="16">
        <f t="shared" ref="D37:I37" si="19">D22+D23</f>
        <v>875000</v>
      </c>
      <c r="E37" s="16">
        <f t="shared" si="19"/>
        <v>1250000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565000</v>
      </c>
      <c r="D39" s="16">
        <f t="shared" ref="D39:I39" si="20">SUM(D37:D38)</f>
        <v>875000</v>
      </c>
      <c r="E39" s="16">
        <f t="shared" si="20"/>
        <v>1250000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1801851.8518518519</v>
      </c>
      <c r="C40" s="41">
        <f t="shared" ref="C40:I40" si="21">C39*C26</f>
        <v>470833.33333333337</v>
      </c>
      <c r="D40" s="41">
        <f t="shared" si="21"/>
        <v>607638.88888888888</v>
      </c>
      <c r="E40" s="41">
        <f t="shared" si="21"/>
        <v>723379.62962962966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-1854387.5</v>
      </c>
      <c r="D41" s="16">
        <f t="shared" si="22"/>
        <v>-5701987</v>
      </c>
      <c r="E41" s="16">
        <f t="shared" si="22"/>
        <v>-10799689.791999999</v>
      </c>
      <c r="F41" s="16">
        <f t="shared" si="22"/>
        <v>-5359354.0908959992</v>
      </c>
      <c r="G41" s="16">
        <f t="shared" si="22"/>
        <v>-6249600.6599844471</v>
      </c>
      <c r="H41" s="16">
        <f t="shared" si="22"/>
        <v>-7307213.5840615239</v>
      </c>
      <c r="I41" s="16">
        <f t="shared" si="22"/>
        <v>-8563657.7378650904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-21688126.735752776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934F2D8A-6BD6-4B88-AAF3-3B6DCC3F33F1}"/>
    <hyperlink ref="J11" r:id="rId2" xr:uid="{D360A9EF-CEF5-4496-AB29-BC9A7CF032BE}"/>
  </hyperlinks>
  <pageMargins left="0.7" right="0.7" top="0.75" bottom="0.75" header="0.3" footer="0.3"/>
  <pageSetup orientation="portrait" verticalDpi="0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0BFDA-950E-4B26-BD82-DEC48825E81C}">
  <dimension ref="A1:J43"/>
  <sheetViews>
    <sheetView topLeftCell="B1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-20516962.75214814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8" t="s">
        <v>14</v>
      </c>
      <c r="B11" s="46"/>
      <c r="C11" s="46">
        <f>18.8%</f>
        <v>0.188</v>
      </c>
      <c r="D11" s="46">
        <f>C11</f>
        <v>0.188</v>
      </c>
      <c r="E11" s="46">
        <f t="shared" ref="E11:I11" si="2">D11</f>
        <v>0.188</v>
      </c>
      <c r="F11" s="46">
        <f t="shared" si="2"/>
        <v>0.188</v>
      </c>
      <c r="G11" s="46">
        <f t="shared" si="2"/>
        <v>0.188</v>
      </c>
      <c r="H11" s="46">
        <f t="shared" si="2"/>
        <v>0.188</v>
      </c>
      <c r="I11" s="46">
        <f t="shared" si="2"/>
        <v>0.188</v>
      </c>
      <c r="J11" s="76" t="s">
        <v>62</v>
      </c>
    </row>
    <row r="12" spans="1:10" s="4" customFormat="1" ht="13.8" x14ac:dyDescent="0.25">
      <c r="A12" s="42" t="s">
        <v>59</v>
      </c>
      <c r="B12" s="47">
        <f>13.5*90%</f>
        <v>12.15</v>
      </c>
      <c r="C12" s="48">
        <f>C$8*$B12*(1+C$11)^(C$7-1)</f>
        <v>911250</v>
      </c>
      <c r="D12" s="48">
        <f>D$8*$B12*(1+D$11)^(D$7-1)</f>
        <v>2525985</v>
      </c>
      <c r="E12" s="48">
        <f>E$8*$B12*(1+E$11)^(E$7-1)</f>
        <v>4286957.3999999994</v>
      </c>
      <c r="F12" s="48">
        <f t="shared" ref="F12:I12" si="3">F$8*$B12*(1+F$11)^(F$7-1)</f>
        <v>0</v>
      </c>
      <c r="G12" s="48">
        <f t="shared" si="3"/>
        <v>0</v>
      </c>
      <c r="H12" s="48">
        <f t="shared" si="3"/>
        <v>0</v>
      </c>
      <c r="I12" s="48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68343.75</v>
      </c>
      <c r="D13" s="16">
        <f t="shared" ref="D13:I13" si="4">D12*$B13</f>
        <v>189448.875</v>
      </c>
      <c r="E13" s="16">
        <f t="shared" si="4"/>
        <v>321521.80499999993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644490</v>
      </c>
      <c r="E15" s="16">
        <f t="shared" si="5"/>
        <v>1093791.5999999999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9112.5</v>
      </c>
      <c r="D16" s="16">
        <f t="shared" si="6"/>
        <v>36085.5</v>
      </c>
      <c r="E16" s="16">
        <f t="shared" si="6"/>
        <v>85739.148000000001</v>
      </c>
      <c r="F16" s="16">
        <f t="shared" si="6"/>
        <v>101858.10782399999</v>
      </c>
      <c r="G16" s="16">
        <f t="shared" si="6"/>
        <v>121007.43209491199</v>
      </c>
      <c r="H16" s="16">
        <f t="shared" si="6"/>
        <v>143756.82932875544</v>
      </c>
      <c r="I16" s="16">
        <f t="shared" si="6"/>
        <v>170783.11324256146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742500</v>
      </c>
      <c r="E17" s="16">
        <f t="shared" ref="E17:I17" si="7">E$9*$B17*(1+E$11)^(E$7-1)</f>
        <v>1764180</v>
      </c>
      <c r="F17" s="16">
        <f t="shared" si="7"/>
        <v>2095845.8399999999</v>
      </c>
      <c r="G17" s="16">
        <f t="shared" si="7"/>
        <v>2489864.8579199999</v>
      </c>
      <c r="H17" s="16">
        <f t="shared" si="7"/>
        <v>2957959.4512089598</v>
      </c>
      <c r="I17" s="16">
        <f t="shared" si="7"/>
        <v>3514055.828036244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891000</v>
      </c>
      <c r="E19" s="16">
        <f t="shared" si="8"/>
        <v>2117016</v>
      </c>
      <c r="F19" s="16">
        <f t="shared" si="8"/>
        <v>2515015.0079999999</v>
      </c>
      <c r="G19" s="16">
        <f t="shared" si="8"/>
        <v>2987837.8295039996</v>
      </c>
      <c r="H19" s="16">
        <f t="shared" si="8"/>
        <v>3549551.3414507518</v>
      </c>
      <c r="I19" s="16">
        <f t="shared" si="8"/>
        <v>4216866.9936434925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29">
        <v>12.6</v>
      </c>
      <c r="C22" s="16">
        <f>(I9*5%)*$B22</f>
        <v>315000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29">
        <v>5</v>
      </c>
      <c r="C23" s="16">
        <f>(C8-I9*5%)*$B23</f>
        <v>250000</v>
      </c>
      <c r="D23" s="16">
        <f t="shared" si="9"/>
        <v>875000</v>
      </c>
      <c r="E23" s="16">
        <f t="shared" si="9"/>
        <v>1250000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7724192.3999999994</v>
      </c>
      <c r="C28" s="16">
        <f t="shared" ref="C28:I28" si="11">C12</f>
        <v>911250</v>
      </c>
      <c r="D28" s="16">
        <f t="shared" si="11"/>
        <v>2525985</v>
      </c>
      <c r="E28" s="16">
        <f t="shared" si="11"/>
        <v>4286957.3999999994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4018154.3999999994</v>
      </c>
      <c r="C29" s="16">
        <f t="shared" ref="C29:I29" si="13">C15+C14</f>
        <v>480000</v>
      </c>
      <c r="D29" s="16">
        <f t="shared" si="13"/>
        <v>1338067.5</v>
      </c>
      <c r="E29" s="16">
        <f t="shared" si="13"/>
        <v>2200086.8999999994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668342.63049022888</v>
      </c>
      <c r="C30" s="16">
        <f>C16</f>
        <v>9112.5</v>
      </c>
      <c r="D30" s="16">
        <f t="shared" ref="D30:I30" si="14">D16</f>
        <v>36085.5</v>
      </c>
      <c r="E30" s="16">
        <f t="shared" si="14"/>
        <v>85739.148000000001</v>
      </c>
      <c r="F30" s="16">
        <f t="shared" si="14"/>
        <v>101858.10782399999</v>
      </c>
      <c r="G30" s="16">
        <f t="shared" si="14"/>
        <v>121007.43209491199</v>
      </c>
      <c r="H30" s="16">
        <f t="shared" si="14"/>
        <v>143756.82932875544</v>
      </c>
      <c r="I30" s="16">
        <f t="shared" si="14"/>
        <v>170783.11324256146</v>
      </c>
      <c r="J30" s="82"/>
    </row>
    <row r="31" spans="1:10" ht="13.8" x14ac:dyDescent="0.25">
      <c r="A31" s="7" t="s">
        <v>28</v>
      </c>
      <c r="B31" s="16">
        <f t="shared" si="12"/>
        <v>13947905.977165204</v>
      </c>
      <c r="C31" s="16">
        <f>C17+C18</f>
        <v>239500</v>
      </c>
      <c r="D31" s="16">
        <f t="shared" ref="D31:I31" si="15">D17+D18</f>
        <v>766500</v>
      </c>
      <c r="E31" s="16">
        <f t="shared" si="15"/>
        <v>1788180</v>
      </c>
      <c r="F31" s="16">
        <f t="shared" si="15"/>
        <v>2119845.84</v>
      </c>
      <c r="G31" s="16">
        <f t="shared" si="15"/>
        <v>2513864.8579199999</v>
      </c>
      <c r="H31" s="16">
        <f t="shared" si="15"/>
        <v>2981959.4512089598</v>
      </c>
      <c r="I31" s="16">
        <f t="shared" si="15"/>
        <v>3538055.828036244</v>
      </c>
      <c r="J31" s="82"/>
    </row>
    <row r="32" spans="1:10" ht="13.8" x14ac:dyDescent="0.25">
      <c r="A32" s="7" t="s">
        <v>49</v>
      </c>
      <c r="B32" s="16">
        <f t="shared" si="12"/>
        <v>16502287.172598243</v>
      </c>
      <c r="C32" s="16">
        <f t="shared" ref="C32:I33" si="16">C19</f>
        <v>225000</v>
      </c>
      <c r="D32" s="16">
        <f t="shared" si="16"/>
        <v>891000</v>
      </c>
      <c r="E32" s="16">
        <f t="shared" si="16"/>
        <v>2117016</v>
      </c>
      <c r="F32" s="16">
        <f t="shared" si="16"/>
        <v>2515015.0079999999</v>
      </c>
      <c r="G32" s="16">
        <f t="shared" si="16"/>
        <v>2987837.8295039996</v>
      </c>
      <c r="H32" s="16">
        <f t="shared" si="16"/>
        <v>3549551.3414507518</v>
      </c>
      <c r="I32" s="16">
        <f t="shared" si="16"/>
        <v>4216866.9936434925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46660882.580253676</v>
      </c>
      <c r="C34" s="16">
        <f>SUM(C28:C33)</f>
        <v>2214862.5</v>
      </c>
      <c r="D34" s="16">
        <f t="shared" ref="D34:H34" si="17">SUM(D28:D33)</f>
        <v>6007638</v>
      </c>
      <c r="E34" s="16">
        <f t="shared" si="17"/>
        <v>11077979.447999999</v>
      </c>
      <c r="F34" s="16">
        <f t="shared" si="17"/>
        <v>5336718.9558239998</v>
      </c>
      <c r="G34" s="16">
        <f t="shared" si="17"/>
        <v>6222710.1195189115</v>
      </c>
      <c r="H34" s="16">
        <f t="shared" si="17"/>
        <v>7275267.6219884669</v>
      </c>
      <c r="I34" s="16">
        <f>SUM(I28:I33)</f>
        <v>8525705.9349222984</v>
      </c>
      <c r="J34" s="82"/>
    </row>
    <row r="35" spans="1:10" ht="13.8" x14ac:dyDescent="0.25">
      <c r="A35" s="7" t="s">
        <v>29</v>
      </c>
      <c r="B35" s="16">
        <f t="shared" si="12"/>
        <v>22318814.603999991</v>
      </c>
      <c r="C35" s="44">
        <f>C34*C26</f>
        <v>1845718.75</v>
      </c>
      <c r="D35" s="27">
        <f t="shared" ref="D35:I35" si="18">D34*D26</f>
        <v>4171970.833333333</v>
      </c>
      <c r="E35" s="27">
        <f t="shared" si="18"/>
        <v>6410867.736111111</v>
      </c>
      <c r="F35" s="27">
        <f t="shared" si="18"/>
        <v>2573649.1878009262</v>
      </c>
      <c r="G35" s="27">
        <f t="shared" si="18"/>
        <v>2500767.6341945212</v>
      </c>
      <c r="H35" s="27">
        <f t="shared" si="18"/>
        <v>2436472.4064122471</v>
      </c>
      <c r="I35" s="27">
        <f t="shared" si="18"/>
        <v>2379368.0561478501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2690000</v>
      </c>
      <c r="C37" s="16">
        <f>C22+C23</f>
        <v>565000</v>
      </c>
      <c r="D37" s="16">
        <f t="shared" ref="D37:I37" si="19">D22+D23</f>
        <v>875000</v>
      </c>
      <c r="E37" s="16">
        <f t="shared" si="19"/>
        <v>1250000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565000</v>
      </c>
      <c r="D39" s="16">
        <f t="shared" ref="D39:I39" si="20">SUM(D37:D38)</f>
        <v>875000</v>
      </c>
      <c r="E39" s="16">
        <f t="shared" si="20"/>
        <v>1250000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1801851.8518518519</v>
      </c>
      <c r="C40" s="41">
        <f t="shared" ref="C40:I40" si="21">C39*C26</f>
        <v>470833.33333333337</v>
      </c>
      <c r="D40" s="41">
        <f t="shared" si="21"/>
        <v>607638.88888888888</v>
      </c>
      <c r="E40" s="41">
        <f t="shared" si="21"/>
        <v>723379.62962962966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-1649862.5</v>
      </c>
      <c r="D41" s="16">
        <f t="shared" si="22"/>
        <v>-5132638</v>
      </c>
      <c r="E41" s="16">
        <f t="shared" si="22"/>
        <v>-9827979.4479999989</v>
      </c>
      <c r="F41" s="16">
        <f t="shared" si="22"/>
        <v>-5336718.9558239998</v>
      </c>
      <c r="G41" s="16">
        <f t="shared" si="22"/>
        <v>-6222710.1195189115</v>
      </c>
      <c r="H41" s="16">
        <f t="shared" si="22"/>
        <v>-7275267.6219884669</v>
      </c>
      <c r="I41" s="16">
        <f t="shared" si="22"/>
        <v>-8525705.9349222984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-20516962.75214814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B9574B13-C7C3-4A48-B76D-7EA7D7EAA6A5}"/>
    <hyperlink ref="J11" r:id="rId2" xr:uid="{B4E67190-BADC-47E7-ABB3-4495AD133092}"/>
  </hyperlinks>
  <pageMargins left="0.7" right="0.7" top="0.75" bottom="0.75" header="0.3" footer="0.3"/>
  <pageSetup orientation="portrait" verticalDpi="0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7DFA2-6B8C-4AAB-8E7D-6D07DDCAE6C9}">
  <dimension ref="A1:J43"/>
  <sheetViews>
    <sheetView topLeftCell="B2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-21817002.624707222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8" t="s">
        <v>14</v>
      </c>
      <c r="B11" s="46"/>
      <c r="C11" s="46">
        <f>18.8%*110%</f>
        <v>0.20680000000000001</v>
      </c>
      <c r="D11" s="46">
        <f>C11</f>
        <v>0.20680000000000001</v>
      </c>
      <c r="E11" s="46">
        <f t="shared" ref="E11:I11" si="2">D11</f>
        <v>0.20680000000000001</v>
      </c>
      <c r="F11" s="46">
        <f t="shared" si="2"/>
        <v>0.20680000000000001</v>
      </c>
      <c r="G11" s="46">
        <f t="shared" si="2"/>
        <v>0.20680000000000001</v>
      </c>
      <c r="H11" s="46">
        <f t="shared" si="2"/>
        <v>0.20680000000000001</v>
      </c>
      <c r="I11" s="46">
        <f t="shared" si="2"/>
        <v>0.20680000000000001</v>
      </c>
      <c r="J11" s="76" t="s">
        <v>62</v>
      </c>
    </row>
    <row r="12" spans="1:10" s="4" customFormat="1" ht="13.8" x14ac:dyDescent="0.25">
      <c r="A12" s="7" t="s">
        <v>8</v>
      </c>
      <c r="B12" s="28">
        <v>13.5</v>
      </c>
      <c r="C12" s="16">
        <f>C$8*$B12*(1+C$11)^(C$7-1)</f>
        <v>1012500</v>
      </c>
      <c r="D12" s="16">
        <f>D$8*$B12*(1+D$11)^(D$7-1)</f>
        <v>2851065</v>
      </c>
      <c r="E12" s="16">
        <f>E$8*$B12*(1+E$11)^(E$7-1)</f>
        <v>4915236.0600000005</v>
      </c>
      <c r="F12" s="16">
        <f t="shared" ref="F12:I12" si="3">F$8*$B12*(1+F$11)^(F$7-1)</f>
        <v>0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75937.5</v>
      </c>
      <c r="D13" s="16">
        <f t="shared" ref="D13:I13" si="4">D12*$B13</f>
        <v>213829.875</v>
      </c>
      <c r="E13" s="16">
        <f t="shared" si="4"/>
        <v>368642.70450000005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654689</v>
      </c>
      <c r="E15" s="16">
        <f t="shared" si="5"/>
        <v>1128683.8360000001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10125</v>
      </c>
      <c r="D16" s="16">
        <f t="shared" si="6"/>
        <v>40729.5</v>
      </c>
      <c r="E16" s="16">
        <f t="shared" si="6"/>
        <v>98304.721200000015</v>
      </c>
      <c r="F16" s="16">
        <f t="shared" si="6"/>
        <v>118634.13754416002</v>
      </c>
      <c r="G16" s="16">
        <f t="shared" si="6"/>
        <v>143167.67718829232</v>
      </c>
      <c r="H16" s="16">
        <f t="shared" si="6"/>
        <v>172774.75283083119</v>
      </c>
      <c r="I16" s="16">
        <f t="shared" si="6"/>
        <v>208504.5717162471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754250.00000000012</v>
      </c>
      <c r="E17" s="16">
        <f t="shared" ref="E17:I17" si="7">E$9*$B17*(1+E$11)^(E$7-1)</f>
        <v>1820457.8000000003</v>
      </c>
      <c r="F17" s="16">
        <f t="shared" si="7"/>
        <v>2196928.4730400005</v>
      </c>
      <c r="G17" s="16">
        <f t="shared" si="7"/>
        <v>2651253.2812646725</v>
      </c>
      <c r="H17" s="16">
        <f t="shared" si="7"/>
        <v>3199532.4598302073</v>
      </c>
      <c r="I17" s="16">
        <f t="shared" si="7"/>
        <v>3861195.7725230944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905100.00000000012</v>
      </c>
      <c r="E19" s="16">
        <f t="shared" si="8"/>
        <v>2184549.3600000003</v>
      </c>
      <c r="F19" s="16">
        <f t="shared" si="8"/>
        <v>2636314.1676480006</v>
      </c>
      <c r="G19" s="16">
        <f t="shared" si="8"/>
        <v>3181503.9375176071</v>
      </c>
      <c r="H19" s="16">
        <f t="shared" si="8"/>
        <v>3839438.9517962486</v>
      </c>
      <c r="I19" s="16">
        <f t="shared" si="8"/>
        <v>4633434.9270277135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47">
        <f>12.6*110%</f>
        <v>13.860000000000001</v>
      </c>
      <c r="C22" s="16">
        <f>(I9*5%)*$B22</f>
        <v>346500.00000000006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47">
        <f>5*110%</f>
        <v>5.5</v>
      </c>
      <c r="C23" s="16">
        <f>(C8-I9*5%)*$B23</f>
        <v>275000</v>
      </c>
      <c r="D23" s="16">
        <f t="shared" si="9"/>
        <v>962500</v>
      </c>
      <c r="E23" s="16">
        <f t="shared" si="9"/>
        <v>1375000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8778801.0600000005</v>
      </c>
      <c r="C28" s="16">
        <f t="shared" ref="C28:I28" si="11">C12</f>
        <v>1012500</v>
      </c>
      <c r="D28" s="16">
        <f t="shared" si="11"/>
        <v>2851065</v>
      </c>
      <c r="E28" s="16">
        <f t="shared" si="11"/>
        <v>4915236.0600000005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4063245.6359999999</v>
      </c>
      <c r="C29" s="16">
        <f t="shared" ref="C29:I29" si="13">C15+C14</f>
        <v>480000</v>
      </c>
      <c r="D29" s="16">
        <f t="shared" si="13"/>
        <v>1348266.5</v>
      </c>
      <c r="E29" s="16">
        <f t="shared" si="13"/>
        <v>2234979.1359999999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792240.36047953065</v>
      </c>
      <c r="C30" s="16">
        <f>C16</f>
        <v>10125</v>
      </c>
      <c r="D30" s="16">
        <f t="shared" ref="D30:I30" si="14">D16</f>
        <v>40729.5</v>
      </c>
      <c r="E30" s="16">
        <f t="shared" si="14"/>
        <v>98304.721200000015</v>
      </c>
      <c r="F30" s="16">
        <f t="shared" si="14"/>
        <v>118634.13754416002</v>
      </c>
      <c r="G30" s="16">
        <f t="shared" si="14"/>
        <v>143167.67718829232</v>
      </c>
      <c r="H30" s="16">
        <f t="shared" si="14"/>
        <v>172774.75283083119</v>
      </c>
      <c r="I30" s="16">
        <f t="shared" si="14"/>
        <v>208504.5717162471</v>
      </c>
      <c r="J30" s="82"/>
    </row>
    <row r="31" spans="1:10" ht="13.8" x14ac:dyDescent="0.25">
      <c r="A31" s="7" t="s">
        <v>28</v>
      </c>
      <c r="B31" s="16">
        <f t="shared" si="12"/>
        <v>14867117.786657974</v>
      </c>
      <c r="C31" s="16">
        <f>C17+C18</f>
        <v>239500</v>
      </c>
      <c r="D31" s="16">
        <f t="shared" ref="D31:I31" si="15">D17+D18</f>
        <v>778250.00000000012</v>
      </c>
      <c r="E31" s="16">
        <f t="shared" si="15"/>
        <v>1844457.8000000003</v>
      </c>
      <c r="F31" s="16">
        <f t="shared" si="15"/>
        <v>2220928.4730400005</v>
      </c>
      <c r="G31" s="16">
        <f t="shared" si="15"/>
        <v>2675253.2812646725</v>
      </c>
      <c r="H31" s="16">
        <f t="shared" si="15"/>
        <v>3223532.4598302073</v>
      </c>
      <c r="I31" s="16">
        <f t="shared" si="15"/>
        <v>3885195.7725230944</v>
      </c>
      <c r="J31" s="82"/>
    </row>
    <row r="32" spans="1:10" ht="13.8" x14ac:dyDescent="0.25">
      <c r="A32" s="7" t="s">
        <v>49</v>
      </c>
      <c r="B32" s="16">
        <f t="shared" si="12"/>
        <v>17605341.34398957</v>
      </c>
      <c r="C32" s="16">
        <f t="shared" ref="C32:I33" si="16">C19</f>
        <v>225000</v>
      </c>
      <c r="D32" s="16">
        <f t="shared" si="16"/>
        <v>905100.00000000012</v>
      </c>
      <c r="E32" s="16">
        <f t="shared" si="16"/>
        <v>2184549.3600000003</v>
      </c>
      <c r="F32" s="16">
        <f t="shared" si="16"/>
        <v>2636314.1676480006</v>
      </c>
      <c r="G32" s="16">
        <f t="shared" si="16"/>
        <v>3181503.9375176071</v>
      </c>
      <c r="H32" s="16">
        <f t="shared" si="16"/>
        <v>3839438.9517962486</v>
      </c>
      <c r="I32" s="16">
        <f t="shared" si="16"/>
        <v>4633434.9270277135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49906746.187127076</v>
      </c>
      <c r="C34" s="16">
        <f>SUM(C28:C33)</f>
        <v>2317125</v>
      </c>
      <c r="D34" s="16">
        <f t="shared" ref="D34:H34" si="17">SUM(D28:D33)</f>
        <v>6373411</v>
      </c>
      <c r="E34" s="16">
        <f t="shared" si="17"/>
        <v>11877527.077199999</v>
      </c>
      <c r="F34" s="16">
        <f t="shared" si="17"/>
        <v>5575876.778232161</v>
      </c>
      <c r="G34" s="16">
        <f t="shared" si="17"/>
        <v>6599924.8959705718</v>
      </c>
      <c r="H34" s="16">
        <f t="shared" si="17"/>
        <v>7835746.1644572876</v>
      </c>
      <c r="I34" s="16">
        <f>SUM(I28:I33)</f>
        <v>9327135.2712670546</v>
      </c>
      <c r="J34" s="82"/>
    </row>
    <row r="35" spans="1:10" ht="13.8" x14ac:dyDescent="0.25">
      <c r="A35" s="7" t="s">
        <v>29</v>
      </c>
      <c r="B35" s="16">
        <f t="shared" si="12"/>
        <v>23799039.661744259</v>
      </c>
      <c r="C35" s="44">
        <f>C34*C26</f>
        <v>1930937.5</v>
      </c>
      <c r="D35" s="27">
        <f t="shared" ref="D35:I35" si="18">D34*D26</f>
        <v>4425979.861111111</v>
      </c>
      <c r="E35" s="27">
        <f t="shared" si="18"/>
        <v>6873568.9104166664</v>
      </c>
      <c r="F35" s="27">
        <f t="shared" si="18"/>
        <v>2688983.7857986889</v>
      </c>
      <c r="G35" s="27">
        <f t="shared" si="18"/>
        <v>2652361.7926836465</v>
      </c>
      <c r="H35" s="27">
        <f t="shared" si="18"/>
        <v>2624175.5362578263</v>
      </c>
      <c r="I35" s="27">
        <f t="shared" si="18"/>
        <v>2603032.2754763183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2959000</v>
      </c>
      <c r="C37" s="16">
        <f>C22+C23</f>
        <v>621500</v>
      </c>
      <c r="D37" s="16">
        <f t="shared" ref="D37:I37" si="19">D22+D23</f>
        <v>962500</v>
      </c>
      <c r="E37" s="16">
        <f t="shared" si="19"/>
        <v>1375000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621500</v>
      </c>
      <c r="D39" s="16">
        <f t="shared" ref="D39:I39" si="20">SUM(D37:D38)</f>
        <v>962500</v>
      </c>
      <c r="E39" s="16">
        <f t="shared" si="20"/>
        <v>1375000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1982037.0370370371</v>
      </c>
      <c r="C40" s="41">
        <f t="shared" ref="C40:I40" si="21">C39*C26</f>
        <v>517916.66666666669</v>
      </c>
      <c r="D40" s="41">
        <f t="shared" si="21"/>
        <v>668402.77777777775</v>
      </c>
      <c r="E40" s="41">
        <f t="shared" si="21"/>
        <v>795717.59259259258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-1695625</v>
      </c>
      <c r="D41" s="16">
        <f t="shared" si="22"/>
        <v>-5410911</v>
      </c>
      <c r="E41" s="16">
        <f t="shared" si="22"/>
        <v>-10502527.077199999</v>
      </c>
      <c r="F41" s="16">
        <f t="shared" si="22"/>
        <v>-5575876.778232161</v>
      </c>
      <c r="G41" s="16">
        <f t="shared" si="22"/>
        <v>-6599924.8959705718</v>
      </c>
      <c r="H41" s="16">
        <f t="shared" si="22"/>
        <v>-7835746.1644572876</v>
      </c>
      <c r="I41" s="16">
        <f t="shared" si="22"/>
        <v>-9327135.2712670546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-21817002.624707222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2358A07A-D491-48BD-BF43-51579661EF12}"/>
    <hyperlink ref="J11" r:id="rId2" xr:uid="{F968B8A6-2521-4C72-ABAE-7A096CAA700A}"/>
  </hyperlinks>
  <pageMargins left="0.7" right="0.7" top="0.75" bottom="0.75" header="0.3" footer="0.3"/>
  <pageSetup orientation="portrait" verticalDpi="0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291DE-172F-4838-A695-E63B1937B6CA}">
  <dimension ref="A1:J43"/>
  <sheetViews>
    <sheetView topLeftCell="B1" zoomScale="80" zoomScaleNormal="80" workbookViewId="0">
      <selection activeCell="J8" sqref="J8:J42"/>
    </sheetView>
  </sheetViews>
  <sheetFormatPr defaultColWidth="9.109375" defaultRowHeight="13.2" x14ac:dyDescent="0.25"/>
  <cols>
    <col min="1" max="1" width="49.33203125" style="2" customWidth="1"/>
    <col min="2" max="2" width="15.6640625" style="25" customWidth="1"/>
    <col min="3" max="3" width="16.21875" style="25" customWidth="1"/>
    <col min="4" max="9" width="15.6640625" style="25" customWidth="1"/>
    <col min="10" max="10" width="101.33203125" style="2" bestFit="1" customWidth="1"/>
    <col min="11" max="16384" width="9.109375" style="2"/>
  </cols>
  <sheetData>
    <row r="1" spans="1:10" ht="15.6" x14ac:dyDescent="0.3">
      <c r="A1" s="3" t="s">
        <v>21</v>
      </c>
      <c r="B1" s="15"/>
    </row>
    <row r="2" spans="1:10" x14ac:dyDescent="0.25">
      <c r="A2" s="1"/>
      <c r="B2" s="15"/>
    </row>
    <row r="3" spans="1:10" x14ac:dyDescent="0.25">
      <c r="A3" s="1"/>
      <c r="B3" s="15" t="s">
        <v>18</v>
      </c>
      <c r="C3" s="15"/>
    </row>
    <row r="4" spans="1:10" s="4" customFormat="1" ht="13.8" x14ac:dyDescent="0.25">
      <c r="A4" s="9" t="s">
        <v>19</v>
      </c>
      <c r="B4" s="16">
        <f>C42</f>
        <v>-22177372.995077595</v>
      </c>
      <c r="C4" s="31"/>
      <c r="D4" s="31"/>
      <c r="E4" s="17"/>
      <c r="F4" s="17"/>
      <c r="G4" s="17"/>
      <c r="H4" s="17"/>
      <c r="I4" s="17"/>
    </row>
    <row r="5" spans="1:10" s="4" customFormat="1" ht="13.8" x14ac:dyDescent="0.25">
      <c r="B5" s="17"/>
      <c r="C5" s="30" t="s">
        <v>34</v>
      </c>
      <c r="D5" s="30" t="s">
        <v>35</v>
      </c>
      <c r="E5" s="30" t="s">
        <v>36</v>
      </c>
      <c r="F5" s="30" t="s">
        <v>37</v>
      </c>
      <c r="G5" s="30" t="s">
        <v>38</v>
      </c>
      <c r="H5" s="30" t="s">
        <v>39</v>
      </c>
      <c r="I5" s="30" t="s">
        <v>40</v>
      </c>
    </row>
    <row r="6" spans="1:10" s="4" customFormat="1" ht="13.8" x14ac:dyDescent="0.25">
      <c r="A6" s="5" t="s">
        <v>7</v>
      </c>
      <c r="B6" s="18"/>
      <c r="C6" s="32"/>
      <c r="D6" s="32"/>
      <c r="E6" s="32"/>
      <c r="F6" s="32"/>
      <c r="G6" s="32"/>
      <c r="H6" s="32"/>
      <c r="I6" s="32"/>
      <c r="J6" s="6"/>
    </row>
    <row r="7" spans="1:10" s="4" customFormat="1" ht="13.8" x14ac:dyDescent="0.25">
      <c r="A7" s="11" t="s">
        <v>0</v>
      </c>
      <c r="B7" s="19" t="s">
        <v>20</v>
      </c>
      <c r="C7" s="33">
        <v>1</v>
      </c>
      <c r="D7" s="39">
        <v>2</v>
      </c>
      <c r="E7" s="39">
        <v>3</v>
      </c>
      <c r="F7" s="39">
        <f t="shared" ref="F7:I7" si="0">E7+1</f>
        <v>4</v>
      </c>
      <c r="G7" s="39">
        <f t="shared" si="0"/>
        <v>5</v>
      </c>
      <c r="H7" s="39">
        <f t="shared" si="0"/>
        <v>6</v>
      </c>
      <c r="I7" s="39">
        <f t="shared" si="0"/>
        <v>7</v>
      </c>
      <c r="J7" s="11" t="s">
        <v>16</v>
      </c>
    </row>
    <row r="8" spans="1:10" s="4" customFormat="1" ht="13.8" x14ac:dyDescent="0.25">
      <c r="A8" s="10" t="s">
        <v>12</v>
      </c>
      <c r="B8" s="20"/>
      <c r="C8" s="34">
        <v>75000</v>
      </c>
      <c r="D8" s="34">
        <v>175000</v>
      </c>
      <c r="E8" s="34">
        <v>250000</v>
      </c>
      <c r="F8" s="34">
        <v>0</v>
      </c>
      <c r="G8" s="34">
        <v>0</v>
      </c>
      <c r="H8" s="34">
        <v>0</v>
      </c>
      <c r="I8" s="34">
        <v>0</v>
      </c>
      <c r="J8" s="73" t="s">
        <v>42</v>
      </c>
    </row>
    <row r="9" spans="1:10" s="4" customFormat="1" ht="13.8" x14ac:dyDescent="0.25">
      <c r="A9" s="10" t="s">
        <v>13</v>
      </c>
      <c r="B9" s="20"/>
      <c r="C9" s="35">
        <f>C8</f>
        <v>75000</v>
      </c>
      <c r="D9" s="35">
        <f>C9+D8</f>
        <v>250000</v>
      </c>
      <c r="E9" s="35">
        <f>D9+E8</f>
        <v>500000</v>
      </c>
      <c r="F9" s="35">
        <f t="shared" ref="F9:I9" si="1">E9+F8</f>
        <v>500000</v>
      </c>
      <c r="G9" s="35">
        <f t="shared" si="1"/>
        <v>500000</v>
      </c>
      <c r="H9" s="35">
        <f t="shared" si="1"/>
        <v>500000</v>
      </c>
      <c r="I9" s="35">
        <f t="shared" si="1"/>
        <v>500000</v>
      </c>
      <c r="J9" s="73"/>
    </row>
    <row r="10" spans="1:10" s="4" customFormat="1" ht="13.8" x14ac:dyDescent="0.25">
      <c r="A10" s="9" t="s">
        <v>5</v>
      </c>
      <c r="B10" s="20"/>
      <c r="C10" s="36"/>
      <c r="D10" s="36"/>
      <c r="E10" s="36"/>
      <c r="F10" s="36"/>
      <c r="G10" s="36"/>
      <c r="H10" s="36"/>
      <c r="I10" s="36"/>
      <c r="J10" s="73"/>
    </row>
    <row r="11" spans="1:10" s="4" customFormat="1" ht="14.4" x14ac:dyDescent="0.3">
      <c r="A11" s="8" t="s">
        <v>14</v>
      </c>
      <c r="B11" s="46"/>
      <c r="C11" s="46">
        <f>18.8%*110%</f>
        <v>0.20680000000000001</v>
      </c>
      <c r="D11" s="46">
        <f>C11</f>
        <v>0.20680000000000001</v>
      </c>
      <c r="E11" s="46">
        <f t="shared" ref="E11:I11" si="2">D11</f>
        <v>0.20680000000000001</v>
      </c>
      <c r="F11" s="46">
        <f t="shared" si="2"/>
        <v>0.20680000000000001</v>
      </c>
      <c r="G11" s="46">
        <f t="shared" si="2"/>
        <v>0.20680000000000001</v>
      </c>
      <c r="H11" s="46">
        <f t="shared" si="2"/>
        <v>0.20680000000000001</v>
      </c>
      <c r="I11" s="46">
        <f t="shared" si="2"/>
        <v>0.20680000000000001</v>
      </c>
      <c r="J11" s="76" t="s">
        <v>62</v>
      </c>
    </row>
    <row r="12" spans="1:10" s="4" customFormat="1" ht="13.8" x14ac:dyDescent="0.25">
      <c r="A12" s="7" t="s">
        <v>8</v>
      </c>
      <c r="B12" s="28">
        <v>13.5</v>
      </c>
      <c r="C12" s="16">
        <f>C$8*$B12*(1+C$11)^(C$7-1)</f>
        <v>1012500</v>
      </c>
      <c r="D12" s="16">
        <f>D$8*$B12*(1+D$11)^(D$7-1)</f>
        <v>2851065</v>
      </c>
      <c r="E12" s="16">
        <f>E$8*$B12*(1+E$11)^(E$7-1)</f>
        <v>4915236.0600000005</v>
      </c>
      <c r="F12" s="16">
        <f t="shared" ref="F12:I12" si="3">F$8*$B12*(1+F$11)^(F$7-1)</f>
        <v>0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73" t="s">
        <v>61</v>
      </c>
    </row>
    <row r="13" spans="1:10" s="4" customFormat="1" ht="14.4" x14ac:dyDescent="0.3">
      <c r="A13" s="7" t="s">
        <v>11</v>
      </c>
      <c r="B13" s="21">
        <v>7.4999999999999997E-2</v>
      </c>
      <c r="C13" s="16">
        <f>C12*$B13</f>
        <v>75937.5</v>
      </c>
      <c r="D13" s="16">
        <f t="shared" ref="D13:I13" si="4">D12*$B13</f>
        <v>213829.875</v>
      </c>
      <c r="E13" s="16">
        <f t="shared" si="4"/>
        <v>368642.70450000005</v>
      </c>
      <c r="F13" s="16">
        <f t="shared" si="4"/>
        <v>0</v>
      </c>
      <c r="G13" s="16">
        <f t="shared" si="4"/>
        <v>0</v>
      </c>
      <c r="H13" s="16">
        <f t="shared" si="4"/>
        <v>0</v>
      </c>
      <c r="I13" s="16">
        <f t="shared" si="4"/>
        <v>0</v>
      </c>
      <c r="J13" s="76" t="s">
        <v>44</v>
      </c>
    </row>
    <row r="14" spans="1:10" s="4" customFormat="1" ht="13.8" x14ac:dyDescent="0.25">
      <c r="A14" s="8" t="s">
        <v>41</v>
      </c>
      <c r="B14" s="29">
        <v>2.8</v>
      </c>
      <c r="C14" s="16">
        <v>247500</v>
      </c>
      <c r="D14" s="16">
        <v>693577.5</v>
      </c>
      <c r="E14" s="16">
        <v>1106295.2999999998</v>
      </c>
      <c r="F14" s="16"/>
      <c r="G14" s="16"/>
      <c r="H14" s="16"/>
      <c r="I14" s="16"/>
      <c r="J14" s="73" t="s">
        <v>43</v>
      </c>
    </row>
    <row r="15" spans="1:10" s="4" customFormat="1" ht="13.8" x14ac:dyDescent="0.25">
      <c r="A15" s="7" t="s">
        <v>9</v>
      </c>
      <c r="B15" s="28">
        <v>3.1</v>
      </c>
      <c r="C15" s="16">
        <f t="shared" ref="C15:I15" si="5">C$8*$B15*(1+C$11)^(C$7-1)</f>
        <v>232500</v>
      </c>
      <c r="D15" s="16">
        <f t="shared" si="5"/>
        <v>654689</v>
      </c>
      <c r="E15" s="16">
        <f t="shared" si="5"/>
        <v>1128683.8360000001</v>
      </c>
      <c r="F15" s="16">
        <f t="shared" si="5"/>
        <v>0</v>
      </c>
      <c r="G15" s="16">
        <f t="shared" si="5"/>
        <v>0</v>
      </c>
      <c r="H15" s="16">
        <f t="shared" si="5"/>
        <v>0</v>
      </c>
      <c r="I15" s="16">
        <f t="shared" si="5"/>
        <v>0</v>
      </c>
      <c r="J15" s="73" t="s">
        <v>43</v>
      </c>
    </row>
    <row r="16" spans="1:10" s="4" customFormat="1" ht="13.8" x14ac:dyDescent="0.25">
      <c r="A16" s="7" t="s">
        <v>15</v>
      </c>
      <c r="B16" s="21">
        <v>0.01</v>
      </c>
      <c r="C16" s="16">
        <f t="shared" ref="C16:I16" si="6">C$9*$B16*$B12*(1+C$11)^(C$7-1)</f>
        <v>10125</v>
      </c>
      <c r="D16" s="16">
        <f t="shared" si="6"/>
        <v>40729.5</v>
      </c>
      <c r="E16" s="16">
        <f t="shared" si="6"/>
        <v>98304.721200000015</v>
      </c>
      <c r="F16" s="16">
        <f t="shared" si="6"/>
        <v>118634.13754416002</v>
      </c>
      <c r="G16" s="16">
        <f t="shared" si="6"/>
        <v>143167.67718829232</v>
      </c>
      <c r="H16" s="16">
        <f t="shared" si="6"/>
        <v>172774.75283083119</v>
      </c>
      <c r="I16" s="16">
        <f t="shared" si="6"/>
        <v>208504.5717162471</v>
      </c>
      <c r="J16" s="73" t="s">
        <v>43</v>
      </c>
    </row>
    <row r="17" spans="1:10" s="4" customFormat="1" ht="13.8" x14ac:dyDescent="0.25">
      <c r="A17" s="8" t="s">
        <v>48</v>
      </c>
      <c r="B17" s="28">
        <v>2.5</v>
      </c>
      <c r="C17" s="16">
        <f>C$9*$B17*(1+C$11)^(C$7-1)</f>
        <v>187500</v>
      </c>
      <c r="D17" s="16">
        <f>D$9*$B17*(1+D$11)^(D$7-1)</f>
        <v>754250.00000000012</v>
      </c>
      <c r="E17" s="16">
        <f t="shared" ref="E17:I17" si="7">E$9*$B17*(1+E$11)^(E$7-1)</f>
        <v>1820457.8000000003</v>
      </c>
      <c r="F17" s="16">
        <f t="shared" si="7"/>
        <v>2196928.4730400005</v>
      </c>
      <c r="G17" s="16">
        <f t="shared" si="7"/>
        <v>2651253.2812646725</v>
      </c>
      <c r="H17" s="16">
        <f t="shared" si="7"/>
        <v>3199532.4598302073</v>
      </c>
      <c r="I17" s="16">
        <f t="shared" si="7"/>
        <v>3861195.7725230944</v>
      </c>
      <c r="J17" s="73" t="s">
        <v>43</v>
      </c>
    </row>
    <row r="18" spans="1:10" s="4" customFormat="1" ht="13.8" x14ac:dyDescent="0.25">
      <c r="A18" s="8" t="s">
        <v>6</v>
      </c>
      <c r="B18" s="28"/>
      <c r="C18" s="16">
        <v>52000</v>
      </c>
      <c r="D18" s="16">
        <v>24000</v>
      </c>
      <c r="E18" s="16">
        <v>24000</v>
      </c>
      <c r="F18" s="16">
        <v>24000</v>
      </c>
      <c r="G18" s="16">
        <v>24000</v>
      </c>
      <c r="H18" s="16">
        <v>24000</v>
      </c>
      <c r="I18" s="16">
        <v>24000</v>
      </c>
      <c r="J18" s="73" t="s">
        <v>43</v>
      </c>
    </row>
    <row r="19" spans="1:10" s="4" customFormat="1" ht="13.8" x14ac:dyDescent="0.25">
      <c r="A19" s="8" t="s">
        <v>22</v>
      </c>
      <c r="B19" s="29">
        <v>3</v>
      </c>
      <c r="C19" s="16">
        <f>C$9*$B19*(1+C$11)^(C$7-1)</f>
        <v>225000</v>
      </c>
      <c r="D19" s="16">
        <f t="shared" ref="D19:I19" si="8">D$9*$B19*(1+D$11)^(D$7-1)</f>
        <v>905100.00000000012</v>
      </c>
      <c r="E19" s="16">
        <f t="shared" si="8"/>
        <v>2184549.3600000003</v>
      </c>
      <c r="F19" s="16">
        <f t="shared" si="8"/>
        <v>2636314.1676480006</v>
      </c>
      <c r="G19" s="16">
        <f t="shared" si="8"/>
        <v>3181503.9375176071</v>
      </c>
      <c r="H19" s="16">
        <f t="shared" si="8"/>
        <v>3839438.9517962486</v>
      </c>
      <c r="I19" s="16">
        <f t="shared" si="8"/>
        <v>4633434.9270277135</v>
      </c>
      <c r="J19" s="73" t="s">
        <v>43</v>
      </c>
    </row>
    <row r="20" spans="1:10" s="4" customFormat="1" ht="13.8" x14ac:dyDescent="0.25">
      <c r="A20" s="12" t="s">
        <v>23</v>
      </c>
      <c r="B20" s="22"/>
      <c r="C20" s="37">
        <v>350000</v>
      </c>
      <c r="D20" s="37">
        <v>450000</v>
      </c>
      <c r="E20" s="37">
        <v>600000</v>
      </c>
      <c r="F20" s="37">
        <f>E20</f>
        <v>600000</v>
      </c>
      <c r="G20" s="37">
        <f>F20</f>
        <v>600000</v>
      </c>
      <c r="H20" s="37">
        <f>G20</f>
        <v>600000</v>
      </c>
      <c r="I20" s="37">
        <f>H20</f>
        <v>600000</v>
      </c>
      <c r="J20" s="73" t="s">
        <v>17</v>
      </c>
    </row>
    <row r="21" spans="1:10" s="4" customFormat="1" ht="13.8" x14ac:dyDescent="0.25">
      <c r="A21" s="13" t="s">
        <v>10</v>
      </c>
      <c r="B21" s="23"/>
      <c r="C21" s="21"/>
      <c r="D21" s="21"/>
      <c r="E21" s="21"/>
      <c r="F21" s="21"/>
      <c r="G21" s="21"/>
      <c r="H21" s="21"/>
      <c r="I21" s="21"/>
      <c r="J21" s="73"/>
    </row>
    <row r="22" spans="1:10" s="4" customFormat="1" ht="13.8" x14ac:dyDescent="0.25">
      <c r="A22" s="26" t="s">
        <v>45</v>
      </c>
      <c r="B22" s="47">
        <f>12.6*90%</f>
        <v>11.34</v>
      </c>
      <c r="C22" s="16">
        <f>(I9*5%)*$B22</f>
        <v>283500</v>
      </c>
      <c r="D22" s="16"/>
      <c r="E22" s="16"/>
      <c r="F22" s="16">
        <f t="shared" ref="D22:I23" si="9">F$8*$B22</f>
        <v>0</v>
      </c>
      <c r="G22" s="16">
        <f t="shared" si="9"/>
        <v>0</v>
      </c>
      <c r="H22" s="16">
        <f t="shared" si="9"/>
        <v>0</v>
      </c>
      <c r="I22" s="16">
        <f t="shared" si="9"/>
        <v>0</v>
      </c>
      <c r="J22" s="73" t="s">
        <v>43</v>
      </c>
    </row>
    <row r="23" spans="1:10" s="4" customFormat="1" ht="13.8" x14ac:dyDescent="0.25">
      <c r="A23" s="26" t="s">
        <v>46</v>
      </c>
      <c r="B23" s="47">
        <f>5*90%</f>
        <v>4.5</v>
      </c>
      <c r="C23" s="16">
        <f>(C8-I9*5%)*$B23</f>
        <v>225000</v>
      </c>
      <c r="D23" s="16">
        <f t="shared" si="9"/>
        <v>787500</v>
      </c>
      <c r="E23" s="16">
        <f t="shared" si="9"/>
        <v>1125000</v>
      </c>
      <c r="F23" s="16">
        <f t="shared" si="9"/>
        <v>0</v>
      </c>
      <c r="G23" s="16">
        <f t="shared" si="9"/>
        <v>0</v>
      </c>
      <c r="H23" s="16">
        <f t="shared" si="9"/>
        <v>0</v>
      </c>
      <c r="I23" s="16">
        <f t="shared" si="9"/>
        <v>0</v>
      </c>
      <c r="J23" s="73" t="s">
        <v>43</v>
      </c>
    </row>
    <row r="24" spans="1:10" s="4" customFormat="1" ht="13.8" x14ac:dyDescent="0.25">
      <c r="A24" s="9" t="s">
        <v>2</v>
      </c>
      <c r="B24" s="20"/>
      <c r="C24" s="20"/>
      <c r="D24" s="20"/>
      <c r="E24" s="20"/>
      <c r="F24" s="20"/>
      <c r="G24" s="20"/>
      <c r="H24" s="20"/>
      <c r="I24" s="20"/>
      <c r="J24" s="80"/>
    </row>
    <row r="25" spans="1:10" ht="13.8" x14ac:dyDescent="0.25">
      <c r="A25" s="7" t="s">
        <v>1</v>
      </c>
      <c r="B25" s="24">
        <v>0.2</v>
      </c>
      <c r="C25" s="20"/>
      <c r="D25" s="20"/>
      <c r="E25" s="20"/>
      <c r="F25" s="20"/>
      <c r="G25" s="20"/>
      <c r="H25" s="20"/>
      <c r="I25" s="20"/>
      <c r="J25" s="81" t="s">
        <v>63</v>
      </c>
    </row>
    <row r="26" spans="1:10" ht="13.8" x14ac:dyDescent="0.25">
      <c r="A26" s="7" t="s">
        <v>3</v>
      </c>
      <c r="B26" s="20"/>
      <c r="C26" s="14">
        <f t="shared" ref="C26:I26" si="10">1/(1+$B$25)^C7</f>
        <v>0.83333333333333337</v>
      </c>
      <c r="D26" s="14">
        <f t="shared" si="10"/>
        <v>0.69444444444444442</v>
      </c>
      <c r="E26" s="14">
        <f t="shared" si="10"/>
        <v>0.57870370370370372</v>
      </c>
      <c r="F26" s="14">
        <f t="shared" si="10"/>
        <v>0.48225308641975312</v>
      </c>
      <c r="G26" s="14">
        <f t="shared" si="10"/>
        <v>0.4018775720164609</v>
      </c>
      <c r="H26" s="14">
        <f t="shared" si="10"/>
        <v>0.33489797668038412</v>
      </c>
      <c r="I26" s="14">
        <f t="shared" si="10"/>
        <v>0.27908164723365342</v>
      </c>
      <c r="J26" s="82"/>
    </row>
    <row r="27" spans="1:10" ht="13.8" x14ac:dyDescent="0.25">
      <c r="A27" s="9" t="s">
        <v>24</v>
      </c>
      <c r="B27" s="19" t="s">
        <v>50</v>
      </c>
      <c r="C27" s="20"/>
      <c r="D27" s="20"/>
      <c r="E27" s="20"/>
      <c r="F27" s="20"/>
      <c r="G27" s="20"/>
      <c r="H27" s="20"/>
      <c r="I27" s="20"/>
      <c r="J27" s="82"/>
    </row>
    <row r="28" spans="1:10" ht="13.8" x14ac:dyDescent="0.25">
      <c r="A28" s="7" t="s">
        <v>25</v>
      </c>
      <c r="B28" s="16">
        <f>SUM(C28:I28)</f>
        <v>8778801.0600000005</v>
      </c>
      <c r="C28" s="16">
        <f t="shared" ref="C28:I28" si="11">C12</f>
        <v>1012500</v>
      </c>
      <c r="D28" s="16">
        <f t="shared" si="11"/>
        <v>2851065</v>
      </c>
      <c r="E28" s="16">
        <f t="shared" si="11"/>
        <v>4915236.0600000005</v>
      </c>
      <c r="F28" s="16">
        <f t="shared" si="11"/>
        <v>0</v>
      </c>
      <c r="G28" s="16">
        <f t="shared" si="11"/>
        <v>0</v>
      </c>
      <c r="H28" s="16">
        <f t="shared" si="11"/>
        <v>0</v>
      </c>
      <c r="I28" s="16">
        <f t="shared" si="11"/>
        <v>0</v>
      </c>
      <c r="J28" s="82"/>
    </row>
    <row r="29" spans="1:10" ht="13.8" x14ac:dyDescent="0.25">
      <c r="A29" s="7" t="s">
        <v>26</v>
      </c>
      <c r="B29" s="16">
        <f t="shared" ref="B29:B35" si="12">SUM(C29:I29)</f>
        <v>4063245.6359999999</v>
      </c>
      <c r="C29" s="16">
        <f t="shared" ref="C29:I29" si="13">C15+C14</f>
        <v>480000</v>
      </c>
      <c r="D29" s="16">
        <f t="shared" si="13"/>
        <v>1348266.5</v>
      </c>
      <c r="E29" s="16">
        <f t="shared" si="13"/>
        <v>2234979.1359999999</v>
      </c>
      <c r="F29" s="16">
        <f t="shared" si="13"/>
        <v>0</v>
      </c>
      <c r="G29" s="16">
        <f t="shared" si="13"/>
        <v>0</v>
      </c>
      <c r="H29" s="16">
        <f t="shared" si="13"/>
        <v>0</v>
      </c>
      <c r="I29" s="16">
        <f t="shared" si="13"/>
        <v>0</v>
      </c>
      <c r="J29" s="82"/>
    </row>
    <row r="30" spans="1:10" ht="13.8" x14ac:dyDescent="0.25">
      <c r="A30" s="7" t="s">
        <v>27</v>
      </c>
      <c r="B30" s="16">
        <f t="shared" si="12"/>
        <v>792240.36047953065</v>
      </c>
      <c r="C30" s="16">
        <f>C16</f>
        <v>10125</v>
      </c>
      <c r="D30" s="16">
        <f t="shared" ref="D30:I30" si="14">D16</f>
        <v>40729.5</v>
      </c>
      <c r="E30" s="16">
        <f t="shared" si="14"/>
        <v>98304.721200000015</v>
      </c>
      <c r="F30" s="16">
        <f t="shared" si="14"/>
        <v>118634.13754416002</v>
      </c>
      <c r="G30" s="16">
        <f t="shared" si="14"/>
        <v>143167.67718829232</v>
      </c>
      <c r="H30" s="16">
        <f t="shared" si="14"/>
        <v>172774.75283083119</v>
      </c>
      <c r="I30" s="16">
        <f t="shared" si="14"/>
        <v>208504.5717162471</v>
      </c>
      <c r="J30" s="82"/>
    </row>
    <row r="31" spans="1:10" ht="13.8" x14ac:dyDescent="0.25">
      <c r="A31" s="7" t="s">
        <v>28</v>
      </c>
      <c r="B31" s="16">
        <f t="shared" si="12"/>
        <v>14867117.786657974</v>
      </c>
      <c r="C31" s="16">
        <f>C17+C18</f>
        <v>239500</v>
      </c>
      <c r="D31" s="16">
        <f t="shared" ref="D31:I31" si="15">D17+D18</f>
        <v>778250.00000000012</v>
      </c>
      <c r="E31" s="16">
        <f t="shared" si="15"/>
        <v>1844457.8000000003</v>
      </c>
      <c r="F31" s="16">
        <f t="shared" si="15"/>
        <v>2220928.4730400005</v>
      </c>
      <c r="G31" s="16">
        <f t="shared" si="15"/>
        <v>2675253.2812646725</v>
      </c>
      <c r="H31" s="16">
        <f t="shared" si="15"/>
        <v>3223532.4598302073</v>
      </c>
      <c r="I31" s="16">
        <f t="shared" si="15"/>
        <v>3885195.7725230944</v>
      </c>
      <c r="J31" s="82"/>
    </row>
    <row r="32" spans="1:10" ht="13.8" x14ac:dyDescent="0.25">
      <c r="A32" s="7" t="s">
        <v>49</v>
      </c>
      <c r="B32" s="16">
        <f t="shared" si="12"/>
        <v>17605341.34398957</v>
      </c>
      <c r="C32" s="16">
        <f t="shared" ref="C32:I33" si="16">C19</f>
        <v>225000</v>
      </c>
      <c r="D32" s="16">
        <f t="shared" si="16"/>
        <v>905100.00000000012</v>
      </c>
      <c r="E32" s="16">
        <f t="shared" si="16"/>
        <v>2184549.3600000003</v>
      </c>
      <c r="F32" s="16">
        <f t="shared" si="16"/>
        <v>2636314.1676480006</v>
      </c>
      <c r="G32" s="16">
        <f t="shared" si="16"/>
        <v>3181503.9375176071</v>
      </c>
      <c r="H32" s="16">
        <f t="shared" si="16"/>
        <v>3839438.9517962486</v>
      </c>
      <c r="I32" s="16">
        <f t="shared" si="16"/>
        <v>4633434.9270277135</v>
      </c>
      <c r="J32" s="82"/>
    </row>
    <row r="33" spans="1:10" ht="13.8" x14ac:dyDescent="0.25">
      <c r="A33" s="7" t="s">
        <v>23</v>
      </c>
      <c r="B33" s="16">
        <f t="shared" si="12"/>
        <v>3800000</v>
      </c>
      <c r="C33" s="16">
        <f t="shared" si="16"/>
        <v>350000</v>
      </c>
      <c r="D33" s="16">
        <f t="shared" si="16"/>
        <v>450000</v>
      </c>
      <c r="E33" s="16">
        <f t="shared" si="16"/>
        <v>600000</v>
      </c>
      <c r="F33" s="16">
        <f t="shared" si="16"/>
        <v>600000</v>
      </c>
      <c r="G33" s="16">
        <f t="shared" si="16"/>
        <v>600000</v>
      </c>
      <c r="H33" s="16">
        <f t="shared" si="16"/>
        <v>600000</v>
      </c>
      <c r="I33" s="16">
        <f t="shared" si="16"/>
        <v>600000</v>
      </c>
      <c r="J33" s="82"/>
    </row>
    <row r="34" spans="1:10" ht="13.8" x14ac:dyDescent="0.25">
      <c r="A34" s="7" t="s">
        <v>4</v>
      </c>
      <c r="B34" s="16">
        <f t="shared" si="12"/>
        <v>49906746.187127076</v>
      </c>
      <c r="C34" s="16">
        <f>SUM(C28:C33)</f>
        <v>2317125</v>
      </c>
      <c r="D34" s="16">
        <f t="shared" ref="D34:H34" si="17">SUM(D28:D33)</f>
        <v>6373411</v>
      </c>
      <c r="E34" s="16">
        <f t="shared" si="17"/>
        <v>11877527.077199999</v>
      </c>
      <c r="F34" s="16">
        <f t="shared" si="17"/>
        <v>5575876.778232161</v>
      </c>
      <c r="G34" s="16">
        <f t="shared" si="17"/>
        <v>6599924.8959705718</v>
      </c>
      <c r="H34" s="16">
        <f t="shared" si="17"/>
        <v>7835746.1644572876</v>
      </c>
      <c r="I34" s="16">
        <f>SUM(I28:I33)</f>
        <v>9327135.2712670546</v>
      </c>
      <c r="J34" s="82"/>
    </row>
    <row r="35" spans="1:10" ht="13.8" x14ac:dyDescent="0.25">
      <c r="A35" s="7" t="s">
        <v>29</v>
      </c>
      <c r="B35" s="16">
        <f t="shared" si="12"/>
        <v>23799039.661744259</v>
      </c>
      <c r="C35" s="44">
        <f>C34*C26</f>
        <v>1930937.5</v>
      </c>
      <c r="D35" s="27">
        <f t="shared" ref="D35:I35" si="18">D34*D26</f>
        <v>4425979.861111111</v>
      </c>
      <c r="E35" s="27">
        <f t="shared" si="18"/>
        <v>6873568.9104166664</v>
      </c>
      <c r="F35" s="27">
        <f t="shared" si="18"/>
        <v>2688983.7857986889</v>
      </c>
      <c r="G35" s="27">
        <f t="shared" si="18"/>
        <v>2652361.7926836465</v>
      </c>
      <c r="H35" s="27">
        <f t="shared" si="18"/>
        <v>2624175.5362578263</v>
      </c>
      <c r="I35" s="27">
        <f t="shared" si="18"/>
        <v>2603032.2754763183</v>
      </c>
      <c r="J35" s="83"/>
    </row>
    <row r="36" spans="1:10" ht="13.8" x14ac:dyDescent="0.25">
      <c r="A36" s="9" t="s">
        <v>30</v>
      </c>
      <c r="B36" s="20"/>
      <c r="C36" s="20"/>
      <c r="D36" s="20"/>
      <c r="E36" s="20"/>
      <c r="F36" s="20"/>
      <c r="G36" s="20"/>
      <c r="H36" s="20"/>
      <c r="I36" s="20"/>
      <c r="J36" s="82"/>
    </row>
    <row r="37" spans="1:10" ht="13.8" x14ac:dyDescent="0.25">
      <c r="A37" s="7" t="s">
        <v>47</v>
      </c>
      <c r="B37" s="16">
        <f>SUM(C37:I37)</f>
        <v>2421000</v>
      </c>
      <c r="C37" s="16">
        <f>C22+C23</f>
        <v>508500</v>
      </c>
      <c r="D37" s="16">
        <f t="shared" ref="D37:I37" si="19">D22+D23</f>
        <v>787500</v>
      </c>
      <c r="E37" s="16">
        <f t="shared" si="19"/>
        <v>1125000</v>
      </c>
      <c r="F37" s="16">
        <f t="shared" si="19"/>
        <v>0</v>
      </c>
      <c r="G37" s="16">
        <f t="shared" si="19"/>
        <v>0</v>
      </c>
      <c r="H37" s="16">
        <f t="shared" si="19"/>
        <v>0</v>
      </c>
      <c r="I37" s="16">
        <f t="shared" si="19"/>
        <v>0</v>
      </c>
      <c r="J37" s="82"/>
    </row>
    <row r="38" spans="1:10" ht="13.8" x14ac:dyDescent="0.25">
      <c r="A38" s="7" t="s">
        <v>31</v>
      </c>
      <c r="B38" s="20"/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82"/>
    </row>
    <row r="39" spans="1:10" ht="13.8" x14ac:dyDescent="0.25">
      <c r="A39" s="7" t="s">
        <v>4</v>
      </c>
      <c r="B39" s="20"/>
      <c r="C39" s="16">
        <f>SUM(C37:C38)</f>
        <v>508500</v>
      </c>
      <c r="D39" s="16">
        <f t="shared" ref="D39:I39" si="20">SUM(D37:D38)</f>
        <v>787500</v>
      </c>
      <c r="E39" s="16">
        <f t="shared" si="20"/>
        <v>1125000</v>
      </c>
      <c r="F39" s="16">
        <f t="shared" si="20"/>
        <v>0</v>
      </c>
      <c r="G39" s="16">
        <f t="shared" si="20"/>
        <v>0</v>
      </c>
      <c r="H39" s="16">
        <f t="shared" si="20"/>
        <v>0</v>
      </c>
      <c r="I39" s="16">
        <f t="shared" si="20"/>
        <v>0</v>
      </c>
      <c r="J39" s="82"/>
    </row>
    <row r="40" spans="1:10" ht="13.8" x14ac:dyDescent="0.25">
      <c r="A40" s="7" t="s">
        <v>32</v>
      </c>
      <c r="B40" s="16">
        <f>SUM(C40:I40)</f>
        <v>1621666.6666666665</v>
      </c>
      <c r="C40" s="41">
        <f t="shared" ref="C40:I40" si="21">C39*C26</f>
        <v>423750</v>
      </c>
      <c r="D40" s="41">
        <f t="shared" si="21"/>
        <v>546875</v>
      </c>
      <c r="E40" s="41">
        <f t="shared" si="21"/>
        <v>651041.66666666663</v>
      </c>
      <c r="F40" s="20">
        <f t="shared" si="21"/>
        <v>0</v>
      </c>
      <c r="G40" s="20">
        <f t="shared" si="21"/>
        <v>0</v>
      </c>
      <c r="H40" s="20">
        <f t="shared" si="21"/>
        <v>0</v>
      </c>
      <c r="I40" s="20">
        <f t="shared" si="21"/>
        <v>0</v>
      </c>
      <c r="J40" s="82"/>
    </row>
    <row r="41" spans="1:10" ht="13.8" x14ac:dyDescent="0.25">
      <c r="A41" s="9" t="s">
        <v>33</v>
      </c>
      <c r="B41" s="20"/>
      <c r="C41" s="16">
        <f t="shared" ref="C41:I41" si="22">C39-C34</f>
        <v>-1808625</v>
      </c>
      <c r="D41" s="16">
        <f t="shared" si="22"/>
        <v>-5585911</v>
      </c>
      <c r="E41" s="16">
        <f t="shared" si="22"/>
        <v>-10752527.077199999</v>
      </c>
      <c r="F41" s="16">
        <f t="shared" si="22"/>
        <v>-5575876.778232161</v>
      </c>
      <c r="G41" s="16">
        <f t="shared" si="22"/>
        <v>-6599924.8959705718</v>
      </c>
      <c r="H41" s="16">
        <f t="shared" si="22"/>
        <v>-7835746.1644572876</v>
      </c>
      <c r="I41" s="16">
        <f t="shared" si="22"/>
        <v>-9327135.2712670546</v>
      </c>
      <c r="J41" s="82"/>
    </row>
    <row r="42" spans="1:10" ht="14.4" thickBot="1" x14ac:dyDescent="0.3">
      <c r="A42" s="9" t="s">
        <v>2</v>
      </c>
      <c r="B42" s="20"/>
      <c r="C42" s="38">
        <f>NPV(B25,C41:I41)</f>
        <v>-22177372.995077595</v>
      </c>
      <c r="D42" s="20"/>
      <c r="E42" s="20"/>
      <c r="F42" s="20"/>
      <c r="G42" s="20"/>
      <c r="H42" s="20"/>
      <c r="I42" s="20"/>
      <c r="J42" s="87"/>
    </row>
    <row r="43" spans="1:10" x14ac:dyDescent="0.25">
      <c r="B43" s="40"/>
    </row>
  </sheetData>
  <hyperlinks>
    <hyperlink ref="J13" r:id="rId1" xr:uid="{140CECDA-E760-4E21-A486-BF462430EF3E}"/>
    <hyperlink ref="J11" r:id="rId2" xr:uid="{DCF615A6-9164-4C4C-8868-3640613E45C9}"/>
  </hyperlinks>
  <pageMargins left="0.7" right="0.7" top="0.75" bottom="0.75" header="0.3" footer="0.3"/>
  <pageSetup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NG VCS 2673-NPV</vt:lpstr>
      <vt:lpstr>Sensitivity Analysis</vt:lpstr>
      <vt:lpstr>Iteration 1 Inflation @10%</vt:lpstr>
      <vt:lpstr>Iteration 2 Inflation @-10%</vt:lpstr>
      <vt:lpstr>Iteration 3 Manufacturing @10%</vt:lpstr>
      <vt:lpstr>Iteration 4 Manufacturing @-10%</vt:lpstr>
      <vt:lpstr>Iteration 5 Revenue @10%</vt:lpstr>
      <vt:lpstr>Iteration 5 Revenue @-10%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Murugesh S</cp:lastModifiedBy>
  <dcterms:created xsi:type="dcterms:W3CDTF">2015-06-05T18:17:20Z</dcterms:created>
  <dcterms:modified xsi:type="dcterms:W3CDTF">2023-12-21T15:54:31Z</dcterms:modified>
</cp:coreProperties>
</file>