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ish\UpEnergy Dropbox\Vaishnavi M\UpEnergy-Carbon Global Technical\2. Carbon Verification\VCS verification\NG 2673\MP 2\VCS\CB\Round 1\Draft Submission Package\"/>
    </mc:Choice>
  </mc:AlternateContent>
  <xr:revisionPtr revIDLastSave="0" documentId="13_ncr:1_{442A317D-6331-4AD3-89F4-104C20B04D16}" xr6:coauthVersionLast="47" xr6:coauthVersionMax="47" xr10:uidLastSave="{00000000-0000-0000-0000-000000000000}"/>
  <bookViews>
    <workbookView xWindow="-432" yWindow="12" windowWidth="11724" windowHeight="12108" tabRatio="980" xr2:uid="{E4BEFB9F-60CD-42AF-A4BE-3696ABF30C17}"/>
  </bookViews>
  <sheets>
    <sheet name="Introduction" sheetId="3" r:id="rId1"/>
    <sheet name="Ex-Ante ER Calculations" sheetId="8" r:id="rId2"/>
    <sheet name="Yearwise ICS Distribution" sheetId="2" r:id="rId3"/>
  </sheets>
  <definedNames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a">#REF!</definedName>
    <definedName name="AFbl_fuel1_y8">#REF!</definedName>
    <definedName name="AFbl_fuel1_y9">#REF!</definedName>
    <definedName name="AFbl_fuel2">#REF!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ge0_1">#REF!</definedName>
    <definedName name="age1_2">#REF!</definedName>
    <definedName name="age2_3">#REF!</definedName>
    <definedName name="age3_4">#REF!</definedName>
    <definedName name="age4_5">#REF!</definedName>
    <definedName name="age5_6">#REF!</definedName>
    <definedName name="age6_7">#REF!</definedName>
    <definedName name="age7_8">#REF!</definedName>
    <definedName name="age8_9">#REF!</definedName>
    <definedName name="age9_10">#REF!</definedName>
    <definedName name="alpha">#REF!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bins_array">#REF!</definedName>
    <definedName name="Carbon_price">#REF!</definedName>
    <definedName name="Confidence">#REF!</definedName>
    <definedName name="D">#REF!</definedName>
    <definedName name="data">#REF!</definedName>
    <definedName name="data_array">#REF!</definedName>
    <definedName name="data1">#REF!</definedName>
    <definedName name="datanew">#REF!</definedName>
    <definedName name="Discount_rate">#REF!</definedName>
    <definedName name="drate">#REF!</definedName>
    <definedName name="drate2">#REF!</definedName>
    <definedName name="EF_af_co2_fuel1">#REF!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N2O">#REF!</definedName>
    <definedName name="EFaf_fuel1_prod_CO2">#REF!</definedName>
    <definedName name="EFaf_fuel1_totalnon_CO2">#REF!</definedName>
    <definedName name="EFaf_fuel2_CH4">#REF!</definedName>
    <definedName name="EFaf_fuel2_cook_CO2">#REF!</definedName>
    <definedName name="EFaf_fuel2_cook_gas_i">#REF!</definedName>
    <definedName name="EFaf_fuel2_N2O">#REF!</definedName>
    <definedName name="EFaf_fuel2_prod_CO2">#REF!</definedName>
    <definedName name="EFaf_fuel2_totalnon_CO2">#REF!</definedName>
    <definedName name="EFaf_fuel3_CH4">#REF!</definedName>
    <definedName name="EFaf_fuel3_N2O">#REF!</definedName>
    <definedName name="EFaf_fuel3_prod_CO2">#REF!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prod_CO2">#REF!</definedName>
    <definedName name="EFbl_bio1_prod_N2O">#REF!</definedName>
    <definedName name="EFbl_bio1_totalnon_CO2">#REF!</definedName>
    <definedName name="EFbl_bio2_cook_CO2">#REF!</definedName>
    <definedName name="EFbl_bio2_prod_CO2">#REF!</definedName>
    <definedName name="EFbl_bio2_total_CO2">#REF!</definedName>
    <definedName name="EFbl_bio2_totalnon_CO2">#REF!</definedName>
    <definedName name="EFbl_bio3_prod_CO2">#REF!</definedName>
    <definedName name="EFbl_bio3_totalnon_CO2">#REF!</definedName>
    <definedName name="EFpj_bio1_cook_CO2">#REF!</definedName>
    <definedName name="EFpj_bio1_prod_CO2">#REF!</definedName>
    <definedName name="EFpj_bio1_totalnon_CO2">#REF!</definedName>
    <definedName name="EFpj_bio2_cook_CO2">#REF!</definedName>
    <definedName name="EFpj_bio2_cook_gas_i">#REF!</definedName>
    <definedName name="EFpj_bio2_prod_CO2">#REF!</definedName>
    <definedName name="EFpj_bio2_totalnon_CO2">#REF!</definedName>
    <definedName name="EFpj_bio3_cook_CO2">#REF!</definedName>
    <definedName name="EFpj_bio3_cook_gas_i">#REF!</definedName>
    <definedName name="EFpj_bio3_prod_CO2">#REF!</definedName>
    <definedName name="EFpj_bio3_totalnon_CO2">#REF!</definedName>
    <definedName name="F_1">#REF!</definedName>
    <definedName name="F_11">#REF!</definedName>
    <definedName name="F_12">#REF!</definedName>
    <definedName name="F_13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grate">#REF!</definedName>
    <definedName name="Initial_sales">#REF!</definedName>
    <definedName name="L_1">#REF!</definedName>
    <definedName name="L_10">#REF!</definedName>
    <definedName name="L_11">#REF!</definedName>
    <definedName name="L_12">#REF!</definedName>
    <definedName name="L_13">#REF!</definedName>
    <definedName name="L_2">#REF!</definedName>
    <definedName name="L_3">#REF!</definedName>
    <definedName name="L_4">#REF!</definedName>
    <definedName name="L_5">#REF!</definedName>
    <definedName name="L_6">#REF!</definedName>
    <definedName name="L_7">#REF!</definedName>
    <definedName name="L_8">#REF!</definedName>
    <definedName name="L_9">#REF!</definedName>
    <definedName name="leakage">#REF!</definedName>
    <definedName name="m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#REF!</definedName>
    <definedName name="nrb_12">#REF!</definedName>
    <definedName name="nrb_13">#REF!</definedName>
    <definedName name="nrb_2">#REF!</definedName>
    <definedName name="nrb_3">#REF!</definedName>
    <definedName name="nrb_4">#REF!</definedName>
    <definedName name="nrb_5">#REF!</definedName>
    <definedName name="nrb_6">#REF!</definedName>
    <definedName name="nrb_7">#REF!</definedName>
    <definedName name="nrb_8">#REF!</definedName>
    <definedName name="nrb_9">#REF!</definedName>
    <definedName name="Precision">#REF!</definedName>
    <definedName name="price">#REF!</definedName>
    <definedName name="reduction">#REF!</definedName>
    <definedName name="rmb">#REF!</definedName>
    <definedName name="s">#REF!</definedName>
    <definedName name="start_year">#REF!</definedName>
    <definedName name="Subsidized_price">#REF!</definedName>
    <definedName name="subsidy">#REF!</definedName>
    <definedName name="totalCO2">#REF!</definedName>
    <definedName name="U_1">#REF!</definedName>
    <definedName name="U_11">#REF!</definedName>
    <definedName name="U_12">#REF!</definedName>
    <definedName name="U_13">#REF!</definedName>
    <definedName name="U_2">#REF!</definedName>
    <definedName name="U_3">#REF!</definedName>
    <definedName name="U_4">#REF!</definedName>
    <definedName name="U_5">#REF!</definedName>
    <definedName name="U_6">#REF!</definedName>
    <definedName name="U_7">#REF!</definedName>
    <definedName name="U_8">#REF!</definedName>
    <definedName name="U_9">#REF!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sion">#REF!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year1">#REF!</definedName>
    <definedName name="yea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8" l="1"/>
  <c r="D40" i="8"/>
  <c r="C40" i="8"/>
  <c r="F39" i="8"/>
  <c r="D39" i="8"/>
  <c r="C39" i="8"/>
  <c r="F38" i="8"/>
  <c r="D38" i="8"/>
  <c r="C38" i="8"/>
  <c r="F37" i="8"/>
  <c r="D37" i="8"/>
  <c r="C37" i="8"/>
  <c r="F36" i="8"/>
  <c r="D36" i="8"/>
  <c r="C36" i="8"/>
  <c r="E36" i="8" s="1"/>
  <c r="D35" i="8"/>
  <c r="C35" i="8"/>
  <c r="D34" i="8"/>
  <c r="C34" i="8"/>
  <c r="F33" i="8"/>
  <c r="D33" i="8"/>
  <c r="C33" i="8"/>
  <c r="D24" i="8"/>
  <c r="D23" i="8"/>
  <c r="D18" i="8"/>
  <c r="D7" i="8"/>
  <c r="D25" i="8" s="1"/>
  <c r="D26" i="8" l="1"/>
  <c r="E34" i="8"/>
  <c r="E35" i="8"/>
  <c r="F34" i="8"/>
  <c r="E39" i="8"/>
  <c r="H39" i="8" s="1"/>
  <c r="J39" i="8" s="1"/>
  <c r="D27" i="8"/>
  <c r="E38" i="8"/>
  <c r="F35" i="8"/>
  <c r="H35" i="8" s="1"/>
  <c r="J35" i="8" s="1"/>
  <c r="E40" i="8"/>
  <c r="D28" i="8"/>
  <c r="H36" i="8"/>
  <c r="J36" i="8" s="1"/>
  <c r="H38" i="8"/>
  <c r="J38" i="8" s="1"/>
  <c r="H40" i="8"/>
  <c r="J40" i="8" s="1"/>
  <c r="H34" i="8"/>
  <c r="J34" i="8" s="1"/>
  <c r="E33" i="8"/>
  <c r="H33" i="8" s="1"/>
  <c r="E37" i="8"/>
  <c r="H37" i="8" s="1"/>
  <c r="J37" i="8" s="1"/>
  <c r="C41" i="8"/>
  <c r="H41" i="8" l="1"/>
  <c r="J41" i="8" s="1"/>
  <c r="J33" i="8"/>
  <c r="G39" i="8"/>
  <c r="K39" i="8" s="1"/>
  <c r="G37" i="8"/>
  <c r="K37" i="8" s="1"/>
  <c r="G35" i="8"/>
  <c r="K35" i="8" s="1"/>
  <c r="G34" i="8"/>
  <c r="K34" i="8" s="1"/>
  <c r="G33" i="8"/>
  <c r="G40" i="8"/>
  <c r="K40" i="8" s="1"/>
  <c r="G36" i="8"/>
  <c r="K36" i="8" s="1"/>
  <c r="G38" i="8"/>
  <c r="K38" i="8" s="1"/>
  <c r="K33" i="8" l="1"/>
  <c r="G41" i="8"/>
  <c r="K41" i="8" l="1"/>
  <c r="G42" i="8" s="1"/>
  <c r="C3" i="2" l="1"/>
  <c r="C4" i="2" s="1"/>
  <c r="C5" i="2" s="1"/>
  <c r="C6" i="2" s="1"/>
  <c r="C7" i="2" s="1"/>
  <c r="C8" i="2" s="1"/>
  <c r="C9" i="2" s="1"/>
</calcChain>
</file>

<file path=xl/sharedStrings.xml><?xml version="1.0" encoding="utf-8"?>
<sst xmlns="http://schemas.openxmlformats.org/spreadsheetml/2006/main" count="154" uniqueCount="107">
  <si>
    <t>Description</t>
  </si>
  <si>
    <t>Symbol</t>
  </si>
  <si>
    <t>Unit</t>
  </si>
  <si>
    <t>Source of data</t>
  </si>
  <si>
    <t>Fuel used per baseline device type i during year y</t>
  </si>
  <si>
    <r>
      <t>BC</t>
    </r>
    <r>
      <rPr>
        <vertAlign val="subscript"/>
        <sz val="11"/>
        <color theme="1"/>
        <rFont val="Calibri"/>
        <family val="2"/>
        <scheme val="minor"/>
      </rPr>
      <t>b,i,y</t>
    </r>
  </si>
  <si>
    <t xml:space="preserve">Proportion of commissioned project devices of type j from batch k that remain operating in year y </t>
  </si>
  <si>
    <r>
      <t>n</t>
    </r>
    <r>
      <rPr>
        <vertAlign val="subscript"/>
        <sz val="11"/>
        <color theme="1"/>
        <rFont val="Calibri"/>
        <family val="2"/>
        <scheme val="minor"/>
      </rPr>
      <t>j,k,y</t>
    </r>
  </si>
  <si>
    <t>fraction</t>
  </si>
  <si>
    <t xml:space="preserve">Fraction of woody biomass that is established to be non-renewable used by baseline device in year y </t>
  </si>
  <si>
    <r>
      <t>f</t>
    </r>
    <r>
      <rPr>
        <vertAlign val="subscript"/>
        <sz val="11"/>
        <color theme="1"/>
        <rFont val="Calibri"/>
        <family val="2"/>
        <scheme val="minor"/>
      </rPr>
      <t>NRB,y</t>
    </r>
  </si>
  <si>
    <t>Net calorific value of baseline fuel for baseline device type i</t>
  </si>
  <si>
    <t>TJ/tonne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</si>
  <si>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fuel used by baseline device type i in the baseline scenario</t>
    </r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</si>
  <si>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/TJ 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</si>
  <si>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fuel used by baseline device type i in the baseline scenario</t>
    </r>
  </si>
  <si>
    <t>Average energy consumption of baseline device type i in year y</t>
  </si>
  <si>
    <r>
      <t>EC</t>
    </r>
    <r>
      <rPr>
        <vertAlign val="subscript"/>
        <sz val="11"/>
        <color theme="1"/>
        <rFont val="Calibri"/>
        <family val="2"/>
        <scheme val="minor"/>
      </rPr>
      <t>i,y</t>
    </r>
  </si>
  <si>
    <t>Fuel used per project device type i during year y</t>
  </si>
  <si>
    <r>
      <t>BC</t>
    </r>
    <r>
      <rPr>
        <vertAlign val="subscript"/>
        <sz val="11"/>
        <color theme="1"/>
        <rFont val="Calibri"/>
        <family val="2"/>
        <scheme val="minor"/>
      </rPr>
      <t>p,j,k,y</t>
    </r>
  </si>
  <si>
    <t>Weighted average efficiency of project devices in year y</t>
  </si>
  <si>
    <r>
      <rPr>
        <sz val="11"/>
        <color theme="1"/>
        <rFont val="Segoe UI"/>
        <family val="2"/>
      </rPr>
      <t>ƞ</t>
    </r>
    <r>
      <rPr>
        <vertAlign val="subscript"/>
        <sz val="9.15"/>
        <color theme="1"/>
        <rFont val="Calibri"/>
        <family val="2"/>
      </rPr>
      <t>new,avg,y</t>
    </r>
  </si>
  <si>
    <r>
      <rPr>
        <sz val="11"/>
        <color theme="1"/>
        <rFont val="Segoe UI"/>
        <family val="2"/>
      </rPr>
      <t>ƞ</t>
    </r>
    <r>
      <rPr>
        <vertAlign val="subscript"/>
        <sz val="9.15"/>
        <color theme="1"/>
        <rFont val="Calibri"/>
        <family val="2"/>
      </rPr>
      <t>old,avg</t>
    </r>
  </si>
  <si>
    <t>Year</t>
  </si>
  <si>
    <t>Distribution Projection</t>
  </si>
  <si>
    <t>Cumulative Distribution</t>
  </si>
  <si>
    <t>Year-1</t>
  </si>
  <si>
    <t>Year-2</t>
  </si>
  <si>
    <t>Year-3</t>
  </si>
  <si>
    <t>Year-4</t>
  </si>
  <si>
    <t>Year-5</t>
  </si>
  <si>
    <t>Year-6</t>
  </si>
  <si>
    <t>Year-7</t>
  </si>
  <si>
    <t>Data</t>
  </si>
  <si>
    <t>IPCC Default Value</t>
  </si>
  <si>
    <t>Weighted average efficiency of baseline devices that are replaced by project devices</t>
  </si>
  <si>
    <t>Emission Reduction Estimation</t>
  </si>
  <si>
    <t>Period</t>
  </si>
  <si>
    <t>Total</t>
  </si>
  <si>
    <t>Average for</t>
  </si>
  <si>
    <t>years</t>
  </si>
  <si>
    <t>-</t>
  </si>
  <si>
    <t>Baseline WBT study</t>
  </si>
  <si>
    <t>Calculated value</t>
  </si>
  <si>
    <t>Start date</t>
  </si>
  <si>
    <t>End date</t>
  </si>
  <si>
    <t>This value is for Year 1. Will be monitored ex-post through usage surveys, taking into account usage rate cap of 90% as per applied methodology.</t>
  </si>
  <si>
    <t>Net calorific value of project fuel for project device type j</t>
  </si>
  <si>
    <r>
      <t>NCV</t>
    </r>
    <r>
      <rPr>
        <vertAlign val="subscript"/>
        <sz val="11"/>
        <color theme="1"/>
        <rFont val="Calibri"/>
        <family val="2"/>
        <scheme val="minor"/>
      </rPr>
      <t>b,i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</si>
  <si>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b,i,CO2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</si>
  <si>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b,i,nonCO2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</si>
  <si>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fuel used by project device type j in the project scenario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</si>
  <si>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fuel used by project device type j in the project scenario</t>
    </r>
  </si>
  <si>
    <t>Host Country</t>
  </si>
  <si>
    <t>Referred Methodology</t>
  </si>
  <si>
    <t>Crediting Period</t>
  </si>
  <si>
    <t>Start Date</t>
  </si>
  <si>
    <t>End Date</t>
  </si>
  <si>
    <t>Version of the workbook</t>
  </si>
  <si>
    <t xml:space="preserve">Workbook Sign Off Date </t>
  </si>
  <si>
    <t>Project Title</t>
  </si>
  <si>
    <t>Verra Reference Number</t>
  </si>
  <si>
    <t>Distribution of Improved Cookstoves</t>
  </si>
  <si>
    <t>Data Category</t>
  </si>
  <si>
    <t>Fixed ex-ante</t>
  </si>
  <si>
    <t>Distribution Projection (Nj,k,y)</t>
  </si>
  <si>
    <t>Monitored</t>
  </si>
  <si>
    <t>Calculated</t>
  </si>
  <si>
    <t xml:space="preserve">Monitored </t>
  </si>
  <si>
    <r>
      <t>H</t>
    </r>
    <r>
      <rPr>
        <vertAlign val="subscript"/>
        <sz val="11"/>
        <color theme="1"/>
        <rFont val="Calibri"/>
        <family val="2"/>
        <scheme val="minor"/>
      </rPr>
      <t>hi</t>
    </r>
  </si>
  <si>
    <t>Number</t>
  </si>
  <si>
    <t>Baseline Survey</t>
  </si>
  <si>
    <t>Average household size of the target population using device type i</t>
  </si>
  <si>
    <t>Average household size of the target population using device type j from batch k</t>
  </si>
  <si>
    <r>
      <t>H</t>
    </r>
    <r>
      <rPr>
        <vertAlign val="subscript"/>
        <sz val="11"/>
        <color theme="1"/>
        <rFont val="Calibri"/>
        <family val="2"/>
        <scheme val="minor"/>
      </rPr>
      <t>hj,k</t>
    </r>
  </si>
  <si>
    <r>
      <t>EF</t>
    </r>
    <r>
      <rPr>
        <vertAlign val="subscript"/>
        <sz val="11"/>
        <color theme="1"/>
        <rFont val="Calibri"/>
        <family val="2"/>
        <scheme val="minor"/>
      </rPr>
      <t>p,j,nonCO2</t>
    </r>
  </si>
  <si>
    <r>
      <t>NCV</t>
    </r>
    <r>
      <rPr>
        <vertAlign val="subscript"/>
        <sz val="11"/>
        <color theme="1"/>
        <rFont val="Calibri"/>
        <family val="2"/>
        <scheme val="minor"/>
      </rPr>
      <t>p,j</t>
    </r>
  </si>
  <si>
    <r>
      <t>EF</t>
    </r>
    <r>
      <rPr>
        <vertAlign val="subscript"/>
        <sz val="11"/>
        <color theme="1"/>
        <rFont val="Calibri"/>
        <family val="2"/>
        <scheme val="minor"/>
      </rPr>
      <t>p,j,CO2</t>
    </r>
  </si>
  <si>
    <t>Assumed (To be monitored based on project survey)</t>
  </si>
  <si>
    <t>VM0050:  ENERGY EFFICIENCY AND FUEL-SWITCH MEASURES IN COOKSTOVES (Version 1.0)</t>
  </si>
  <si>
    <t>Nigeria</t>
  </si>
  <si>
    <t>UpEnergy Social and Climate Impact Programme, Nigeria-1</t>
  </si>
  <si>
    <t>Assumed 55% fuel saving (Will be monitored based on KPT)</t>
  </si>
  <si>
    <t>Estimated usage rate (nj,k,y)</t>
  </si>
  <si>
    <t>Formulae used from VM 0050 methodology v1.0</t>
  </si>
  <si>
    <t>tonnes</t>
  </si>
  <si>
    <r>
      <t>Baseline Emissions (BE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</si>
  <si>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t>Cross check for stove stacking</t>
  </si>
  <si>
    <t>Energy used in project scenario by project devices during year y</t>
  </si>
  <si>
    <r>
      <t>EC</t>
    </r>
    <r>
      <rPr>
        <vertAlign val="subscript"/>
        <sz val="11"/>
        <color theme="1"/>
        <rFont val="Calibri"/>
        <family val="2"/>
        <scheme val="minor"/>
      </rPr>
      <t>p,y</t>
    </r>
  </si>
  <si>
    <t>Back-calculated energy consumption of the potential mix of devices and fuels in the baseline in year y</t>
  </si>
  <si>
    <r>
      <t>EC</t>
    </r>
    <r>
      <rPr>
        <vertAlign val="subscript"/>
        <sz val="11"/>
        <color theme="1"/>
        <rFont val="Calibri"/>
        <family val="2"/>
        <scheme val="minor"/>
      </rPr>
      <t>est,y</t>
    </r>
  </si>
  <si>
    <t>Is ECi,y&gt;ECest,y?</t>
  </si>
  <si>
    <t>Applicable ECb,y (ie ECi,y)*</t>
  </si>
  <si>
    <t>TJ</t>
  </si>
  <si>
    <t>Manufacturer Specification  (To be monitored based on project survey)</t>
  </si>
  <si>
    <t>Year Equivalent Fraction (Non-Methodology Parameter)</t>
  </si>
  <si>
    <r>
      <t>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</si>
  <si>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r>
      <t>Estimated Emission Reduction (ER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</si>
  <si>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r>
      <t>Project Emissions from energy consumption (P</t>
    </r>
    <r>
      <rPr>
        <b/>
        <vertAlign val="subscript"/>
        <sz val="11"/>
        <color theme="1"/>
        <rFont val="Calibri"/>
        <family val="2"/>
        <scheme val="minor"/>
      </rPr>
      <t>energy,y</t>
    </r>
    <r>
      <rPr>
        <b/>
        <sz val="11"/>
        <color theme="1"/>
        <rFont val="Calibri"/>
        <family val="2"/>
        <scheme val="minor"/>
      </rPr>
      <t>)</t>
    </r>
  </si>
  <si>
    <r>
      <t>Project Emissions from other sources (P</t>
    </r>
    <r>
      <rPr>
        <b/>
        <vertAlign val="subscript"/>
        <sz val="11"/>
        <color theme="1"/>
        <rFont val="Calibri"/>
        <family val="2"/>
        <scheme val="minor"/>
      </rPr>
      <t>other,y</t>
    </r>
    <r>
      <rPr>
        <b/>
        <sz val="11"/>
        <color theme="1"/>
        <rFont val="Calibri"/>
        <family val="2"/>
        <scheme val="minor"/>
      </rPr>
      <t>)</t>
    </r>
  </si>
  <si>
    <t>Project Emissions (PEy)</t>
  </si>
  <si>
    <t xml:space="preserve">Number </t>
  </si>
  <si>
    <t>Fraction</t>
  </si>
  <si>
    <t xml:space="preserve">Creditable ICS </t>
  </si>
  <si>
    <t>Country Specific value based on TOOL 33 Default values for common parameters EB 125, Annex 2 v3.0</t>
  </si>
  <si>
    <t>Baseline KPT study conducted on 2022 &amp; CF as "4"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</si>
</sst>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"/>
    <numFmt numFmtId="165" formatCode="0.0%"/>
    <numFmt numFmtId="166" formatCode="_(* #,##0_);_(* \(#,##0\);_(* &quot;-&quot;??_);_(@_)"/>
    <numFmt numFmtId="167" formatCode="[$-F800]dddd\,\ mmmm\ dd\,\ yyyy"/>
    <numFmt numFmtId="168" formatCode="[$-409]mmmm\ d\,\ yyyy;@"/>
    <numFmt numFmtId="169" formatCode="[$-14009]dd\-mm\-yyyy;@"/>
    <numFmt numFmtId="170" formatCode="0.0"/>
    <numFmt numFmtId="171" formatCode="0.0000"/>
    <numFmt numFmtId="172" formatCode="0.00000"/>
    <numFmt numFmtId="173" formatCode="0.000000000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egoe UI"/>
      <family val="2"/>
    </font>
    <font>
      <vertAlign val="subscript"/>
      <sz val="9.15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145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7" fontId="8" fillId="0" borderId="0" xfId="3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2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8" xfId="2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4" xfId="5" applyFont="1" applyBorder="1" applyAlignment="1">
      <alignment horizontal="left"/>
    </xf>
    <xf numFmtId="170" fontId="5" fillId="0" borderId="4" xfId="5" applyNumberFormat="1" applyFont="1" applyBorder="1" applyAlignment="1">
      <alignment horizontal="left"/>
    </xf>
    <xf numFmtId="0" fontId="9" fillId="0" borderId="1" xfId="3" applyFont="1" applyBorder="1"/>
    <xf numFmtId="0" fontId="9" fillId="0" borderId="3" xfId="3" applyFont="1" applyBorder="1"/>
    <xf numFmtId="168" fontId="0" fillId="4" borderId="4" xfId="0" applyNumberFormat="1" applyFill="1" applyBorder="1" applyAlignment="1">
      <alignment horizontal="left" vertical="center"/>
    </xf>
    <xf numFmtId="169" fontId="0" fillId="0" borderId="4" xfId="0" applyNumberFormat="1" applyBorder="1" applyAlignment="1">
      <alignment horizontal="left" vertical="center"/>
    </xf>
    <xf numFmtId="17" fontId="0" fillId="5" borderId="8" xfId="3" applyNumberFormat="1" applyFont="1" applyFill="1" applyBorder="1" applyAlignment="1">
      <alignment vertical="center" wrapText="1"/>
    </xf>
    <xf numFmtId="17" fontId="1" fillId="5" borderId="8" xfId="3" applyNumberFormat="1" applyFont="1" applyFill="1" applyBorder="1" applyAlignment="1">
      <alignment horizontal="left" vertical="center" wrapText="1"/>
    </xf>
    <xf numFmtId="0" fontId="1" fillId="5" borderId="8" xfId="3" applyFont="1" applyFill="1" applyBorder="1" applyAlignment="1">
      <alignment horizontal="center" vertical="center" wrapText="1"/>
    </xf>
    <xf numFmtId="164" fontId="1" fillId="5" borderId="8" xfId="3" applyNumberFormat="1" applyFont="1" applyFill="1" applyBorder="1" applyAlignment="1">
      <alignment horizontal="center" vertical="center" wrapText="1"/>
    </xf>
    <xf numFmtId="17" fontId="0" fillId="5" borderId="8" xfId="3" applyNumberFormat="1" applyFont="1" applyFill="1" applyBorder="1" applyAlignment="1">
      <alignment horizontal="left" vertical="center" wrapText="1"/>
    </xf>
    <xf numFmtId="1" fontId="1" fillId="5" borderId="8" xfId="3" applyNumberFormat="1" applyFont="1" applyFill="1" applyBorder="1" applyAlignment="1">
      <alignment horizontal="center" vertical="center" wrapText="1"/>
    </xf>
    <xf numFmtId="2" fontId="1" fillId="5" borderId="8" xfId="3" applyNumberFormat="1" applyFont="1" applyFill="1" applyBorder="1" applyAlignment="1">
      <alignment horizontal="center" vertical="center" wrapText="1"/>
    </xf>
    <xf numFmtId="0" fontId="5" fillId="5" borderId="8" xfId="3" applyFont="1" applyFill="1" applyBorder="1" applyAlignment="1">
      <alignment vertical="center"/>
    </xf>
    <xf numFmtId="17" fontId="0" fillId="6" borderId="8" xfId="3" applyNumberFormat="1" applyFont="1" applyFill="1" applyBorder="1" applyAlignment="1">
      <alignment vertical="center" wrapText="1"/>
    </xf>
    <xf numFmtId="17" fontId="1" fillId="6" borderId="8" xfId="3" applyNumberFormat="1" applyFont="1" applyFill="1" applyBorder="1" applyAlignment="1">
      <alignment horizontal="left" vertical="center" wrapText="1"/>
    </xf>
    <xf numFmtId="2" fontId="1" fillId="6" borderId="8" xfId="3" applyNumberFormat="1" applyFont="1" applyFill="1" applyBorder="1" applyAlignment="1">
      <alignment horizontal="center" vertical="center" wrapText="1"/>
    </xf>
    <xf numFmtId="17" fontId="0" fillId="2" borderId="8" xfId="3" applyNumberFormat="1" applyFont="1" applyFill="1" applyBorder="1" applyAlignment="1">
      <alignment vertical="center" wrapText="1"/>
    </xf>
    <xf numFmtId="17" fontId="1" fillId="2" borderId="8" xfId="3" applyNumberFormat="1" applyFont="1" applyFill="1" applyBorder="1" applyAlignment="1">
      <alignment horizontal="left" vertical="center" wrapText="1"/>
    </xf>
    <xf numFmtId="164" fontId="1" fillId="2" borderId="8" xfId="3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3" fillId="5" borderId="12" xfId="0" applyFont="1" applyFill="1" applyBorder="1" applyAlignment="1">
      <alignment horizontal="left" vertical="center" wrapText="1"/>
    </xf>
    <xf numFmtId="17" fontId="0" fillId="6" borderId="8" xfId="3" applyNumberFormat="1" applyFont="1" applyFill="1" applyBorder="1" applyAlignment="1">
      <alignment horizontal="left" vertical="center" wrapText="1"/>
    </xf>
    <xf numFmtId="0" fontId="5" fillId="0" borderId="4" xfId="3" applyFont="1" applyBorder="1"/>
    <xf numFmtId="165" fontId="1" fillId="5" borderId="8" xfId="3" applyNumberFormat="1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4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164" fontId="2" fillId="0" borderId="0" xfId="3" applyNumberFormat="1" applyFont="1" applyAlignment="1">
      <alignment horizontal="center" vertical="center" wrapText="1"/>
    </xf>
    <xf numFmtId="0" fontId="9" fillId="0" borderId="3" xfId="5" applyFont="1" applyBorder="1"/>
    <xf numFmtId="0" fontId="9" fillId="0" borderId="3" xfId="5" applyFont="1" applyBorder="1" applyAlignment="1">
      <alignment horizontal="right"/>
    </xf>
    <xf numFmtId="0" fontId="9" fillId="0" borderId="5" xfId="5" applyFont="1" applyBorder="1"/>
    <xf numFmtId="0" fontId="2" fillId="0" borderId="0" xfId="0" applyFont="1"/>
    <xf numFmtId="3" fontId="1" fillId="0" borderId="0" xfId="3" applyNumberFormat="1" applyFont="1" applyAlignment="1">
      <alignment horizontal="center" vertical="center" wrapText="1"/>
    </xf>
    <xf numFmtId="3" fontId="1" fillId="0" borderId="0" xfId="3" applyNumberFormat="1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vertical="center"/>
    </xf>
    <xf numFmtId="17" fontId="2" fillId="7" borderId="1" xfId="3" applyNumberFormat="1" applyFont="1" applyFill="1" applyBorder="1" applyAlignment="1">
      <alignment vertical="center" wrapText="1"/>
    </xf>
    <xf numFmtId="17" fontId="2" fillId="7" borderId="7" xfId="3" applyNumberFormat="1" applyFont="1" applyFill="1" applyBorder="1" applyAlignment="1">
      <alignment vertical="center" wrapText="1"/>
    </xf>
    <xf numFmtId="0" fontId="2" fillId="7" borderId="7" xfId="3" applyFont="1" applyFill="1" applyBorder="1" applyAlignment="1">
      <alignment horizontal="center" vertical="center" wrapText="1"/>
    </xf>
    <xf numFmtId="0" fontId="2" fillId="7" borderId="2" xfId="3" applyFont="1" applyFill="1" applyBorder="1" applyAlignment="1">
      <alignment vertical="center"/>
    </xf>
    <xf numFmtId="17" fontId="1" fillId="5" borderId="3" xfId="3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horizontal="left" vertical="center" wrapText="1"/>
    </xf>
    <xf numFmtId="17" fontId="1" fillId="6" borderId="3" xfId="3" applyNumberFormat="1" applyFont="1" applyFill="1" applyBorder="1" applyAlignment="1">
      <alignment vertical="center" wrapText="1"/>
    </xf>
    <xf numFmtId="0" fontId="0" fillId="6" borderId="4" xfId="0" applyFill="1" applyBorder="1" applyAlignment="1">
      <alignment wrapText="1"/>
    </xf>
    <xf numFmtId="0" fontId="1" fillId="6" borderId="4" xfId="3" applyFont="1" applyFill="1" applyBorder="1" applyAlignment="1">
      <alignment vertical="center" wrapText="1"/>
    </xf>
    <xf numFmtId="0" fontId="0" fillId="5" borderId="4" xfId="0" applyFill="1" applyBorder="1" applyAlignment="1">
      <alignment horizontal="left" vertical="center"/>
    </xf>
    <xf numFmtId="17" fontId="0" fillId="5" borderId="3" xfId="3" applyNumberFormat="1" applyFont="1" applyFill="1" applyBorder="1" applyAlignment="1">
      <alignment vertical="center" wrapText="1"/>
    </xf>
    <xf numFmtId="0" fontId="0" fillId="6" borderId="4" xfId="0" applyFill="1" applyBorder="1" applyAlignment="1">
      <alignment horizontal="left" vertical="center" wrapText="1"/>
    </xf>
    <xf numFmtId="17" fontId="1" fillId="2" borderId="3" xfId="3" applyNumberFormat="1" applyFont="1" applyFill="1" applyBorder="1" applyAlignment="1">
      <alignment vertical="center" wrapText="1"/>
    </xf>
    <xf numFmtId="0" fontId="1" fillId="2" borderId="4" xfId="3" applyFont="1" applyFill="1" applyBorder="1" applyAlignment="1">
      <alignment vertical="center"/>
    </xf>
    <xf numFmtId="0" fontId="1" fillId="5" borderId="4" xfId="3" applyFont="1" applyFill="1" applyBorder="1" applyAlignment="1">
      <alignment vertical="center"/>
    </xf>
    <xf numFmtId="17" fontId="1" fillId="6" borderId="5" xfId="3" applyNumberFormat="1" applyFont="1" applyFill="1" applyBorder="1" applyAlignment="1">
      <alignment vertical="center" wrapText="1"/>
    </xf>
    <xf numFmtId="0" fontId="5" fillId="6" borderId="9" xfId="3" applyFont="1" applyFill="1" applyBorder="1" applyAlignment="1">
      <alignment vertical="center"/>
    </xf>
    <xf numFmtId="17" fontId="1" fillId="6" borderId="9" xfId="3" applyNumberFormat="1" applyFont="1" applyFill="1" applyBorder="1" applyAlignment="1">
      <alignment horizontal="left" vertical="center" wrapText="1"/>
    </xf>
    <xf numFmtId="10" fontId="1" fillId="6" borderId="9" xfId="3" applyNumberFormat="1" applyFont="1" applyFill="1" applyBorder="1" applyAlignment="1">
      <alignment horizontal="center" vertical="center" wrapText="1"/>
    </xf>
    <xf numFmtId="2" fontId="1" fillId="6" borderId="9" xfId="3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7" fontId="2" fillId="0" borderId="9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7" fontId="1" fillId="0" borderId="0" xfId="3" applyNumberFormat="1" applyFont="1" applyAlignment="1">
      <alignment vertical="center" wrapText="1"/>
    </xf>
    <xf numFmtId="0" fontId="5" fillId="0" borderId="0" xfId="3" applyFont="1" applyAlignment="1">
      <alignment vertical="center"/>
    </xf>
    <xf numFmtId="17" fontId="1" fillId="0" borderId="0" xfId="3" applyNumberFormat="1" applyFont="1" applyAlignment="1">
      <alignment horizontal="left" vertical="center" wrapText="1"/>
    </xf>
    <xf numFmtId="10" fontId="1" fillId="0" borderId="0" xfId="3" applyNumberFormat="1" applyFont="1" applyAlignment="1">
      <alignment horizontal="center" vertical="center" wrapText="1"/>
    </xf>
    <xf numFmtId="2" fontId="1" fillId="0" borderId="0" xfId="3" applyNumberFormat="1" applyFont="1" applyAlignment="1">
      <alignment horizontal="center" vertical="center" wrapText="1"/>
    </xf>
    <xf numFmtId="17" fontId="2" fillId="7" borderId="16" xfId="3" applyNumberFormat="1" applyFont="1" applyFill="1" applyBorder="1" applyAlignment="1">
      <alignment vertical="center" wrapText="1"/>
    </xf>
    <xf numFmtId="17" fontId="2" fillId="7" borderId="17" xfId="3" applyNumberFormat="1" applyFont="1" applyFill="1" applyBorder="1" applyAlignment="1">
      <alignment vertical="center" wrapText="1"/>
    </xf>
    <xf numFmtId="17" fontId="2" fillId="7" borderId="18" xfId="3" applyNumberFormat="1" applyFont="1" applyFill="1" applyBorder="1" applyAlignment="1">
      <alignment vertical="center" wrapText="1"/>
    </xf>
    <xf numFmtId="0" fontId="5" fillId="2" borderId="8" xfId="3" applyFont="1" applyFill="1" applyBorder="1" applyAlignment="1">
      <alignment vertical="center"/>
    </xf>
    <xf numFmtId="17" fontId="1" fillId="2" borderId="8" xfId="3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3" applyFont="1" applyAlignment="1">
      <alignment horizontal="center" vertical="center"/>
    </xf>
    <xf numFmtId="17" fontId="1" fillId="5" borderId="8" xfId="3" applyNumberFormat="1" applyFont="1" applyFill="1" applyBorder="1" applyAlignment="1">
      <alignment vertical="center" wrapText="1"/>
    </xf>
    <xf numFmtId="165" fontId="1" fillId="5" borderId="4" xfId="3" applyNumberFormat="1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vertical="center" wrapText="1"/>
    </xf>
    <xf numFmtId="171" fontId="1" fillId="2" borderId="4" xfId="3" applyNumberFormat="1" applyFont="1" applyFill="1" applyBorder="1" applyAlignment="1">
      <alignment horizontal="center" vertical="center" wrapText="1"/>
    </xf>
    <xf numFmtId="0" fontId="1" fillId="2" borderId="4" xfId="3" applyFont="1" applyFill="1" applyBorder="1" applyAlignment="1">
      <alignment horizontal="center" vertical="center" wrapText="1"/>
    </xf>
    <xf numFmtId="172" fontId="1" fillId="0" borderId="0" xfId="3" applyNumberFormat="1" applyFont="1" applyAlignment="1">
      <alignment horizontal="center" vertical="center"/>
    </xf>
    <xf numFmtId="17" fontId="11" fillId="2" borderId="5" xfId="3" applyNumberFormat="1" applyFont="1" applyFill="1" applyBorder="1" applyAlignment="1">
      <alignment vertical="center" wrapText="1"/>
    </xf>
    <xf numFmtId="171" fontId="1" fillId="2" borderId="6" xfId="3" applyNumberFormat="1" applyFont="1" applyFill="1" applyBorder="1" applyAlignment="1">
      <alignment horizontal="center" vertical="center" wrapText="1"/>
    </xf>
    <xf numFmtId="17" fontId="1" fillId="2" borderId="9" xfId="3" applyNumberFormat="1" applyFont="1" applyFill="1" applyBorder="1" applyAlignment="1">
      <alignment horizontal="left" vertical="center" wrapText="1"/>
    </xf>
    <xf numFmtId="173" fontId="1" fillId="0" borderId="0" xfId="3" applyNumberFormat="1" applyFont="1" applyAlignment="1">
      <alignment horizontal="center" vertical="center"/>
    </xf>
    <xf numFmtId="171" fontId="1" fillId="2" borderId="8" xfId="3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left" vertical="center" wrapText="1"/>
    </xf>
    <xf numFmtId="165" fontId="1" fillId="2" borderId="4" xfId="3" applyNumberFormat="1" applyFont="1" applyFill="1" applyBorder="1" applyAlignment="1">
      <alignment horizontal="center" vertical="center" wrapText="1"/>
    </xf>
    <xf numFmtId="0" fontId="5" fillId="5" borderId="0" xfId="3" applyFont="1" applyFill="1" applyAlignment="1">
      <alignment vertical="center"/>
    </xf>
    <xf numFmtId="17" fontId="1" fillId="2" borderId="9" xfId="3" applyNumberFormat="1" applyFont="1" applyFill="1" applyBorder="1" applyAlignment="1">
      <alignment vertical="center" wrapText="1"/>
    </xf>
    <xf numFmtId="37" fontId="2" fillId="0" borderId="0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3" fontId="0" fillId="0" borderId="9" xfId="2" applyNumberFormat="1" applyFont="1" applyBorder="1" applyAlignment="1">
      <alignment horizontal="center" vertical="center"/>
    </xf>
    <xf numFmtId="164" fontId="1" fillId="6" borderId="8" xfId="3" applyNumberFormat="1" applyFont="1" applyFill="1" applyBorder="1" applyAlignment="1">
      <alignment horizontal="center" vertical="center" wrapText="1"/>
    </xf>
    <xf numFmtId="3" fontId="2" fillId="0" borderId="9" xfId="2" applyNumberFormat="1" applyFont="1" applyBorder="1" applyAlignment="1">
      <alignment horizontal="center" vertical="center"/>
    </xf>
    <xf numFmtId="3" fontId="1" fillId="0" borderId="0" xfId="3" applyNumberFormat="1" applyFont="1" applyAlignment="1">
      <alignment vertical="center"/>
    </xf>
    <xf numFmtId="4" fontId="1" fillId="0" borderId="0" xfId="3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0" fillId="0" borderId="4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169" fontId="0" fillId="0" borderId="6" xfId="0" applyNumberFormat="1" applyBorder="1" applyAlignment="1">
      <alignment horizontal="left" vertical="center"/>
    </xf>
    <xf numFmtId="37" fontId="2" fillId="0" borderId="14" xfId="1" applyNumberFormat="1" applyFont="1" applyFill="1" applyBorder="1" applyAlignment="1">
      <alignment horizontal="center" vertical="center"/>
    </xf>
    <xf numFmtId="37" fontId="2" fillId="0" borderId="15" xfId="1" applyNumberFormat="1" applyFont="1" applyFill="1" applyBorder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17" fontId="8" fillId="0" borderId="0" xfId="3" applyNumberFormat="1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6">
    <cellStyle name="Comma" xfId="1" builtinId="3"/>
    <cellStyle name="Comma 2" xfId="4" xr:uid="{05494643-0E38-4645-8802-EC862954A3EF}"/>
    <cellStyle name="Normal" xfId="0" builtinId="0"/>
    <cellStyle name="Normal 16" xfId="5" xr:uid="{799FAF2E-A3BB-44F9-8650-BA8524DFDC13}"/>
    <cellStyle name="Normal 2" xfId="3" xr:uid="{EF23D4A3-DC12-4E7D-99C2-CB4DD11ADBB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1235089</xdr:colOff>
      <xdr:row>7</xdr:row>
      <xdr:rowOff>74675</xdr:rowOff>
    </xdr:from>
    <xdr:to>
      <xdr:col>16</xdr:col>
      <xdr:colOff>185854</xdr:colOff>
      <xdr:row>8</xdr:row>
      <xdr:rowOff>903861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17FB71-66FB-4745-9BFC-0F7E87FD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0769" y="1812035"/>
          <a:ext cx="10195655" cy="1377827"/>
        </a:xfrm>
        <a:prstGeom prst="rect">
          <a:avLst/>
        </a:prstGeom>
      </xdr:spPr>
    </xdr:pic>
    <xdr:clientData/>
  </xdr:twoCellAnchor>
  <xdr:twoCellAnchor editAs="oneCell">
    <xdr:from>
      <xdr:col>7</xdr:col>
      <xdr:colOff>27988</xdr:colOff>
      <xdr:row>8</xdr:row>
      <xdr:rowOff>789139</xdr:rowOff>
    </xdr:from>
    <xdr:to>
      <xdr:col>9</xdr:col>
      <xdr:colOff>947853</xdr:colOff>
      <xdr:row>12</xdr:row>
      <xdr:rowOff>30045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BBD419-D0B8-4417-ACAE-328809DB4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3348" y="3075139"/>
          <a:ext cx="4127885" cy="1031606"/>
        </a:xfrm>
        <a:prstGeom prst="rect">
          <a:avLst/>
        </a:prstGeom>
      </xdr:spPr>
    </xdr:pic>
    <xdr:clientData/>
  </xdr:twoCellAnchor>
  <xdr:twoCellAnchor editAs="oneCell">
    <xdr:from>
      <xdr:col>6</xdr:col>
      <xdr:colOff>1243370</xdr:colOff>
      <xdr:row>12</xdr:row>
      <xdr:rowOff>116941</xdr:rowOff>
    </xdr:from>
    <xdr:to>
      <xdr:col>11</xdr:col>
      <xdr:colOff>343831</xdr:colOff>
      <xdr:row>15</xdr:row>
      <xdr:rowOff>145983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6BCB48-8358-42BD-B11A-5C0BBC8DD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9050" y="4193641"/>
          <a:ext cx="5988941" cy="1172042"/>
        </a:xfrm>
        <a:prstGeom prst="rect">
          <a:avLst/>
        </a:prstGeom>
      </xdr:spPr>
    </xdr:pic>
    <xdr:clientData/>
  </xdr:twoCellAnchor>
  <xdr:twoCellAnchor editAs="oneCell">
    <xdr:from>
      <xdr:col>6</xdr:col>
      <xdr:colOff>1222538</xdr:colOff>
      <xdr:row>15</xdr:row>
      <xdr:rowOff>180570</xdr:rowOff>
    </xdr:from>
    <xdr:to>
      <xdr:col>12</xdr:col>
      <xdr:colOff>882805</xdr:colOff>
      <xdr:row>16</xdr:row>
      <xdr:rowOff>353122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A10D97-1406-401D-A169-0666158C3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78218" y="5400270"/>
          <a:ext cx="7122663" cy="545931"/>
        </a:xfrm>
        <a:prstGeom prst="rect">
          <a:avLst/>
        </a:prstGeom>
      </xdr:spPr>
    </xdr:pic>
    <xdr:clientData/>
  </xdr:twoCellAnchor>
  <xdr:twoCellAnchor editAs="oneCell">
    <xdr:from>
      <xdr:col>6</xdr:col>
      <xdr:colOff>1230025</xdr:colOff>
      <xdr:row>17</xdr:row>
      <xdr:rowOff>13933</xdr:rowOff>
    </xdr:from>
    <xdr:to>
      <xdr:col>12</xdr:col>
      <xdr:colOff>648474</xdr:colOff>
      <xdr:row>19</xdr:row>
      <xdr:rowOff>347487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771B72-0802-47F1-8C64-398669C95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5705" y="5972773"/>
          <a:ext cx="6885491" cy="897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1201934</xdr:colOff>
      <xdr:row>19</xdr:row>
      <xdr:rowOff>272196</xdr:rowOff>
    </xdr:from>
    <xdr:to>
      <xdr:col>17</xdr:col>
      <xdr:colOff>522088</xdr:colOff>
      <xdr:row>23</xdr:row>
      <xdr:rowOff>904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205133-156A-44E5-BF91-2F3F441A8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57614" y="6794916"/>
          <a:ext cx="11509924" cy="825987"/>
        </a:xfrm>
        <a:prstGeom prst="rect">
          <a:avLst/>
        </a:prstGeom>
      </xdr:spPr>
    </xdr:pic>
    <xdr:clientData/>
  </xdr:twoCellAnchor>
  <xdr:twoCellAnchor editAs="oneCell">
    <xdr:from>
      <xdr:col>6</xdr:col>
      <xdr:colOff>1242131</xdr:colOff>
      <xdr:row>23</xdr:row>
      <xdr:rowOff>16057</xdr:rowOff>
    </xdr:from>
    <xdr:to>
      <xdr:col>13</xdr:col>
      <xdr:colOff>485477</xdr:colOff>
      <xdr:row>26</xdr:row>
      <xdr:rowOff>56246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14043F-AA35-4288-BD20-54660371C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7811" y="7636057"/>
          <a:ext cx="7653596" cy="962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F00A-FCBD-4950-8413-FD19CE3D4E64}">
  <dimension ref="A1:B10"/>
  <sheetViews>
    <sheetView tabSelected="1" workbookViewId="0">
      <selection activeCell="B14" sqref="B14"/>
    </sheetView>
  </sheetViews>
  <sheetFormatPr defaultRowHeight="14.4" x14ac:dyDescent="0.3"/>
  <cols>
    <col min="1" max="1" width="30.44140625" style="59" bestFit="1" customWidth="1"/>
    <col min="2" max="2" width="76" customWidth="1"/>
  </cols>
  <sheetData>
    <row r="1" spans="1:2" x14ac:dyDescent="0.3">
      <c r="A1" s="28" t="s">
        <v>60</v>
      </c>
      <c r="B1" s="52" t="s">
        <v>81</v>
      </c>
    </row>
    <row r="2" spans="1:2" x14ac:dyDescent="0.3">
      <c r="A2" s="29" t="s">
        <v>61</v>
      </c>
      <c r="B2" s="53">
        <v>2673</v>
      </c>
    </row>
    <row r="3" spans="1:2" x14ac:dyDescent="0.3">
      <c r="A3" s="29" t="s">
        <v>53</v>
      </c>
      <c r="B3" s="54" t="s">
        <v>80</v>
      </c>
    </row>
    <row r="4" spans="1:2" x14ac:dyDescent="0.3">
      <c r="A4" s="56" t="s">
        <v>0</v>
      </c>
      <c r="B4" s="26" t="s">
        <v>62</v>
      </c>
    </row>
    <row r="5" spans="1:2" x14ac:dyDescent="0.3">
      <c r="A5" s="56" t="s">
        <v>54</v>
      </c>
      <c r="B5" s="50" t="s">
        <v>79</v>
      </c>
    </row>
    <row r="6" spans="1:2" x14ac:dyDescent="0.3">
      <c r="A6" s="56" t="s">
        <v>55</v>
      </c>
      <c r="B6" s="30"/>
    </row>
    <row r="7" spans="1:2" x14ac:dyDescent="0.3">
      <c r="A7" s="57" t="s">
        <v>56</v>
      </c>
      <c r="B7" s="31">
        <v>44688</v>
      </c>
    </row>
    <row r="8" spans="1:2" x14ac:dyDescent="0.3">
      <c r="A8" s="57" t="s">
        <v>57</v>
      </c>
      <c r="B8" s="31">
        <v>47244</v>
      </c>
    </row>
    <row r="9" spans="1:2" x14ac:dyDescent="0.3">
      <c r="A9" s="56" t="s">
        <v>58</v>
      </c>
      <c r="B9" s="27">
        <v>4</v>
      </c>
    </row>
    <row r="10" spans="1:2" ht="15" thickBot="1" x14ac:dyDescent="0.35">
      <c r="A10" s="58" t="s">
        <v>59</v>
      </c>
      <c r="B10" s="133">
        <v>46036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244D-E712-48A6-8993-2B6F2619824A}">
  <dimension ref="A1:L44"/>
  <sheetViews>
    <sheetView topLeftCell="C20" zoomScale="82" workbookViewId="0">
      <selection activeCell="I29" sqref="I29"/>
    </sheetView>
  </sheetViews>
  <sheetFormatPr defaultColWidth="13.77734375" defaultRowHeight="14.4" x14ac:dyDescent="0.3"/>
  <cols>
    <col min="1" max="1" width="56.21875" style="5" customWidth="1"/>
    <col min="2" max="2" width="29.5546875" style="5" customWidth="1"/>
    <col min="3" max="3" width="15.77734375" style="5" customWidth="1"/>
    <col min="4" max="4" width="13.109375" style="8" bestFit="1" customWidth="1"/>
    <col min="5" max="5" width="15.44140625" style="8" customWidth="1"/>
    <col min="6" max="6" width="32.5546875" style="5" customWidth="1"/>
    <col min="7" max="7" width="18.21875" style="5" customWidth="1"/>
    <col min="8" max="8" width="25.88671875" style="61" customWidth="1"/>
    <col min="9" max="9" width="20.88671875" style="61" customWidth="1"/>
    <col min="10" max="10" width="17.21875" style="61" customWidth="1"/>
    <col min="11" max="11" width="18.21875" style="5" customWidth="1"/>
    <col min="12" max="12" width="8.33203125" style="5" customWidth="1"/>
    <col min="13" max="16384" width="13.77734375" style="5"/>
  </cols>
  <sheetData>
    <row r="1" spans="1:12" ht="15" thickBot="1" x14ac:dyDescent="0.35">
      <c r="A1" s="1"/>
      <c r="B1" s="1"/>
      <c r="C1" s="2"/>
      <c r="D1" s="3"/>
      <c r="E1" s="3"/>
      <c r="F1" s="4"/>
      <c r="G1" s="4"/>
      <c r="H1" s="60"/>
      <c r="I1" s="60"/>
      <c r="J1" s="60"/>
      <c r="K1" s="4"/>
    </row>
    <row r="2" spans="1:12" ht="15.6" x14ac:dyDescent="0.3">
      <c r="A2" s="1"/>
      <c r="B2" s="1"/>
      <c r="C2" s="2"/>
      <c r="D2" s="3"/>
      <c r="E2" s="3"/>
      <c r="F2" s="4"/>
      <c r="G2" s="46" t="s">
        <v>68</v>
      </c>
      <c r="H2" s="60"/>
      <c r="I2" s="60"/>
      <c r="J2" s="60"/>
      <c r="K2" s="4"/>
    </row>
    <row r="3" spans="1:12" ht="15.6" x14ac:dyDescent="0.3">
      <c r="A3" s="1"/>
      <c r="B3" s="1"/>
      <c r="C3" s="2"/>
      <c r="D3" s="3"/>
      <c r="E3" s="55"/>
      <c r="F3" s="4"/>
      <c r="G3" s="47" t="s">
        <v>67</v>
      </c>
      <c r="H3" s="60"/>
      <c r="I3" s="60"/>
      <c r="J3" s="60"/>
      <c r="K3" s="4"/>
    </row>
    <row r="4" spans="1:12" ht="16.2" thickBot="1" x14ac:dyDescent="0.35">
      <c r="A4" s="1" t="s">
        <v>36</v>
      </c>
      <c r="B4" s="1"/>
      <c r="C4" s="2"/>
      <c r="D4" s="3"/>
      <c r="E4" s="3"/>
      <c r="F4" s="4"/>
      <c r="G4" s="48" t="s">
        <v>64</v>
      </c>
      <c r="H4" s="60"/>
      <c r="I4" s="60"/>
      <c r="J4" s="60"/>
      <c r="K4" s="4"/>
    </row>
    <row r="5" spans="1:12" ht="30.45" customHeight="1" x14ac:dyDescent="0.3">
      <c r="A5" s="66" t="s">
        <v>0</v>
      </c>
      <c r="B5" s="67" t="s">
        <v>1</v>
      </c>
      <c r="C5" s="67" t="s">
        <v>2</v>
      </c>
      <c r="D5" s="68" t="s">
        <v>33</v>
      </c>
      <c r="E5" s="68" t="s">
        <v>63</v>
      </c>
      <c r="F5" s="69" t="s">
        <v>3</v>
      </c>
    </row>
    <row r="6" spans="1:12" ht="28.8" x14ac:dyDescent="0.3">
      <c r="A6" s="70" t="s">
        <v>4</v>
      </c>
      <c r="B6" s="32" t="s">
        <v>5</v>
      </c>
      <c r="C6" s="33" t="s">
        <v>85</v>
      </c>
      <c r="D6" s="34">
        <v>3.64</v>
      </c>
      <c r="E6" s="34" t="s">
        <v>64</v>
      </c>
      <c r="F6" s="71" t="s">
        <v>106</v>
      </c>
      <c r="H6" s="136" t="s">
        <v>84</v>
      </c>
      <c r="I6" s="136"/>
      <c r="J6" s="136"/>
      <c r="K6" s="136"/>
      <c r="L6" s="136"/>
    </row>
    <row r="7" spans="1:12" ht="28.8" x14ac:dyDescent="0.3">
      <c r="A7" s="72" t="s">
        <v>18</v>
      </c>
      <c r="B7" s="40" t="s">
        <v>19</v>
      </c>
      <c r="C7" s="49" t="s">
        <v>85</v>
      </c>
      <c r="D7" s="125">
        <f>(D6*0.45)*D16/D17</f>
        <v>1.6380000000000001</v>
      </c>
      <c r="E7" s="42" t="s">
        <v>66</v>
      </c>
      <c r="F7" s="73" t="s">
        <v>82</v>
      </c>
    </row>
    <row r="8" spans="1:12" ht="43.2" x14ac:dyDescent="0.3">
      <c r="A8" s="70" t="s">
        <v>9</v>
      </c>
      <c r="B8" s="32" t="s">
        <v>10</v>
      </c>
      <c r="C8" s="33" t="s">
        <v>8</v>
      </c>
      <c r="D8" s="35">
        <v>0.38</v>
      </c>
      <c r="E8" s="34" t="s">
        <v>64</v>
      </c>
      <c r="F8" s="71" t="s">
        <v>105</v>
      </c>
      <c r="G8" s="4"/>
    </row>
    <row r="9" spans="1:12" ht="79.8" customHeight="1" x14ac:dyDescent="0.3">
      <c r="A9" s="72" t="s">
        <v>6</v>
      </c>
      <c r="B9" s="40" t="s">
        <v>7</v>
      </c>
      <c r="C9" s="41" t="s">
        <v>8</v>
      </c>
      <c r="D9" s="42">
        <v>0.89999999999999991</v>
      </c>
      <c r="E9" s="42" t="s">
        <v>66</v>
      </c>
      <c r="F9" s="74" t="s">
        <v>46</v>
      </c>
      <c r="G9" s="21"/>
    </row>
    <row r="10" spans="1:12" ht="15.6" x14ac:dyDescent="0.3">
      <c r="A10" s="70" t="s">
        <v>11</v>
      </c>
      <c r="B10" s="32" t="s">
        <v>48</v>
      </c>
      <c r="C10" s="33" t="s">
        <v>12</v>
      </c>
      <c r="D10" s="34">
        <v>1.5599999999999999E-2</v>
      </c>
      <c r="E10" s="34" t="s">
        <v>64</v>
      </c>
      <c r="F10" s="75" t="s">
        <v>34</v>
      </c>
    </row>
    <row r="11" spans="1:12" ht="15.6" x14ac:dyDescent="0.3">
      <c r="A11" s="70" t="s">
        <v>47</v>
      </c>
      <c r="B11" s="32" t="s">
        <v>76</v>
      </c>
      <c r="C11" s="33" t="s">
        <v>12</v>
      </c>
      <c r="D11" s="34">
        <v>1.5599999999999999E-2</v>
      </c>
      <c r="E11" s="34" t="s">
        <v>64</v>
      </c>
      <c r="F11" s="75" t="s">
        <v>34</v>
      </c>
    </row>
    <row r="12" spans="1:12" ht="30" x14ac:dyDescent="0.3">
      <c r="A12" s="76" t="s">
        <v>13</v>
      </c>
      <c r="B12" s="32" t="s">
        <v>49</v>
      </c>
      <c r="C12" s="36" t="s">
        <v>14</v>
      </c>
      <c r="D12" s="37">
        <v>112</v>
      </c>
      <c r="E12" s="34" t="s">
        <v>64</v>
      </c>
      <c r="F12" s="75" t="s">
        <v>34</v>
      </c>
    </row>
    <row r="13" spans="1:12" ht="30" x14ac:dyDescent="0.3">
      <c r="A13" s="70" t="s">
        <v>51</v>
      </c>
      <c r="B13" s="32" t="s">
        <v>77</v>
      </c>
      <c r="C13" s="36" t="s">
        <v>14</v>
      </c>
      <c r="D13" s="37">
        <v>112</v>
      </c>
      <c r="E13" s="34" t="s">
        <v>64</v>
      </c>
      <c r="F13" s="75" t="s">
        <v>34</v>
      </c>
    </row>
    <row r="14" spans="1:12" ht="30" x14ac:dyDescent="0.3">
      <c r="A14" s="76" t="s">
        <v>15</v>
      </c>
      <c r="B14" s="32" t="s">
        <v>50</v>
      </c>
      <c r="C14" s="36" t="s">
        <v>14</v>
      </c>
      <c r="D14" s="38">
        <v>9.4600000000000009</v>
      </c>
      <c r="E14" s="34" t="s">
        <v>64</v>
      </c>
      <c r="F14" s="75" t="s">
        <v>34</v>
      </c>
    </row>
    <row r="15" spans="1:12" ht="30" x14ac:dyDescent="0.3">
      <c r="A15" s="70" t="s">
        <v>52</v>
      </c>
      <c r="B15" s="32" t="s">
        <v>75</v>
      </c>
      <c r="C15" s="36" t="s">
        <v>14</v>
      </c>
      <c r="D15" s="38">
        <v>9.4600000000000009</v>
      </c>
      <c r="E15" s="34" t="s">
        <v>64</v>
      </c>
      <c r="F15" s="75" t="s">
        <v>34</v>
      </c>
    </row>
    <row r="16" spans="1:12" ht="29.4" customHeight="1" x14ac:dyDescent="0.3">
      <c r="A16" s="70" t="s">
        <v>72</v>
      </c>
      <c r="B16" s="32" t="s">
        <v>69</v>
      </c>
      <c r="C16" s="36" t="s">
        <v>70</v>
      </c>
      <c r="D16" s="38">
        <v>4.6399999999999997</v>
      </c>
      <c r="E16" s="34" t="s">
        <v>64</v>
      </c>
      <c r="F16" s="75" t="s">
        <v>71</v>
      </c>
    </row>
    <row r="17" spans="1:11" ht="28.8" x14ac:dyDescent="0.3">
      <c r="A17" s="72" t="s">
        <v>73</v>
      </c>
      <c r="B17" s="40" t="s">
        <v>74</v>
      </c>
      <c r="C17" s="49" t="s">
        <v>70</v>
      </c>
      <c r="D17" s="42">
        <v>4.6399999999999997</v>
      </c>
      <c r="E17" s="42" t="s">
        <v>66</v>
      </c>
      <c r="F17" s="77" t="s">
        <v>78</v>
      </c>
    </row>
    <row r="18" spans="1:11" ht="15.6" x14ac:dyDescent="0.3">
      <c r="A18" s="78" t="s">
        <v>16</v>
      </c>
      <c r="B18" s="43" t="s">
        <v>17</v>
      </c>
      <c r="C18" s="44" t="s">
        <v>94</v>
      </c>
      <c r="D18" s="113">
        <f>D6*D10</f>
        <v>5.6784000000000001E-2</v>
      </c>
      <c r="E18" s="45" t="s">
        <v>67</v>
      </c>
      <c r="F18" s="79" t="s">
        <v>43</v>
      </c>
    </row>
    <row r="19" spans="1:11" ht="28.8" x14ac:dyDescent="0.3">
      <c r="A19" s="70" t="s">
        <v>35</v>
      </c>
      <c r="B19" s="39" t="s">
        <v>22</v>
      </c>
      <c r="C19" s="33" t="s">
        <v>8</v>
      </c>
      <c r="D19" s="51">
        <v>0.16500000000000001</v>
      </c>
      <c r="E19" s="34" t="s">
        <v>64</v>
      </c>
      <c r="F19" s="80" t="s">
        <v>42</v>
      </c>
    </row>
    <row r="20" spans="1:11" ht="29.4" thickBot="1" x14ac:dyDescent="0.35">
      <c r="A20" s="81" t="s">
        <v>20</v>
      </c>
      <c r="B20" s="82" t="s">
        <v>21</v>
      </c>
      <c r="C20" s="83" t="s">
        <v>8</v>
      </c>
      <c r="D20" s="84">
        <v>0.379</v>
      </c>
      <c r="E20" s="85" t="s">
        <v>66</v>
      </c>
      <c r="F20" s="116" t="s">
        <v>95</v>
      </c>
    </row>
    <row r="21" spans="1:11" ht="19.2" customHeight="1" thickBot="1" x14ac:dyDescent="0.35">
      <c r="A21" s="91"/>
      <c r="B21" s="92"/>
      <c r="C21" s="93"/>
      <c r="D21" s="94"/>
      <c r="E21" s="95"/>
    </row>
    <row r="22" spans="1:11" ht="21" customHeight="1" x14ac:dyDescent="0.3">
      <c r="A22" s="96" t="s">
        <v>87</v>
      </c>
      <c r="B22" s="97"/>
      <c r="C22" s="97"/>
      <c r="D22" s="98"/>
      <c r="F22" s="8"/>
      <c r="H22" s="5"/>
      <c r="I22" s="5"/>
      <c r="J22" s="5"/>
    </row>
    <row r="23" spans="1:11" ht="16.8" x14ac:dyDescent="0.3">
      <c r="A23" s="78" t="s">
        <v>20</v>
      </c>
      <c r="B23" s="99" t="s">
        <v>21</v>
      </c>
      <c r="C23" s="100" t="s">
        <v>8</v>
      </c>
      <c r="D23" s="117">
        <f>D20</f>
        <v>0.379</v>
      </c>
      <c r="E23" s="101"/>
      <c r="F23" s="102"/>
      <c r="H23" s="5"/>
      <c r="I23" s="5"/>
      <c r="J23" s="5"/>
    </row>
    <row r="24" spans="1:11" ht="28.8" x14ac:dyDescent="0.3">
      <c r="A24" s="70" t="s">
        <v>35</v>
      </c>
      <c r="B24" s="118" t="s">
        <v>22</v>
      </c>
      <c r="C24" s="103" t="s">
        <v>8</v>
      </c>
      <c r="D24" s="104">
        <f>D19</f>
        <v>0.16500000000000001</v>
      </c>
      <c r="F24" s="8"/>
      <c r="H24" s="5"/>
      <c r="I24" s="5"/>
      <c r="J24" s="5"/>
    </row>
    <row r="25" spans="1:11" ht="15" customHeight="1" x14ac:dyDescent="0.3">
      <c r="A25" s="105" t="s">
        <v>88</v>
      </c>
      <c r="B25" s="43" t="s">
        <v>89</v>
      </c>
      <c r="C25" s="100" t="s">
        <v>94</v>
      </c>
      <c r="D25" s="106">
        <f>D7*D11</f>
        <v>2.5552800000000001E-2</v>
      </c>
      <c r="F25" s="112"/>
      <c r="H25" s="5"/>
      <c r="I25" s="5"/>
      <c r="J25" s="5"/>
    </row>
    <row r="26" spans="1:11" ht="28.8" x14ac:dyDescent="0.3">
      <c r="A26" s="105" t="s">
        <v>90</v>
      </c>
      <c r="B26" s="43" t="s">
        <v>91</v>
      </c>
      <c r="C26" s="100" t="s">
        <v>94</v>
      </c>
      <c r="D26" s="106">
        <f>D25*D23/D24</f>
        <v>5.8694007272727278E-2</v>
      </c>
      <c r="F26" s="8"/>
      <c r="H26" s="5"/>
      <c r="I26" s="5"/>
      <c r="J26" s="5"/>
    </row>
    <row r="27" spans="1:11" x14ac:dyDescent="0.3">
      <c r="A27" s="78" t="s">
        <v>92</v>
      </c>
      <c r="B27" s="44" t="s">
        <v>41</v>
      </c>
      <c r="C27" s="44" t="s">
        <v>41</v>
      </c>
      <c r="D27" s="107" t="b">
        <f>D18&gt;D26</f>
        <v>0</v>
      </c>
      <c r="E27" s="108"/>
      <c r="F27" s="8"/>
      <c r="H27" s="5"/>
      <c r="I27" s="5"/>
      <c r="J27" s="5"/>
    </row>
    <row r="28" spans="1:11" ht="15" thickBot="1" x14ac:dyDescent="0.35">
      <c r="A28" s="109" t="s">
        <v>93</v>
      </c>
      <c r="B28" s="111" t="s">
        <v>41</v>
      </c>
      <c r="C28" s="119" t="s">
        <v>94</v>
      </c>
      <c r="D28" s="110">
        <f>IF(D18&gt;D26,D26,D18)</f>
        <v>5.6784000000000001E-2</v>
      </c>
      <c r="F28" s="8"/>
      <c r="H28" s="5"/>
      <c r="I28" s="5"/>
      <c r="J28" s="5"/>
    </row>
    <row r="29" spans="1:11" ht="19.2" customHeight="1" x14ac:dyDescent="0.3">
      <c r="A29" s="91"/>
      <c r="B29" s="92"/>
      <c r="C29" s="93"/>
      <c r="D29" s="94"/>
      <c r="E29" s="95"/>
    </row>
    <row r="30" spans="1:11" ht="15.6" customHeight="1" thickBot="1" x14ac:dyDescent="0.35">
      <c r="A30" s="137"/>
      <c r="B30" s="137"/>
      <c r="C30" s="137"/>
      <c r="D30" s="137"/>
      <c r="E30" s="18"/>
      <c r="G30" s="127"/>
      <c r="J30" s="128"/>
    </row>
    <row r="31" spans="1:11" s="19" customFormat="1" ht="41.4" customHeight="1" x14ac:dyDescent="0.3">
      <c r="A31" s="138" t="s">
        <v>37</v>
      </c>
      <c r="B31" s="139"/>
      <c r="C31" s="114" t="s">
        <v>65</v>
      </c>
      <c r="D31" s="114" t="s">
        <v>83</v>
      </c>
      <c r="E31" s="140" t="s">
        <v>104</v>
      </c>
      <c r="F31" s="139" t="s">
        <v>96</v>
      </c>
      <c r="G31" s="114" t="s">
        <v>86</v>
      </c>
      <c r="H31" s="114" t="s">
        <v>99</v>
      </c>
      <c r="I31" s="114" t="s">
        <v>100</v>
      </c>
      <c r="J31" s="114" t="s">
        <v>101</v>
      </c>
      <c r="K31" s="130" t="s">
        <v>98</v>
      </c>
    </row>
    <row r="32" spans="1:11" s="19" customFormat="1" ht="41.4" customHeight="1" x14ac:dyDescent="0.3">
      <c r="A32" s="62" t="s">
        <v>44</v>
      </c>
      <c r="B32" s="23" t="s">
        <v>45</v>
      </c>
      <c r="C32" s="115" t="s">
        <v>102</v>
      </c>
      <c r="D32" s="121" t="s">
        <v>103</v>
      </c>
      <c r="E32" s="141"/>
      <c r="F32" s="142"/>
      <c r="G32" s="115" t="s">
        <v>97</v>
      </c>
      <c r="H32" s="115" t="s">
        <v>97</v>
      </c>
      <c r="I32" s="115" t="s">
        <v>97</v>
      </c>
      <c r="J32" s="115" t="s">
        <v>97</v>
      </c>
      <c r="K32" s="123" t="s">
        <v>97</v>
      </c>
    </row>
    <row r="33" spans="1:12" s="19" customFormat="1" x14ac:dyDescent="0.3">
      <c r="A33" s="63">
        <v>44688</v>
      </c>
      <c r="B33" s="24">
        <v>44926</v>
      </c>
      <c r="C33" s="13">
        <f>'Yearwise ICS Distribution'!B3</f>
        <v>75000</v>
      </c>
      <c r="D33" s="25">
        <f>$D$9</f>
        <v>0.89999999999999991</v>
      </c>
      <c r="E33" s="15">
        <f>C33</f>
        <v>75000</v>
      </c>
      <c r="F33" s="20">
        <f>0.5*(_xlfn.DAYS(B33,A33-1)/365)</f>
        <v>0.32739726027397259</v>
      </c>
      <c r="G33" s="15">
        <f>$D$28*$E33*$D33*F33*($D$12*$D$8+$D$14)</f>
        <v>65279.248106301362</v>
      </c>
      <c r="H33" s="22">
        <f>$D$7*$E33*$D$11*$D33*F33*($D$13*$D$8+$D$15)</f>
        <v>29375.661647835615</v>
      </c>
      <c r="I33" s="22">
        <v>0</v>
      </c>
      <c r="J33" s="22">
        <f>H33+I33</f>
        <v>29375.661647835615</v>
      </c>
      <c r="K33" s="131">
        <f>(G33-J33)*0.95</f>
        <v>34108.40713554246</v>
      </c>
    </row>
    <row r="34" spans="1:12" s="19" customFormat="1" x14ac:dyDescent="0.3">
      <c r="A34" s="63">
        <v>44927</v>
      </c>
      <c r="B34" s="24">
        <v>45291</v>
      </c>
      <c r="C34" s="13">
        <f>'Yearwise ICS Distribution'!B4</f>
        <v>175000</v>
      </c>
      <c r="D34" s="25">
        <f t="shared" ref="D34:D40" si="0">$D$9</f>
        <v>0.89999999999999991</v>
      </c>
      <c r="E34" s="15">
        <f>SUM(C33)+C34</f>
        <v>250000</v>
      </c>
      <c r="F34" s="20">
        <f>((C33*1)+(C34*0.5))/(C33+C34)*(_xlfn.DAYS(B34,A34-1)/365)</f>
        <v>0.65</v>
      </c>
      <c r="G34" s="15">
        <f t="shared" ref="G34:G40" si="1">$D$28*$E34*$D34*F34*($D$12*$D$8+$D$14)</f>
        <v>432008.41320000001</v>
      </c>
      <c r="H34" s="22">
        <f t="shared" ref="H34:H40" si="2">$D$7*$E34*$D$11*$D34*F34*($D$13*$D$8+$D$15)</f>
        <v>194403.78594000003</v>
      </c>
      <c r="I34" s="22">
        <v>0</v>
      </c>
      <c r="J34" s="22">
        <f t="shared" ref="J34:J41" si="3">H34+I34</f>
        <v>194403.78594000003</v>
      </c>
      <c r="K34" s="131">
        <f t="shared" ref="K34:K40" si="4">(G34-J34)*0.95</f>
        <v>225724.39589699998</v>
      </c>
    </row>
    <row r="35" spans="1:12" s="19" customFormat="1" x14ac:dyDescent="0.3">
      <c r="A35" s="63">
        <v>45292</v>
      </c>
      <c r="B35" s="24">
        <v>45657</v>
      </c>
      <c r="C35" s="13">
        <f>'Yearwise ICS Distribution'!B5</f>
        <v>250000</v>
      </c>
      <c r="D35" s="25">
        <f t="shared" si="0"/>
        <v>0.89999999999999991</v>
      </c>
      <c r="E35" s="15">
        <f>SUM($C$33:C34)+C35</f>
        <v>500000</v>
      </c>
      <c r="F35" s="20">
        <f>((E34*1)+(C35*0.5))/(E34+C35)*(_xlfn.DAYS(B35,A35-1)/366)</f>
        <v>0.75</v>
      </c>
      <c r="G35" s="15">
        <f t="shared" si="1"/>
        <v>996942.49199999997</v>
      </c>
      <c r="H35" s="22">
        <f t="shared" si="2"/>
        <v>448624.1214</v>
      </c>
      <c r="I35" s="22">
        <v>0</v>
      </c>
      <c r="J35" s="22">
        <f t="shared" si="3"/>
        <v>448624.1214</v>
      </c>
      <c r="K35" s="131">
        <f t="shared" si="4"/>
        <v>520902.45207</v>
      </c>
    </row>
    <row r="36" spans="1:12" s="19" customFormat="1" x14ac:dyDescent="0.3">
      <c r="A36" s="63">
        <v>45658</v>
      </c>
      <c r="B36" s="24">
        <v>46022</v>
      </c>
      <c r="C36" s="13">
        <f>'Yearwise ICS Distribution'!B6</f>
        <v>0</v>
      </c>
      <c r="D36" s="25">
        <f t="shared" si="0"/>
        <v>0.89999999999999991</v>
      </c>
      <c r="E36" s="15">
        <f>SUM($C$33:C35)+C36*0.5</f>
        <v>500000</v>
      </c>
      <c r="F36" s="20">
        <f>(_xlfn.DAYS(B36,A36-1)/365)</f>
        <v>1</v>
      </c>
      <c r="G36" s="15">
        <f t="shared" si="1"/>
        <v>1329256.656</v>
      </c>
      <c r="H36" s="22">
        <f t="shared" si="2"/>
        <v>598165.4952</v>
      </c>
      <c r="I36" s="22">
        <v>0</v>
      </c>
      <c r="J36" s="22">
        <f t="shared" si="3"/>
        <v>598165.4952</v>
      </c>
      <c r="K36" s="131">
        <f t="shared" si="4"/>
        <v>694536.60275999992</v>
      </c>
    </row>
    <row r="37" spans="1:12" s="19" customFormat="1" x14ac:dyDescent="0.3">
      <c r="A37" s="63">
        <v>46023</v>
      </c>
      <c r="B37" s="24">
        <v>46387</v>
      </c>
      <c r="C37" s="13">
        <f>'Yearwise ICS Distribution'!B7</f>
        <v>0</v>
      </c>
      <c r="D37" s="25">
        <f t="shared" si="0"/>
        <v>0.89999999999999991</v>
      </c>
      <c r="E37" s="15">
        <f>SUM($C$33:C36)+C37*0.5</f>
        <v>500000</v>
      </c>
      <c r="F37" s="20">
        <f t="shared" ref="F37:F38" si="5">(_xlfn.DAYS(B37,A37-1)/365)</f>
        <v>1</v>
      </c>
      <c r="G37" s="15">
        <f t="shared" si="1"/>
        <v>1329256.656</v>
      </c>
      <c r="H37" s="22">
        <f t="shared" si="2"/>
        <v>598165.4952</v>
      </c>
      <c r="I37" s="22">
        <v>0</v>
      </c>
      <c r="J37" s="22">
        <f t="shared" si="3"/>
        <v>598165.4952</v>
      </c>
      <c r="K37" s="131">
        <f t="shared" si="4"/>
        <v>694536.60275999992</v>
      </c>
    </row>
    <row r="38" spans="1:12" s="19" customFormat="1" x14ac:dyDescent="0.3">
      <c r="A38" s="63">
        <v>46388</v>
      </c>
      <c r="B38" s="24">
        <v>46752</v>
      </c>
      <c r="C38" s="13">
        <f>'Yearwise ICS Distribution'!B8</f>
        <v>0</v>
      </c>
      <c r="D38" s="25">
        <f t="shared" si="0"/>
        <v>0.89999999999999991</v>
      </c>
      <c r="E38" s="15">
        <f>SUM($C$33:C37)+C38*0.5</f>
        <v>500000</v>
      </c>
      <c r="F38" s="20">
        <f t="shared" si="5"/>
        <v>1</v>
      </c>
      <c r="G38" s="15">
        <f t="shared" si="1"/>
        <v>1329256.656</v>
      </c>
      <c r="H38" s="22">
        <f t="shared" si="2"/>
        <v>598165.4952</v>
      </c>
      <c r="I38" s="22">
        <v>0</v>
      </c>
      <c r="J38" s="22">
        <f t="shared" si="3"/>
        <v>598165.4952</v>
      </c>
      <c r="K38" s="131">
        <f t="shared" si="4"/>
        <v>694536.60275999992</v>
      </c>
    </row>
    <row r="39" spans="1:12" s="19" customFormat="1" x14ac:dyDescent="0.3">
      <c r="A39" s="63">
        <v>46753</v>
      </c>
      <c r="B39" s="24">
        <v>47118</v>
      </c>
      <c r="C39" s="13">
        <f>'Yearwise ICS Distribution'!B9</f>
        <v>0</v>
      </c>
      <c r="D39" s="25">
        <f t="shared" si="0"/>
        <v>0.89999999999999991</v>
      </c>
      <c r="E39" s="15">
        <f>SUM($C$33:C38)+C39*0.5</f>
        <v>500000</v>
      </c>
      <c r="F39" s="20">
        <f>(_xlfn.DAYS(B39,A39-1)/366)</f>
        <v>1</v>
      </c>
      <c r="G39" s="15">
        <f t="shared" si="1"/>
        <v>1329256.656</v>
      </c>
      <c r="H39" s="22">
        <f t="shared" si="2"/>
        <v>598165.4952</v>
      </c>
      <c r="I39" s="22">
        <v>0</v>
      </c>
      <c r="J39" s="22">
        <f t="shared" si="3"/>
        <v>598165.4952</v>
      </c>
      <c r="K39" s="131">
        <f t="shared" si="4"/>
        <v>694536.60275999992</v>
      </c>
    </row>
    <row r="40" spans="1:12" s="19" customFormat="1" x14ac:dyDescent="0.3">
      <c r="A40" s="63">
        <v>47119</v>
      </c>
      <c r="B40" s="24">
        <v>47244</v>
      </c>
      <c r="C40" s="13">
        <f>'Yearwise ICS Distribution'!B10</f>
        <v>0</v>
      </c>
      <c r="D40" s="25">
        <f t="shared" si="0"/>
        <v>0.89999999999999991</v>
      </c>
      <c r="E40" s="15">
        <f>SUM($C$33:C39)+C40*0.5</f>
        <v>500000</v>
      </c>
      <c r="F40" s="20">
        <f>(_xlfn.DAYS(B40,A40-1)/365)</f>
        <v>0.34520547945205482</v>
      </c>
      <c r="G40" s="15">
        <f t="shared" si="1"/>
        <v>458866.68124931515</v>
      </c>
      <c r="H40" s="22">
        <f t="shared" si="2"/>
        <v>206490.00656219182</v>
      </c>
      <c r="I40" s="22">
        <v>0</v>
      </c>
      <c r="J40" s="22">
        <f t="shared" si="3"/>
        <v>206490.00656219182</v>
      </c>
      <c r="K40" s="131">
        <f t="shared" si="4"/>
        <v>239757.84095276715</v>
      </c>
    </row>
    <row r="41" spans="1:12" s="19" customFormat="1" ht="15" thickBot="1" x14ac:dyDescent="0.35">
      <c r="A41" s="143" t="s">
        <v>38</v>
      </c>
      <c r="B41" s="144"/>
      <c r="C41" s="88">
        <f>SUM(C33:C40)</f>
        <v>500000</v>
      </c>
      <c r="D41" s="64" t="s">
        <v>41</v>
      </c>
      <c r="E41" s="64" t="s">
        <v>41</v>
      </c>
      <c r="F41" s="89" t="s">
        <v>41</v>
      </c>
      <c r="G41" s="89">
        <f>SUM(G33:G40)</f>
        <v>7270123.4585556164</v>
      </c>
      <c r="H41" s="122">
        <f>SUM(H33:H40)</f>
        <v>3271555.5563500272</v>
      </c>
      <c r="I41" s="124">
        <v>0</v>
      </c>
      <c r="J41" s="126">
        <f t="shared" si="3"/>
        <v>3271555.5563500272</v>
      </c>
      <c r="K41" s="132">
        <f>SUM(K33:K40)</f>
        <v>3798639.5070953099</v>
      </c>
      <c r="L41" s="129"/>
    </row>
    <row r="42" spans="1:12" s="19" customFormat="1" ht="15" thickBot="1" x14ac:dyDescent="0.35">
      <c r="A42" s="86" t="s">
        <v>39</v>
      </c>
      <c r="B42" s="87">
        <v>7</v>
      </c>
      <c r="C42" s="90" t="s">
        <v>40</v>
      </c>
      <c r="D42" s="90"/>
      <c r="E42" s="90"/>
      <c r="F42" s="90"/>
      <c r="G42" s="134">
        <f>K41/7</f>
        <v>542662.78672790143</v>
      </c>
      <c r="H42" s="135"/>
      <c r="I42" s="120"/>
      <c r="J42" s="120"/>
      <c r="K42" s="65"/>
    </row>
    <row r="43" spans="1:12" x14ac:dyDescent="0.3">
      <c r="A43" s="18"/>
      <c r="B43" s="18"/>
      <c r="C43" s="18"/>
      <c r="D43" s="18"/>
      <c r="E43" s="18"/>
    </row>
    <row r="44" spans="1:12" x14ac:dyDescent="0.3">
      <c r="A44" s="18"/>
      <c r="B44" s="18"/>
      <c r="C44" s="18"/>
      <c r="D44" s="18"/>
      <c r="E44" s="18"/>
    </row>
  </sheetData>
  <mergeCells count="7">
    <mergeCell ref="G42:H42"/>
    <mergeCell ref="H6:L6"/>
    <mergeCell ref="A30:D30"/>
    <mergeCell ref="A31:B31"/>
    <mergeCell ref="E31:E32"/>
    <mergeCell ref="F31:F32"/>
    <mergeCell ref="A41:B4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8FF6-2206-4282-975A-3F848D14336E}">
  <dimension ref="A1:C9"/>
  <sheetViews>
    <sheetView workbookViewId="0">
      <selection activeCell="B4" sqref="B4"/>
    </sheetView>
  </sheetViews>
  <sheetFormatPr defaultColWidth="8.77734375" defaultRowHeight="14.4" x14ac:dyDescent="0.3"/>
  <cols>
    <col min="1" max="1" width="8.77734375" style="9"/>
    <col min="2" max="2" width="20.109375" style="9" bestFit="1" customWidth="1"/>
    <col min="3" max="3" width="23" style="9" customWidth="1"/>
  </cols>
  <sheetData>
    <row r="1" spans="1:3" ht="15" thickBot="1" x14ac:dyDescent="0.35"/>
    <row r="2" spans="1:3" x14ac:dyDescent="0.3">
      <c r="A2" s="10" t="s">
        <v>23</v>
      </c>
      <c r="B2" s="11" t="s">
        <v>24</v>
      </c>
      <c r="C2" s="12" t="s">
        <v>25</v>
      </c>
    </row>
    <row r="3" spans="1:3" x14ac:dyDescent="0.3">
      <c r="A3" s="6" t="s">
        <v>26</v>
      </c>
      <c r="B3" s="15">
        <v>75000</v>
      </c>
      <c r="C3" s="14">
        <f>B3</f>
        <v>75000</v>
      </c>
    </row>
    <row r="4" spans="1:3" x14ac:dyDescent="0.3">
      <c r="A4" s="6" t="s">
        <v>27</v>
      </c>
      <c r="B4" s="15">
        <v>175000</v>
      </c>
      <c r="C4" s="14">
        <f t="shared" ref="C4:C9" si="0">C3+B4</f>
        <v>250000</v>
      </c>
    </row>
    <row r="5" spans="1:3" x14ac:dyDescent="0.3">
      <c r="A5" s="6" t="s">
        <v>28</v>
      </c>
      <c r="B5" s="15">
        <v>250000</v>
      </c>
      <c r="C5" s="14">
        <f t="shared" si="0"/>
        <v>500000</v>
      </c>
    </row>
    <row r="6" spans="1:3" x14ac:dyDescent="0.3">
      <c r="A6" s="6" t="s">
        <v>29</v>
      </c>
      <c r="B6" s="15">
        <v>0</v>
      </c>
      <c r="C6" s="14">
        <f t="shared" si="0"/>
        <v>500000</v>
      </c>
    </row>
    <row r="7" spans="1:3" x14ac:dyDescent="0.3">
      <c r="A7" s="6" t="s">
        <v>30</v>
      </c>
      <c r="B7" s="15">
        <v>0</v>
      </c>
      <c r="C7" s="14">
        <f t="shared" si="0"/>
        <v>500000</v>
      </c>
    </row>
    <row r="8" spans="1:3" x14ac:dyDescent="0.3">
      <c r="A8" s="6" t="s">
        <v>31</v>
      </c>
      <c r="B8" s="15">
        <v>0</v>
      </c>
      <c r="C8" s="14">
        <f t="shared" si="0"/>
        <v>500000</v>
      </c>
    </row>
    <row r="9" spans="1:3" ht="15" thickBot="1" x14ac:dyDescent="0.35">
      <c r="A9" s="7" t="s">
        <v>32</v>
      </c>
      <c r="B9" s="16">
        <v>0</v>
      </c>
      <c r="C9" s="17">
        <f t="shared" si="0"/>
        <v>500000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0aa5e-88b2-43f7-a54b-ec3e3535b67a">
      <Terms xmlns="http://schemas.microsoft.com/office/infopath/2007/PartnerControls"/>
    </lcf76f155ced4ddcb4097134ff3c332f>
    <Time xmlns="e7d0aa5e-88b2-43f7-a54b-ec3e3535b67a" xsi:nil="true"/>
    <Date xmlns="e7d0aa5e-88b2-43f7-a54b-ec3e3535b67a" xsi:nil="true"/>
    <TaxCatchAll xmlns="229cd273-e6a8-441a-be96-ca165f2ef4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9F1D23CAE7E448825BE0C8EF9F1EB0" ma:contentTypeVersion="17" ma:contentTypeDescription="Create a new document." ma:contentTypeScope="" ma:versionID="e8f74b1a48df80f87c81a24b4eeb4361">
  <xsd:schema xmlns:xsd="http://www.w3.org/2001/XMLSchema" xmlns:xs="http://www.w3.org/2001/XMLSchema" xmlns:p="http://schemas.microsoft.com/office/2006/metadata/properties" xmlns:ns2="e7d0aa5e-88b2-43f7-a54b-ec3e3535b67a" xmlns:ns3="d7343a7c-9e42-4a88-945f-1a57865d2ee3" xmlns:ns4="229cd273-e6a8-441a-be96-ca165f2ef484" targetNamespace="http://schemas.microsoft.com/office/2006/metadata/properties" ma:root="true" ma:fieldsID="cecf6386c82cdaedecd74006030c9b3c" ns2:_="" ns3:_="" ns4:_="">
    <xsd:import namespace="e7d0aa5e-88b2-43f7-a54b-ec3e3535b67a"/>
    <xsd:import namespace="d7343a7c-9e42-4a88-945f-1a57865d2ee3"/>
    <xsd:import namespace="229cd273-e6a8-441a-be96-ca165f2ef4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  <xsd:element ref="ns2:Date" minOccurs="0"/>
                <xsd:element ref="ns2:MediaServiceSearchProperties" minOccurs="0"/>
                <xsd:element ref="ns2: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0aa5e-88b2-43f7-a54b-ec3e3535b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7130a6f-f85e-4512-91b8-fbeda0f83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me" ma:index="24" nillable="true" ma:displayName="Time" ma:format="DateTime" ma:internalName="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43a7c-9e42-4a88-945f-1a57865d2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cd273-e6a8-441a-be96-ca165f2ef4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b1e51f1-af49-4a8c-9b61-1a661ff7577f}" ma:internalName="TaxCatchAll" ma:showField="CatchAllData" ma:web="229cd273-e6a8-441a-be96-ca165f2ef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B2C5A-B5B8-4015-822F-A253097383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4C57D-93C8-4AD6-8B54-6A539445B490}">
  <ds:schemaRefs>
    <ds:schemaRef ds:uri="http://schemas.microsoft.com/office/2006/metadata/properties"/>
    <ds:schemaRef ds:uri="http://schemas.microsoft.com/office/infopath/2007/PartnerControls"/>
    <ds:schemaRef ds:uri="e7d0aa5e-88b2-43f7-a54b-ec3e3535b67a"/>
    <ds:schemaRef ds:uri="229cd273-e6a8-441a-be96-ca165f2ef484"/>
  </ds:schemaRefs>
</ds:datastoreItem>
</file>

<file path=customXml/itemProps3.xml><?xml version="1.0" encoding="utf-8"?>
<ds:datastoreItem xmlns:ds="http://schemas.openxmlformats.org/officeDocument/2006/customXml" ds:itemID="{9F13A02A-9394-478F-B15E-A3E850171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Ex-Ante ER Calculations</vt:lpstr>
      <vt:lpstr>Yearwise ICS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Sumee Sharma</dc:creator>
  <cp:lastModifiedBy>Vaishnavi M</cp:lastModifiedBy>
  <dcterms:created xsi:type="dcterms:W3CDTF">2025-02-20T11:07:50Z</dcterms:created>
  <dcterms:modified xsi:type="dcterms:W3CDTF">2026-01-14T05:06:22Z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0x010100D79F1D23CAE7E448825BE0C8EF9F1EB0</vt:lpwstr>
  </property>
</Properties>
</file>