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ug\UpEnergy Dropbox\Murugesh  Sudalairaja\UpEnergy-Carbon Global Technical\1. Carbon Validation\VCS Registration\2673_Nigeria\VCS-VVB\Final Submission Package\Final docs completeness check\Final Submission Package\"/>
    </mc:Choice>
  </mc:AlternateContent>
  <xr:revisionPtr revIDLastSave="0" documentId="13_ncr:1_{49B2CB73-E996-46F9-91C3-37DF3EC82D73}" xr6:coauthVersionLast="47" xr6:coauthVersionMax="47" xr10:uidLastSave="{00000000-0000-0000-0000-000000000000}"/>
  <bookViews>
    <workbookView xWindow="-108" yWindow="-108" windowWidth="23256" windowHeight="12456" xr2:uid="{48B6CE14-46A3-406E-A7E8-90A6115112CE}"/>
  </bookViews>
  <sheets>
    <sheet name="VCS 2673-ER Estimation" sheetId="3" r:id="rId1"/>
    <sheet name="Yearwise Distribu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25" i="3"/>
  <c r="H26" i="3"/>
  <c r="H27" i="3"/>
  <c r="H28" i="3"/>
  <c r="H29" i="3"/>
  <c r="H23" i="3"/>
  <c r="C23" i="3"/>
  <c r="C24" i="3" s="1"/>
  <c r="C25" i="3" s="1"/>
  <c r="C26" i="3" s="1"/>
  <c r="C27" i="3" s="1"/>
  <c r="C28" i="3" s="1"/>
  <c r="C29" i="3" s="1"/>
  <c r="D23" i="3" l="1"/>
  <c r="E23" i="3" s="1"/>
  <c r="F29" i="3"/>
  <c r="F28" i="3"/>
  <c r="F27" i="3"/>
  <c r="F26" i="3"/>
  <c r="F25" i="3"/>
  <c r="F24" i="3"/>
  <c r="F23" i="3"/>
  <c r="F20" i="3"/>
  <c r="C3" i="2"/>
  <c r="C4" i="2" s="1"/>
  <c r="D24" i="3" l="1"/>
  <c r="G25" i="3"/>
  <c r="G23" i="3"/>
  <c r="G24" i="3"/>
  <c r="G29" i="3"/>
  <c r="G28" i="3"/>
  <c r="G27" i="3"/>
  <c r="G26" i="3"/>
  <c r="C5" i="2"/>
  <c r="D25" i="3" l="1"/>
  <c r="E24" i="3"/>
  <c r="C6" i="2"/>
  <c r="D26" i="3" l="1"/>
  <c r="E25" i="3"/>
  <c r="C7" i="2"/>
  <c r="D27" i="3" l="1"/>
  <c r="E26" i="3"/>
  <c r="C8" i="2"/>
  <c r="D28" i="3" l="1"/>
  <c r="E27" i="3"/>
  <c r="C9" i="2"/>
  <c r="H30" i="3" l="1"/>
  <c r="H31" i="3" s="1"/>
  <c r="D29" i="3"/>
  <c r="E29" i="3" s="1"/>
  <c r="E28" i="3"/>
</calcChain>
</file>

<file path=xl/sharedStrings.xml><?xml version="1.0" encoding="utf-8"?>
<sst xmlns="http://schemas.openxmlformats.org/spreadsheetml/2006/main" count="96" uniqueCount="80">
  <si>
    <t>Estimation of Emission Reductions</t>
  </si>
  <si>
    <t>Description</t>
  </si>
  <si>
    <t>Parameter</t>
  </si>
  <si>
    <t>Units</t>
  </si>
  <si>
    <t>Data Source</t>
  </si>
  <si>
    <t xml:space="preserve">NRB of Total Biomass Saved </t>
  </si>
  <si>
    <t>%</t>
  </si>
  <si>
    <t>Net Caloric Value of Biomass/ Wood Fuel</t>
  </si>
  <si>
    <t>TJ/tonne</t>
  </si>
  <si>
    <t>IPCC Default Value</t>
  </si>
  <si>
    <t>Emission Factor for Woody Biomass</t>
  </si>
  <si>
    <t>Leakage Factor</t>
  </si>
  <si>
    <t>AMS II.G Default</t>
  </si>
  <si>
    <t>Life span of ICS</t>
  </si>
  <si>
    <t>Manufacturer specifications</t>
  </si>
  <si>
    <t>Annual Discount Factor for efficiency loss</t>
  </si>
  <si>
    <t>Uncertainty in Testing Adjustment Factor</t>
  </si>
  <si>
    <t>Efficiency of Three-Stone Fire or Traditional Cooking Method</t>
  </si>
  <si>
    <t>Total</t>
  </si>
  <si>
    <t>Year</t>
  </si>
  <si>
    <t>Year 1</t>
  </si>
  <si>
    <t>Year 2</t>
  </si>
  <si>
    <t>Year 3</t>
  </si>
  <si>
    <t>Year 4</t>
  </si>
  <si>
    <t>Year 5</t>
  </si>
  <si>
    <t>Year 6</t>
  </si>
  <si>
    <t>Year 7</t>
  </si>
  <si>
    <t>Bold,adjusted</t>
  </si>
  <si>
    <t>µy</t>
  </si>
  <si>
    <t>Baseline stove usage factor to account for use of baseline cookstoves along with improved cookstoves</t>
  </si>
  <si>
    <t>Year-4</t>
  </si>
  <si>
    <t>Year-1</t>
  </si>
  <si>
    <t>Year-2</t>
  </si>
  <si>
    <t>Year-3</t>
  </si>
  <si>
    <t>Year-5</t>
  </si>
  <si>
    <t>Year-6</t>
  </si>
  <si>
    <t>Year-7</t>
  </si>
  <si>
    <t>Operating ICS</t>
  </si>
  <si>
    <t>Country Specific Study based on CDM tool 30</t>
  </si>
  <si>
    <t>VMR0006 Default Value</t>
  </si>
  <si>
    <t xml:space="preserve">Baseline WBT Study </t>
  </si>
  <si>
    <t>Considered VMR0006 Default Value, however Efficiency will be monitored biennially</t>
  </si>
  <si>
    <t>Distribution Projection</t>
  </si>
  <si>
    <t>Data</t>
  </si>
  <si>
    <r>
      <t>f</t>
    </r>
    <r>
      <rPr>
        <vertAlign val="subscript"/>
        <sz val="11"/>
        <color theme="1"/>
        <rFont val="Calibri"/>
        <family val="2"/>
        <scheme val="minor"/>
      </rPr>
      <t>NRB, y</t>
    </r>
  </si>
  <si>
    <r>
      <t>NCV</t>
    </r>
    <r>
      <rPr>
        <i/>
        <vertAlign val="subscript"/>
        <sz val="11"/>
        <color theme="1"/>
        <rFont val="Calibri"/>
        <family val="2"/>
        <scheme val="minor"/>
      </rPr>
      <t>biomass</t>
    </r>
  </si>
  <si>
    <r>
      <t>Ef</t>
    </r>
    <r>
      <rPr>
        <i/>
        <vertAlign val="subscript"/>
        <sz val="11"/>
        <color theme="1"/>
        <rFont val="Calibri"/>
        <family val="2"/>
        <scheme val="minor"/>
      </rPr>
      <t>woodfuel, CO2</t>
    </r>
  </si>
  <si>
    <r>
      <t>Ef</t>
    </r>
    <r>
      <rPr>
        <i/>
        <vertAlign val="subscript"/>
        <sz val="11"/>
        <color theme="1"/>
        <rFont val="Calibri"/>
        <family val="2"/>
        <scheme val="minor"/>
      </rPr>
      <t>woodfuel, non CO2</t>
    </r>
  </si>
  <si>
    <t>Period</t>
  </si>
  <si>
    <t>Cumulative ICS Distributed</t>
  </si>
  <si>
    <t>Project stove efficiency</t>
  </si>
  <si>
    <t>Average for</t>
  </si>
  <si>
    <t>years</t>
  </si>
  <si>
    <t>Formulae used</t>
  </si>
  <si>
    <t>Calculated value</t>
  </si>
  <si>
    <t>Estimated ERs</t>
  </si>
  <si>
    <t xml:space="preserve">Adjusted Bold to account the ex post usage of firewood in baseline cookstove(s) by project households in addition to improved cookstove </t>
  </si>
  <si>
    <t>year</t>
  </si>
  <si>
    <t>technical specification sheet</t>
  </si>
  <si>
    <t>Assumption</t>
  </si>
  <si>
    <t>Assumed value for ER etimation, will be monitored ex-post through usage survey</t>
  </si>
  <si>
    <t>VCS Project ID - 2673</t>
  </si>
  <si>
    <t>fraction</t>
  </si>
  <si>
    <t>-</t>
  </si>
  <si>
    <r>
      <t>tCO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/TJ</t>
    </r>
  </si>
  <si>
    <r>
      <t>B</t>
    </r>
    <r>
      <rPr>
        <i/>
        <vertAlign val="subscript"/>
        <sz val="11"/>
        <color theme="1"/>
        <rFont val="Calibri"/>
        <family val="2"/>
        <scheme val="minor"/>
      </rPr>
      <t>old</t>
    </r>
  </si>
  <si>
    <t>tonnes/device/year</t>
  </si>
  <si>
    <t>Baseline KPT study</t>
  </si>
  <si>
    <t xml:space="preserve">Estimated annual usage rate </t>
  </si>
  <si>
    <r>
      <t>Non-CO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factor</t>
    </r>
  </si>
  <si>
    <t>Assumed % decrease in stove loss on YoY</t>
  </si>
  <si>
    <t>Percentage</t>
  </si>
  <si>
    <t>Assumed value for ER etimation, will be monitored ex-post usage survey</t>
  </si>
  <si>
    <r>
      <t>h</t>
    </r>
    <r>
      <rPr>
        <i/>
        <sz val="8"/>
        <color indexed="8"/>
        <rFont val="Times-Roman"/>
      </rPr>
      <t>old</t>
    </r>
  </si>
  <si>
    <t>Estimated usage rate</t>
  </si>
  <si>
    <t>Annual quantity of woody biomass that would have been used in the absence of the project activity</t>
  </si>
  <si>
    <t>Total Biomass Saved per stove</t>
  </si>
  <si>
    <t>Efficiency of project stove</t>
  </si>
  <si>
    <t>Cumulative Distribution</t>
  </si>
  <si>
    <t>UPENERGY-SOCIAL AND CLIMATE IMPACT PROGRAMME- NIGERIA-1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</si>
</sst>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%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2"/>
      <color theme="1"/>
      <name val="Symbol"/>
      <family val="1"/>
      <charset val="2"/>
    </font>
    <font>
      <i/>
      <sz val="8"/>
      <color indexed="8"/>
      <name val="Times-Roman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166" fontId="2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16" xfId="3" xr:uid="{6E67BB11-D619-4C30-B657-21D5E692303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74083</xdr:colOff>
      <xdr:row>18</xdr:row>
      <xdr:rowOff>0</xdr:rowOff>
    </xdr:from>
    <xdr:to>
      <xdr:col>3</xdr:col>
      <xdr:colOff>226483</xdr:colOff>
      <xdr:row>18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20304-8FFC-4C84-91B3-F6FAF068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483" y="9442450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175260</xdr:colOff>
      <xdr:row>6</xdr:row>
      <xdr:rowOff>190500</xdr:rowOff>
    </xdr:from>
    <xdr:to>
      <xdr:col>13</xdr:col>
      <xdr:colOff>203154</xdr:colOff>
      <xdr:row>8</xdr:row>
      <xdr:rowOff>76291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F9E1E8-9EB3-4B93-8F30-4B84D37D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1303020"/>
          <a:ext cx="2405334" cy="282031"/>
        </a:xfrm>
        <a:prstGeom prst="rect">
          <a:avLst/>
        </a:prstGeom>
      </xdr:spPr>
    </xdr:pic>
    <xdr:clientData/>
  </xdr:twoCellAnchor>
  <xdr:twoCellAnchor editAs="oneCell">
    <xdr:from>
      <xdr:col>9</xdr:col>
      <xdr:colOff>77409</xdr:colOff>
      <xdr:row>8</xdr:row>
      <xdr:rowOff>167368</xdr:rowOff>
    </xdr:from>
    <xdr:to>
      <xdr:col>13</xdr:col>
      <xdr:colOff>27591</xdr:colOff>
      <xdr:row>10</xdr:row>
      <xdr:rowOff>301535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0B3AA5-C8D4-43A3-A603-CC026BD5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22249" y="1676128"/>
          <a:ext cx="2327622" cy="515167"/>
        </a:xfrm>
        <a:prstGeom prst="rect">
          <a:avLst/>
        </a:prstGeom>
      </xdr:spPr>
    </xdr:pic>
    <xdr:clientData/>
  </xdr:twoCellAnchor>
  <xdr:twoCellAnchor editAs="oneCell">
    <xdr:from>
      <xdr:col>9</xdr:col>
      <xdr:colOff>66040</xdr:colOff>
      <xdr:row>10</xdr:row>
      <xdr:rowOff>353060</xdr:rowOff>
    </xdr:from>
    <xdr:to>
      <xdr:col>18</xdr:col>
      <xdr:colOff>350825</xdr:colOff>
      <xdr:row>11</xdr:row>
      <xdr:rowOff>292117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4651BD-8923-DF54-DC13-824F59CC0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2300" y="2242820"/>
          <a:ext cx="5862625" cy="33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D903-921F-4856-8AF7-D22B64FEFE20}">
  <dimension ref="A1:Q31"/>
  <sheetViews>
    <sheetView tabSelected="1" workbookViewId="0">
      <selection activeCell="A16" sqref="A16:C16"/>
    </sheetView>
  </sheetViews>
  <sheetFormatPr defaultColWidth="8.77734375" defaultRowHeight="14.4"/>
  <cols>
    <col min="1" max="1" width="11.6640625" style="13" customWidth="1"/>
    <col min="2" max="2" width="14.5546875" style="13" customWidth="1"/>
    <col min="3" max="3" width="19.6640625" style="13" customWidth="1"/>
    <col min="4" max="4" width="13.21875" style="20" customWidth="1"/>
    <col min="5" max="5" width="16.6640625" style="2" customWidth="1"/>
    <col min="6" max="6" width="11.88671875" style="2" customWidth="1"/>
    <col min="7" max="7" width="14.21875" style="13" customWidth="1"/>
    <col min="8" max="8" width="11.21875" style="13" customWidth="1"/>
    <col min="9" max="9" width="12.21875" style="13" customWidth="1"/>
    <col min="10" max="10" width="3.21875" style="13" customWidth="1"/>
    <col min="11" max="11" width="12.6640625" style="13" customWidth="1"/>
    <col min="12" max="12" width="10" style="13" bestFit="1" customWidth="1"/>
    <col min="13" max="15" width="8.77734375" style="13"/>
    <col min="16" max="17" width="11.109375" style="13" bestFit="1" customWidth="1"/>
    <col min="18" max="18" width="6.88671875" style="13" customWidth="1"/>
    <col min="19" max="16384" width="8.77734375" style="13"/>
  </cols>
  <sheetData>
    <row r="1" spans="1:11">
      <c r="A1" s="69" t="s">
        <v>79</v>
      </c>
      <c r="B1" s="64"/>
      <c r="C1" s="64"/>
      <c r="D1" s="64"/>
      <c r="E1" s="64"/>
    </row>
    <row r="2" spans="1:11">
      <c r="A2" s="64" t="s">
        <v>61</v>
      </c>
      <c r="B2" s="64"/>
      <c r="C2" s="64"/>
    </row>
    <row r="3" spans="1:11" ht="9.6" customHeight="1">
      <c r="A3" s="21"/>
      <c r="B3" s="21"/>
      <c r="C3" s="21"/>
    </row>
    <row r="4" spans="1:11" ht="15" thickBot="1">
      <c r="A4" s="41" t="s">
        <v>0</v>
      </c>
      <c r="B4" s="39"/>
      <c r="C4" s="21"/>
    </row>
    <row r="5" spans="1:11">
      <c r="A5" s="72" t="s">
        <v>1</v>
      </c>
      <c r="B5" s="56"/>
      <c r="C5" s="56"/>
      <c r="D5" s="44" t="s">
        <v>2</v>
      </c>
      <c r="E5" s="43" t="s">
        <v>3</v>
      </c>
      <c r="F5" s="43" t="s">
        <v>43</v>
      </c>
      <c r="G5" s="56" t="s">
        <v>4</v>
      </c>
      <c r="H5" s="56"/>
      <c r="I5" s="57"/>
    </row>
    <row r="6" spans="1:11" ht="15.6">
      <c r="A6" s="62" t="s">
        <v>5</v>
      </c>
      <c r="B6" s="58"/>
      <c r="C6" s="58"/>
      <c r="D6" s="23" t="s">
        <v>44</v>
      </c>
      <c r="E6" s="22" t="s">
        <v>62</v>
      </c>
      <c r="F6" s="35">
        <v>0.9</v>
      </c>
      <c r="G6" s="58" t="s">
        <v>38</v>
      </c>
      <c r="H6" s="58"/>
      <c r="I6" s="59"/>
      <c r="K6" s="40" t="s">
        <v>53</v>
      </c>
    </row>
    <row r="7" spans="1:11" ht="15.6">
      <c r="A7" s="62" t="s">
        <v>7</v>
      </c>
      <c r="B7" s="58"/>
      <c r="C7" s="58"/>
      <c r="D7" s="23" t="s">
        <v>45</v>
      </c>
      <c r="E7" s="32" t="s">
        <v>8</v>
      </c>
      <c r="F7" s="27">
        <v>1.5599999999999999E-2</v>
      </c>
      <c r="G7" s="58" t="s">
        <v>9</v>
      </c>
      <c r="H7" s="58"/>
      <c r="I7" s="59"/>
    </row>
    <row r="8" spans="1:11" ht="15.6">
      <c r="A8" s="62" t="s">
        <v>10</v>
      </c>
      <c r="B8" s="58"/>
      <c r="C8" s="58"/>
      <c r="D8" s="23" t="s">
        <v>46</v>
      </c>
      <c r="E8" s="22" t="s">
        <v>64</v>
      </c>
      <c r="F8" s="27">
        <v>112</v>
      </c>
      <c r="G8" s="58" t="s">
        <v>9</v>
      </c>
      <c r="H8" s="58"/>
      <c r="I8" s="59"/>
    </row>
    <row r="9" spans="1:11" ht="15.6">
      <c r="A9" s="62" t="s">
        <v>69</v>
      </c>
      <c r="B9" s="58"/>
      <c r="C9" s="58"/>
      <c r="D9" s="23" t="s">
        <v>47</v>
      </c>
      <c r="E9" s="22" t="s">
        <v>64</v>
      </c>
      <c r="F9" s="27">
        <v>26.23</v>
      </c>
      <c r="G9" s="58" t="s">
        <v>9</v>
      </c>
      <c r="H9" s="58"/>
      <c r="I9" s="59"/>
    </row>
    <row r="10" spans="1:11">
      <c r="A10" s="62" t="s">
        <v>11</v>
      </c>
      <c r="B10" s="58"/>
      <c r="C10" s="58"/>
      <c r="D10" s="23" t="s">
        <v>63</v>
      </c>
      <c r="E10" s="22" t="s">
        <v>62</v>
      </c>
      <c r="F10" s="35">
        <v>0.95</v>
      </c>
      <c r="G10" s="58" t="s">
        <v>12</v>
      </c>
      <c r="H10" s="58"/>
      <c r="I10" s="59"/>
    </row>
    <row r="11" spans="1:11" ht="31.2" customHeight="1">
      <c r="A11" s="68" t="s">
        <v>75</v>
      </c>
      <c r="B11" s="60"/>
      <c r="C11" s="60"/>
      <c r="D11" s="24" t="s">
        <v>65</v>
      </c>
      <c r="E11" s="22" t="s">
        <v>66</v>
      </c>
      <c r="F11" s="28">
        <v>5.46</v>
      </c>
      <c r="G11" s="58" t="s">
        <v>67</v>
      </c>
      <c r="H11" s="58"/>
      <c r="I11" s="59"/>
    </row>
    <row r="12" spans="1:11" ht="28.8" customHeight="1">
      <c r="A12" s="68" t="s">
        <v>29</v>
      </c>
      <c r="B12" s="60"/>
      <c r="C12" s="60"/>
      <c r="D12" s="24" t="s">
        <v>28</v>
      </c>
      <c r="E12" s="22" t="s">
        <v>62</v>
      </c>
      <c r="F12" s="28">
        <v>0.1</v>
      </c>
      <c r="G12" s="60" t="s">
        <v>72</v>
      </c>
      <c r="H12" s="60"/>
      <c r="I12" s="61"/>
    </row>
    <row r="13" spans="1:11">
      <c r="A13" s="62" t="s">
        <v>13</v>
      </c>
      <c r="B13" s="58"/>
      <c r="C13" s="58"/>
      <c r="D13" s="23" t="s">
        <v>63</v>
      </c>
      <c r="E13" s="22" t="s">
        <v>57</v>
      </c>
      <c r="F13" s="1">
        <v>7</v>
      </c>
      <c r="G13" s="58" t="s">
        <v>58</v>
      </c>
      <c r="H13" s="58"/>
      <c r="I13" s="59"/>
    </row>
    <row r="14" spans="1:11" ht="28.8" customHeight="1">
      <c r="A14" s="62" t="s">
        <v>68</v>
      </c>
      <c r="B14" s="58"/>
      <c r="C14" s="58"/>
      <c r="D14" s="23" t="s">
        <v>63</v>
      </c>
      <c r="E14" s="22" t="s">
        <v>62</v>
      </c>
      <c r="F14" s="28">
        <v>0.95</v>
      </c>
      <c r="G14" s="60" t="s">
        <v>60</v>
      </c>
      <c r="H14" s="60"/>
      <c r="I14" s="61"/>
    </row>
    <row r="15" spans="1:11">
      <c r="A15" s="62" t="s">
        <v>70</v>
      </c>
      <c r="B15" s="58"/>
      <c r="C15" s="58"/>
      <c r="D15" s="23" t="s">
        <v>63</v>
      </c>
      <c r="E15" s="22" t="s">
        <v>71</v>
      </c>
      <c r="F15" s="30">
        <v>2.5000000000000001E-2</v>
      </c>
      <c r="G15" s="58" t="s">
        <v>59</v>
      </c>
      <c r="H15" s="58"/>
      <c r="I15" s="59"/>
    </row>
    <row r="16" spans="1:11" ht="29.4" customHeight="1">
      <c r="A16" s="68" t="s">
        <v>15</v>
      </c>
      <c r="B16" s="60"/>
      <c r="C16" s="60"/>
      <c r="D16" s="24" t="s">
        <v>63</v>
      </c>
      <c r="E16" s="52" t="s">
        <v>62</v>
      </c>
      <c r="F16" s="53">
        <v>0.99</v>
      </c>
      <c r="G16" s="60" t="s">
        <v>41</v>
      </c>
      <c r="H16" s="60"/>
      <c r="I16" s="61"/>
    </row>
    <row r="17" spans="1:17">
      <c r="A17" s="62" t="s">
        <v>16</v>
      </c>
      <c r="B17" s="58"/>
      <c r="C17" s="58"/>
      <c r="D17" s="23" t="s">
        <v>63</v>
      </c>
      <c r="E17" s="22" t="s">
        <v>62</v>
      </c>
      <c r="F17" s="28">
        <v>0.94</v>
      </c>
      <c r="G17" s="58" t="s">
        <v>39</v>
      </c>
      <c r="H17" s="58"/>
      <c r="I17" s="59"/>
    </row>
    <row r="18" spans="1:17" ht="15">
      <c r="A18" s="68" t="s">
        <v>17</v>
      </c>
      <c r="B18" s="60"/>
      <c r="C18" s="60"/>
      <c r="D18" s="42" t="s">
        <v>73</v>
      </c>
      <c r="E18" s="22" t="s">
        <v>6</v>
      </c>
      <c r="F18" s="36">
        <v>0.16500000000000001</v>
      </c>
      <c r="G18" s="58" t="s">
        <v>40</v>
      </c>
      <c r="H18" s="58"/>
      <c r="I18" s="59"/>
    </row>
    <row r="19" spans="1:17" ht="15">
      <c r="A19" s="62" t="s">
        <v>50</v>
      </c>
      <c r="B19" s="58"/>
      <c r="C19" s="58"/>
      <c r="D19" s="42"/>
      <c r="E19" s="22" t="s">
        <v>6</v>
      </c>
      <c r="F19" s="37">
        <v>0.379</v>
      </c>
      <c r="G19" s="58" t="s">
        <v>14</v>
      </c>
      <c r="H19" s="58"/>
      <c r="I19" s="59"/>
    </row>
    <row r="20" spans="1:17" ht="28.8" customHeight="1" thickBot="1">
      <c r="A20" s="65" t="s">
        <v>56</v>
      </c>
      <c r="B20" s="66"/>
      <c r="C20" s="66"/>
      <c r="D20" s="45" t="s">
        <v>27</v>
      </c>
      <c r="E20" s="46" t="s">
        <v>66</v>
      </c>
      <c r="F20" s="47">
        <f>F11*(1-F12)</f>
        <v>4.9139999999999997</v>
      </c>
      <c r="G20" s="70" t="s">
        <v>54</v>
      </c>
      <c r="H20" s="70"/>
      <c r="I20" s="71"/>
    </row>
    <row r="21" spans="1:17">
      <c r="A21" s="67"/>
      <c r="B21" s="67"/>
      <c r="C21" s="67"/>
      <c r="D21" s="25"/>
      <c r="E21" s="33"/>
      <c r="F21" s="29"/>
    </row>
    <row r="22" spans="1:17" ht="41.4" customHeight="1">
      <c r="A22" s="10" t="s">
        <v>48</v>
      </c>
      <c r="B22" s="10" t="s">
        <v>42</v>
      </c>
      <c r="C22" s="10" t="s">
        <v>74</v>
      </c>
      <c r="D22" s="26" t="s">
        <v>49</v>
      </c>
      <c r="E22" s="11" t="s">
        <v>37</v>
      </c>
      <c r="F22" s="10" t="s">
        <v>77</v>
      </c>
      <c r="G22" s="10" t="s">
        <v>76</v>
      </c>
      <c r="H22" s="10" t="s">
        <v>55</v>
      </c>
    </row>
    <row r="23" spans="1:17">
      <c r="A23" s="14" t="s">
        <v>20</v>
      </c>
      <c r="B23" s="1">
        <v>75000</v>
      </c>
      <c r="C23" s="28">
        <f>F14</f>
        <v>0.95</v>
      </c>
      <c r="D23" s="1">
        <f>B23</f>
        <v>75000</v>
      </c>
      <c r="E23" s="34">
        <f>D23*C23</f>
        <v>71250</v>
      </c>
      <c r="F23" s="30">
        <f>$F$19*($F$16^(1-1))*$F$17</f>
        <v>0.35625999999999997</v>
      </c>
      <c r="G23" s="48">
        <f>$F$20*(1-($F$18/F23))</f>
        <v>2.6381059900072974</v>
      </c>
      <c r="H23" s="38">
        <f>G23*$F$7*$F$6*($F$8+$F$9)*E23*$F$14</f>
        <v>346553.37269128027</v>
      </c>
      <c r="K23" s="50"/>
      <c r="L23" s="54"/>
      <c r="Q23" s="54"/>
    </row>
    <row r="24" spans="1:17">
      <c r="A24" s="14" t="s">
        <v>21</v>
      </c>
      <c r="B24" s="1">
        <v>175000</v>
      </c>
      <c r="C24" s="28">
        <f>C23-$F$15</f>
        <v>0.92499999999999993</v>
      </c>
      <c r="D24" s="1">
        <f>B24+D23</f>
        <v>250000</v>
      </c>
      <c r="E24" s="34">
        <f t="shared" ref="E24:E29" si="0">D24*C24</f>
        <v>231249.99999999997</v>
      </c>
      <c r="F24" s="30">
        <f>$F$19*($F$16^(2-1))*$F$17</f>
        <v>0.35269739999999999</v>
      </c>
      <c r="G24" s="48">
        <f t="shared" ref="G24:G29" si="1">$F$20*(1-($F$18/F24))</f>
        <v>2.6151171616235329</v>
      </c>
      <c r="H24" s="38">
        <f t="shared" ref="H24:H29" si="2">G24*$F$7*$F$6*($F$8+$F$9)*E24*$F$14</f>
        <v>1114977.0116084311</v>
      </c>
      <c r="K24" s="50"/>
      <c r="L24" s="54"/>
    </row>
    <row r="25" spans="1:17">
      <c r="A25" s="14" t="s">
        <v>22</v>
      </c>
      <c r="B25" s="1">
        <v>250000</v>
      </c>
      <c r="C25" s="28">
        <f t="shared" ref="C25:C29" si="3">C24-$F$15</f>
        <v>0.89999999999999991</v>
      </c>
      <c r="D25" s="1">
        <f t="shared" ref="D25:D29" si="4">B25+D24</f>
        <v>500000</v>
      </c>
      <c r="E25" s="34">
        <f t="shared" si="0"/>
        <v>449999.99999999994</v>
      </c>
      <c r="F25" s="30">
        <f>$F$19*($F$16^(3-1))*$F$17</f>
        <v>0.34917042599999998</v>
      </c>
      <c r="G25" s="48">
        <f t="shared" si="1"/>
        <v>2.5918961228520532</v>
      </c>
      <c r="H25" s="38">
        <f t="shared" si="2"/>
        <v>2150419.1897532651</v>
      </c>
      <c r="K25" s="50"/>
      <c r="L25" s="54"/>
      <c r="P25" s="55"/>
    </row>
    <row r="26" spans="1:17">
      <c r="A26" s="14" t="s">
        <v>23</v>
      </c>
      <c r="B26" s="1">
        <v>0</v>
      </c>
      <c r="C26" s="28">
        <f t="shared" si="3"/>
        <v>0.87499999999999989</v>
      </c>
      <c r="D26" s="1">
        <f t="shared" si="4"/>
        <v>500000</v>
      </c>
      <c r="E26" s="34">
        <f t="shared" si="0"/>
        <v>437499.99999999994</v>
      </c>
      <c r="F26" s="30">
        <f>$F$19*($F$16^(4-1))*$F$17</f>
        <v>0.34567872173999992</v>
      </c>
      <c r="G26" s="48">
        <f t="shared" si="1"/>
        <v>2.5684405281333871</v>
      </c>
      <c r="H26" s="38">
        <f t="shared" si="2"/>
        <v>2071765.4804049546</v>
      </c>
      <c r="K26" s="50"/>
      <c r="L26" s="54"/>
      <c r="Q26" s="55"/>
    </row>
    <row r="27" spans="1:17">
      <c r="A27" s="14" t="s">
        <v>24</v>
      </c>
      <c r="B27" s="1">
        <v>0</v>
      </c>
      <c r="C27" s="28">
        <f t="shared" si="3"/>
        <v>0.84999999999999987</v>
      </c>
      <c r="D27" s="1">
        <f t="shared" si="4"/>
        <v>500000</v>
      </c>
      <c r="E27" s="34">
        <f t="shared" si="0"/>
        <v>424999.99999999994</v>
      </c>
      <c r="F27" s="30">
        <f>$F$19*($F$16^(5-1))*$F$17</f>
        <v>0.34222193452259997</v>
      </c>
      <c r="G27" s="48">
        <f t="shared" si="1"/>
        <v>2.5447480082155427</v>
      </c>
      <c r="H27" s="38">
        <f t="shared" si="2"/>
        <v>1994007.2556876603</v>
      </c>
      <c r="K27" s="50"/>
      <c r="L27" s="54"/>
      <c r="Q27" s="55"/>
    </row>
    <row r="28" spans="1:17">
      <c r="A28" s="14" t="s">
        <v>25</v>
      </c>
      <c r="B28" s="1">
        <v>0</v>
      </c>
      <c r="C28" s="28">
        <f t="shared" si="3"/>
        <v>0.82499999999999984</v>
      </c>
      <c r="D28" s="1">
        <f t="shared" si="4"/>
        <v>500000</v>
      </c>
      <c r="E28" s="34">
        <f t="shared" si="0"/>
        <v>412499.99999999994</v>
      </c>
      <c r="F28" s="30">
        <f>$F$19*($F$16^(6-1))*$F$17</f>
        <v>0.33879971517737395</v>
      </c>
      <c r="G28" s="48">
        <f t="shared" si="1"/>
        <v>2.5208161699146898</v>
      </c>
      <c r="H28" s="38">
        <f t="shared" si="2"/>
        <v>1917159.0763270883</v>
      </c>
      <c r="K28" s="50"/>
      <c r="L28" s="54"/>
    </row>
    <row r="29" spans="1:17">
      <c r="A29" s="15" t="s">
        <v>26</v>
      </c>
      <c r="B29" s="12">
        <v>0</v>
      </c>
      <c r="C29" s="28">
        <f t="shared" si="3"/>
        <v>0.79999999999999982</v>
      </c>
      <c r="D29" s="12">
        <f t="shared" si="4"/>
        <v>500000</v>
      </c>
      <c r="E29" s="34">
        <f t="shared" si="0"/>
        <v>399999.99999999988</v>
      </c>
      <c r="F29" s="31">
        <f>$F$19*($F$16^(7-1))*$F$17</f>
        <v>0.33541171802560021</v>
      </c>
      <c r="G29" s="49">
        <f t="shared" si="1"/>
        <v>2.4966425958734235</v>
      </c>
      <c r="H29" s="38">
        <f t="shared" si="2"/>
        <v>1841235.705838362</v>
      </c>
      <c r="K29" s="50"/>
      <c r="L29" s="54"/>
    </row>
    <row r="30" spans="1:17">
      <c r="A30" s="63" t="s">
        <v>18</v>
      </c>
      <c r="B30" s="63"/>
      <c r="C30" s="63"/>
      <c r="D30" s="63"/>
      <c r="E30" s="63"/>
      <c r="F30" s="63"/>
      <c r="G30" s="63"/>
      <c r="H30" s="16">
        <f>SUM(H23:H29)</f>
        <v>11436117.092311041</v>
      </c>
      <c r="K30" s="50"/>
    </row>
    <row r="31" spans="1:17">
      <c r="A31" s="17" t="s">
        <v>51</v>
      </c>
      <c r="B31" s="18">
        <v>7</v>
      </c>
      <c r="C31" s="63" t="s">
        <v>52</v>
      </c>
      <c r="D31" s="63"/>
      <c r="E31" s="63"/>
      <c r="F31" s="63"/>
      <c r="G31" s="63"/>
      <c r="H31" s="19">
        <f>H30/B31</f>
        <v>1633731.0131872916</v>
      </c>
    </row>
  </sheetData>
  <mergeCells count="37">
    <mergeCell ref="A1:E1"/>
    <mergeCell ref="A14:C14"/>
    <mergeCell ref="G14:I14"/>
    <mergeCell ref="G20:I20"/>
    <mergeCell ref="A30:G30"/>
    <mergeCell ref="G8:I8"/>
    <mergeCell ref="G9:I9"/>
    <mergeCell ref="G10:I10"/>
    <mergeCell ref="G11:I11"/>
    <mergeCell ref="G17:I17"/>
    <mergeCell ref="G18:I18"/>
    <mergeCell ref="A13:C13"/>
    <mergeCell ref="A15:C15"/>
    <mergeCell ref="A16:C16"/>
    <mergeCell ref="A17:C17"/>
    <mergeCell ref="A5:C5"/>
    <mergeCell ref="C31:G31"/>
    <mergeCell ref="A2:C2"/>
    <mergeCell ref="G12:I12"/>
    <mergeCell ref="G13:I13"/>
    <mergeCell ref="G15:I15"/>
    <mergeCell ref="A19:C19"/>
    <mergeCell ref="A20:C20"/>
    <mergeCell ref="A21:C21"/>
    <mergeCell ref="A12:C12"/>
    <mergeCell ref="A11:C11"/>
    <mergeCell ref="A9:C9"/>
    <mergeCell ref="A10:C10"/>
    <mergeCell ref="A18:C18"/>
    <mergeCell ref="G19:I19"/>
    <mergeCell ref="G7:I7"/>
    <mergeCell ref="A6:C6"/>
    <mergeCell ref="G5:I5"/>
    <mergeCell ref="G6:I6"/>
    <mergeCell ref="G16:I16"/>
    <mergeCell ref="A8:C8"/>
    <mergeCell ref="A7:C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1E13-FD4C-417E-8D41-058E7491B733}">
  <dimension ref="A1:C9"/>
  <sheetViews>
    <sheetView workbookViewId="0">
      <selection activeCell="C21" sqref="C21"/>
    </sheetView>
  </sheetViews>
  <sheetFormatPr defaultColWidth="8.77734375" defaultRowHeight="14.4"/>
  <cols>
    <col min="1" max="1" width="8.77734375" style="2"/>
    <col min="2" max="2" width="20.109375" style="2" bestFit="1" customWidth="1"/>
    <col min="3" max="3" width="23" style="2" customWidth="1"/>
  </cols>
  <sheetData>
    <row r="1" spans="1:3" ht="15" thickBot="1"/>
    <row r="2" spans="1:3">
      <c r="A2" s="3" t="s">
        <v>19</v>
      </c>
      <c r="B2" s="4" t="s">
        <v>42</v>
      </c>
      <c r="C2" s="51" t="s">
        <v>78</v>
      </c>
    </row>
    <row r="3" spans="1:3">
      <c r="A3" s="5" t="s">
        <v>31</v>
      </c>
      <c r="B3" s="1">
        <v>75000</v>
      </c>
      <c r="C3" s="6">
        <f>B3</f>
        <v>75000</v>
      </c>
    </row>
    <row r="4" spans="1:3">
      <c r="A4" s="5" t="s">
        <v>32</v>
      </c>
      <c r="B4" s="1">
        <v>175000</v>
      </c>
      <c r="C4" s="6">
        <f>C3+B4</f>
        <v>250000</v>
      </c>
    </row>
    <row r="5" spans="1:3">
      <c r="A5" s="5" t="s">
        <v>33</v>
      </c>
      <c r="B5" s="1">
        <v>250000</v>
      </c>
      <c r="C5" s="6">
        <f t="shared" ref="C5:C9" si="0">C4+B5</f>
        <v>500000</v>
      </c>
    </row>
    <row r="6" spans="1:3">
      <c r="A6" s="5" t="s">
        <v>30</v>
      </c>
      <c r="B6" s="1">
        <v>0</v>
      </c>
      <c r="C6" s="6">
        <f t="shared" si="0"/>
        <v>500000</v>
      </c>
    </row>
    <row r="7" spans="1:3">
      <c r="A7" s="5" t="s">
        <v>34</v>
      </c>
      <c r="B7" s="1">
        <v>0</v>
      </c>
      <c r="C7" s="6">
        <f t="shared" si="0"/>
        <v>500000</v>
      </c>
    </row>
    <row r="8" spans="1:3">
      <c r="A8" s="5" t="s">
        <v>35</v>
      </c>
      <c r="B8" s="1">
        <v>0</v>
      </c>
      <c r="C8" s="6">
        <f t="shared" si="0"/>
        <v>500000</v>
      </c>
    </row>
    <row r="9" spans="1:3" ht="15" thickBot="1">
      <c r="A9" s="7" t="s">
        <v>36</v>
      </c>
      <c r="B9" s="8">
        <v>0</v>
      </c>
      <c r="C9" s="9">
        <f t="shared" si="0"/>
        <v>500000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332032E58A74995E51B7C21BF53FC" ma:contentTypeVersion="7" ma:contentTypeDescription="Create a new document." ma:contentTypeScope="" ma:versionID="9392bc0db2dbdb4ceb5e041865167221">
  <xsd:schema xmlns:xsd="http://www.w3.org/2001/XMLSchema" xmlns:xs="http://www.w3.org/2001/XMLSchema" xmlns:p="http://schemas.microsoft.com/office/2006/metadata/properties" xmlns:ns2="c6038ac6-f3d9-45af-bee1-7fb43d35aa0d" xmlns:ns3="d18c7258-2838-4f89-86ba-bd8a878e6402" targetNamespace="http://schemas.microsoft.com/office/2006/metadata/properties" ma:root="true" ma:fieldsID="989ff1a1c56c7f78bfe97d66d07a370f" ns2:_="" ns3:_="">
    <xsd:import namespace="c6038ac6-f3d9-45af-bee1-7fb43d35aa0d"/>
    <xsd:import namespace="d18c7258-2838-4f89-86ba-bd8a878e6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38ac6-f3d9-45af-bee1-7fb43d35a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c7258-2838-4f89-86ba-bd8a878e64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A421A2-BD2D-4149-8CE2-F0D20D9FB99D}"/>
</file>

<file path=customXml/itemProps2.xml><?xml version="1.0" encoding="utf-8"?>
<ds:datastoreItem xmlns:ds="http://schemas.openxmlformats.org/officeDocument/2006/customXml" ds:itemID="{3DD94F03-E0F0-4C61-8286-4C0EA799ADE6}"/>
</file>

<file path=customXml/itemProps3.xml><?xml version="1.0" encoding="utf-8"?>
<ds:datastoreItem xmlns:ds="http://schemas.openxmlformats.org/officeDocument/2006/customXml" ds:itemID="{B2F60E7D-C49F-4975-AAD4-3201DE604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VCS 2673-ER Estimation</vt:lpstr>
      <vt:lpstr>Yearwise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Murugesh Sudalairaja</cp:lastModifiedBy>
  <dcterms:created xsi:type="dcterms:W3CDTF">2020-08-17T04:27:59Z</dcterms:created>
  <dcterms:modified xsi:type="dcterms:W3CDTF">2023-06-23T10:11:41Z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0x010100534332032E58A74995E51B7C21BF53FC</vt:lpwstr>
  </property>
</Properties>
</file>