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OneDrive\Desktop\"/>
    </mc:Choice>
  </mc:AlternateContent>
  <xr:revisionPtr revIDLastSave="0" documentId="13_ncr:1_{8495D953-FDE4-48ED-9CB7-6EF0973216D8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EG_PJ,adj" sheetId="2" r:id="rId1"/>
    <sheet name="BE" sheetId="1" r:id="rId2"/>
    <sheet name="PE" sheetId="5" r:id="rId3"/>
    <sheet name="LE" sheetId="6" r:id="rId4"/>
    <sheet name="ER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7" l="1"/>
  <c r="D23" i="7"/>
  <c r="C23" i="7"/>
  <c r="B23" i="7"/>
  <c r="D19" i="7"/>
  <c r="D20" i="7"/>
  <c r="D21" i="7"/>
  <c r="D22" i="7"/>
  <c r="D18" i="7"/>
  <c r="C22" i="7"/>
  <c r="C21" i="7"/>
  <c r="C20" i="7"/>
  <c r="C19" i="7"/>
  <c r="C18" i="7"/>
  <c r="B22" i="7"/>
  <c r="B18" i="7"/>
  <c r="H31" i="1"/>
  <c r="O47" i="2" l="1"/>
  <c r="H11" i="7"/>
  <c r="B48" i="2"/>
  <c r="N48" i="2"/>
  <c r="O48" i="2" s="1"/>
  <c r="N47" i="2"/>
  <c r="N55" i="2"/>
  <c r="P47" i="2" l="1"/>
  <c r="B47" i="2" s="1"/>
  <c r="P48" i="2"/>
  <c r="N56" i="2"/>
  <c r="O56" i="2" s="1"/>
  <c r="P56" i="2" s="1"/>
  <c r="B56" i="2" s="1"/>
  <c r="O55" i="2"/>
  <c r="P55" i="2" s="1"/>
  <c r="B78" i="2"/>
  <c r="P49" i="2" l="1"/>
  <c r="P58" i="2"/>
  <c r="B55" i="2"/>
  <c r="D78" i="2"/>
  <c r="E78" i="2" s="1"/>
  <c r="D67" i="2" l="1"/>
  <c r="D54" i="2" l="1"/>
  <c r="D41" i="2" l="1"/>
  <c r="D28" i="2" l="1"/>
  <c r="G10" i="5" l="1"/>
  <c r="F10" i="5"/>
  <c r="E10" i="5"/>
  <c r="D10" i="5"/>
  <c r="C10" i="5"/>
  <c r="D20" i="6" l="1"/>
  <c r="E20" i="6"/>
  <c r="C20" i="6"/>
  <c r="H19" i="6" l="1"/>
  <c r="H24" i="6" s="1"/>
  <c r="H25" i="6" s="1"/>
  <c r="E12" i="7" s="1"/>
  <c r="G12" i="5"/>
  <c r="G11" i="7" s="1"/>
  <c r="F12" i="5"/>
  <c r="F11" i="7" s="1"/>
  <c r="I19" i="6"/>
  <c r="I24" i="6" s="1"/>
  <c r="J19" i="6"/>
  <c r="J24" i="6" s="1"/>
  <c r="E12" i="5"/>
  <c r="E11" i="7" s="1"/>
  <c r="J25" i="6" l="1"/>
  <c r="G12" i="7" s="1"/>
  <c r="I25" i="6"/>
  <c r="F12" i="7" s="1"/>
  <c r="C31" i="1"/>
  <c r="C53" i="1" s="1"/>
  <c r="C32" i="1"/>
  <c r="G50" i="1" s="1"/>
  <c r="C50" i="1" l="1"/>
  <c r="F50" i="1"/>
  <c r="D50" i="1"/>
  <c r="E50" i="1"/>
  <c r="D12" i="5"/>
  <c r="D11" i="7" s="1"/>
  <c r="G19" i="6"/>
  <c r="F19" i="6"/>
  <c r="F24" i="6" s="1"/>
  <c r="F25" i="6" s="1"/>
  <c r="C12" i="5"/>
  <c r="B67" i="2"/>
  <c r="E67" i="2" s="1"/>
  <c r="B54" i="2"/>
  <c r="E54" i="2" s="1"/>
  <c r="F78" i="2" l="1"/>
  <c r="F67" i="2"/>
  <c r="F54" i="2"/>
  <c r="C12" i="7"/>
  <c r="C11" i="7"/>
  <c r="G13" i="5"/>
  <c r="G24" i="6"/>
  <c r="G25" i="6" s="1"/>
  <c r="D12" i="7" s="1"/>
  <c r="B41" i="2"/>
  <c r="E41" i="2" s="1"/>
  <c r="H12" i="7" l="1"/>
  <c r="K25" i="6"/>
  <c r="F41" i="2"/>
  <c r="B28" i="2"/>
  <c r="E28" i="2" s="1"/>
  <c r="F28" i="2" l="1"/>
  <c r="D43" i="1"/>
  <c r="G51" i="1" s="1"/>
  <c r="C51" i="1" l="1"/>
  <c r="F51" i="1"/>
  <c r="D51" i="1"/>
  <c r="E51" i="1"/>
  <c r="G41" i="2"/>
  <c r="H41" i="2" s="1"/>
  <c r="G28" i="2"/>
  <c r="H28" i="2" s="1"/>
  <c r="C52" i="1" l="1"/>
  <c r="C55" i="1" s="1"/>
  <c r="D52" i="1"/>
  <c r="D55" i="1" s="1"/>
  <c r="D10" i="7" s="1"/>
  <c r="G54" i="2"/>
  <c r="H54" i="2" s="1"/>
  <c r="C10" i="7" l="1"/>
  <c r="D13" i="7"/>
  <c r="E52" i="1"/>
  <c r="E55" i="1" s="1"/>
  <c r="E10" i="7" s="1"/>
  <c r="G67" i="2"/>
  <c r="H67" i="2" s="1"/>
  <c r="C13" i="7" l="1"/>
  <c r="E13" i="7"/>
  <c r="F52" i="1"/>
  <c r="F55" i="1" s="1"/>
  <c r="F10" i="7" s="1"/>
  <c r="G78" i="2"/>
  <c r="H78" i="2" s="1"/>
  <c r="F13" i="7" l="1"/>
  <c r="G52" i="1"/>
  <c r="G55" i="1" s="1"/>
  <c r="G10" i="7" s="1"/>
  <c r="G13" i="7" s="1"/>
  <c r="I55" i="1" l="1"/>
  <c r="H10" i="7"/>
  <c r="H13" i="7"/>
</calcChain>
</file>

<file path=xl/sharedStrings.xml><?xml version="1.0" encoding="utf-8"?>
<sst xmlns="http://schemas.openxmlformats.org/spreadsheetml/2006/main" count="95" uniqueCount="54">
  <si>
    <t>Unit</t>
  </si>
  <si>
    <t>Value</t>
  </si>
  <si>
    <t>Parameter</t>
  </si>
  <si>
    <t>tCO2/yr</t>
  </si>
  <si>
    <t>calculated</t>
  </si>
  <si>
    <t>MWh/yr</t>
  </si>
  <si>
    <t>tCO2/MWh</t>
  </si>
  <si>
    <t>Year</t>
  </si>
  <si>
    <t xml:space="preserve">Calculation of </t>
  </si>
  <si>
    <t>Calculation of baseline emission</t>
  </si>
  <si>
    <t>Baseline emission in year y</t>
  </si>
  <si>
    <t>Average annual quantity of electricity supplied by all project power units to the electricity grid during the defined operational history</t>
  </si>
  <si>
    <t>Baseline emission factor of all project power units operated in single cycle mode</t>
  </si>
  <si>
    <t>Emission factor of the electricity grid to which the project power unit is connected</t>
  </si>
  <si>
    <t>Maximum annual quantity of electricity that could be generated by all project power units in the baseline scenario</t>
  </si>
  <si>
    <t>Quantity of electricity supplied by all project power units to the electricity grid in year y, adjusted for changes to efficiency</t>
  </si>
  <si>
    <t>Total amount of electricity supplied to the electricity grid by the project power units in year y</t>
  </si>
  <si>
    <t>Minimum of the yearly average energy efficiency of the project power units monitored during the previous years (1 to y) after the implementation of the project activity for year y</t>
  </si>
  <si>
    <t>MWh</t>
  </si>
  <si>
    <t>Report</t>
  </si>
  <si>
    <t>Invoice</t>
  </si>
  <si>
    <t>Time</t>
  </si>
  <si>
    <t>Sub total year 2017</t>
  </si>
  <si>
    <t>Sub total year 2018</t>
  </si>
  <si>
    <t>Sub total year 2019</t>
  </si>
  <si>
    <t>Sub total year 2020</t>
  </si>
  <si>
    <t>MMBtu</t>
  </si>
  <si>
    <t xml:space="preserve">and </t>
  </si>
  <si>
    <t>tCO2/GJ</t>
  </si>
  <si>
    <t>default value</t>
  </si>
  <si>
    <t>Calculation of Baseline Emissions</t>
  </si>
  <si>
    <t xml:space="preserve">tCO2 </t>
  </si>
  <si>
    <t>Calculation of project emission</t>
  </si>
  <si>
    <t>Calculation of leakage emission</t>
  </si>
  <si>
    <t>tCO2/tCH4</t>
  </si>
  <si>
    <t>tCH4/GJ</t>
  </si>
  <si>
    <t>tCO2</t>
  </si>
  <si>
    <t>Calculation of emission reductions</t>
  </si>
  <si>
    <t>Heat rate</t>
  </si>
  <si>
    <t>Sub total year 10/2021</t>
  </si>
  <si>
    <t xml:space="preserve">Average </t>
  </si>
  <si>
    <t>Applied maximum permissible Error</t>
  </si>
  <si>
    <t>Generation for the delayed days</t>
  </si>
  <si>
    <t xml:space="preserve">Applied maximum permissible Error </t>
  </si>
  <si>
    <t>Total</t>
  </si>
  <si>
    <t>Estimated Emission Reduction</t>
  </si>
  <si>
    <t>2017 (01/04/2017 – 31/12/2017)</t>
  </si>
  <si>
    <t>2018 (01/01/2018 – 31/12/2018)</t>
  </si>
  <si>
    <t>2019 (01/01/2019 – 31/12/2019)</t>
  </si>
  <si>
    <t>2020 (01/01/2020 – 31/12/2020)</t>
  </si>
  <si>
    <t>2021 (01/01/2021 – 31/10/2021)</t>
  </si>
  <si>
    <t xml:space="preserve">Ex-ante Estimated </t>
  </si>
  <si>
    <t>Achieved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</si>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</sst>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yyyy"/>
    <numFmt numFmtId="165" formatCode="#,##0.0000"/>
    <numFmt numFmtId="166" formatCode="mm\/yyyy"/>
    <numFmt numFmtId="170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0" fillId="4" borderId="0" xfId="0" applyFill="1"/>
    <xf numFmtId="0" fontId="3" fillId="4" borderId="0" xfId="0" applyFont="1" applyFill="1"/>
    <xf numFmtId="0" fontId="2" fillId="4" borderId="0" xfId="0" applyFont="1" applyFill="1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6" borderId="1" xfId="0" applyFont="1" applyFill="1" applyBorder="1"/>
    <xf numFmtId="16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6" borderId="2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6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/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0" fillId="2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3" fontId="0" fillId="0" borderId="1" xfId="0" applyNumberFormat="1" applyBorder="1"/>
    <xf numFmtId="3" fontId="1" fillId="2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0" fontId="0" fillId="0" borderId="0" xfId="0" applyNumberFormat="1"/>
    <xf numFmtId="3" fontId="0" fillId="0" borderId="0" xfId="0" applyNumberFormat="1" applyAlignment="1">
      <alignment wrapText="1"/>
    </xf>
    <xf numFmtId="0" fontId="1" fillId="2" borderId="0" xfId="0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3" fontId="1" fillId="2" borderId="0" xfId="0" applyNumberFormat="1" applyFont="1" applyFill="1"/>
    <xf numFmtId="0" fontId="1" fillId="2" borderId="0" xfId="0" applyFont="1" applyFill="1"/>
    <xf numFmtId="10" fontId="1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101600</xdr:rowOff>
    </xdr:from>
    <xdr:ext cx="3111500" cy="5571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337050" y="889000"/>
              <a:ext cx="3111500" cy="5571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𝑃𝐽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𝑎𝑑𝑗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𝑃𝐽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η</m:t>
                            </m:r>
                          </m:e>
                          <m: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𝑃𝐽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𝑚𝑖𝑛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η</m:t>
                            </m:r>
                          </m:e>
                          <m: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𝑃𝐽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337050" y="889000"/>
              <a:ext cx="3111500" cy="5571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𝐸𝐺〗_(𝑃𝐽,𝑎𝑑𝑗)=〖𝐸𝐺〗_𝑃𝐽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l-GR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η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_(𝑃𝐽,𝑚𝑖𝑛,𝑦)/</a:t>
              </a:r>
              <a:r>
                <a:rPr lang="el-GR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η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_(𝑃𝐽,𝑦) 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260350</xdr:colOff>
      <xdr:row>10</xdr:row>
      <xdr:rowOff>50800</xdr:rowOff>
    </xdr:from>
    <xdr:ext cx="455959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260350" y="2025650"/>
              <a:ext cx="455959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𝑃𝐽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60350" y="2025650"/>
              <a:ext cx="455959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𝐸𝐺〗_(𝑃𝐽,𝑦)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101600</xdr:colOff>
      <xdr:row>11</xdr:row>
      <xdr:rowOff>44450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101600" y="265430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200" i="1">
                            <a:latin typeface="Cambria Math" panose="02040503050406030204" pitchFamily="18" charset="0"/>
                          </a:rPr>
                          <m:t>η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𝑃𝐽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𝑚𝑖𝑛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01600" y="265430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l-GR" sz="1200" i="0">
                  <a:latin typeface="Cambria Math" panose="02040503050406030204" pitchFamily="18" charset="0"/>
                </a:rPr>
                <a:t>η</a:t>
              </a:r>
              <a:r>
                <a:rPr lang="en-US" sz="1200" i="0">
                  <a:latin typeface="Cambria Math" panose="02040503050406030204" pitchFamily="18" charset="0"/>
                </a:rPr>
                <a:t>_(</a:t>
              </a:r>
              <a:r>
                <a:rPr lang="en-US" sz="1200" b="0" i="0">
                  <a:latin typeface="Cambria Math" panose="02040503050406030204" pitchFamily="18" charset="0"/>
                </a:rPr>
                <a:t>𝑃𝐽,𝑚𝑖𝑛,𝑦)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</xdr:col>
      <xdr:colOff>44450</xdr:colOff>
      <xdr:row>2</xdr:row>
      <xdr:rowOff>31750</xdr:rowOff>
    </xdr:from>
    <xdr:ext cx="889000" cy="2024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1041400" y="400050"/>
              <a:ext cx="889000" cy="202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𝒂𝒅𝒋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41400" y="400050"/>
              <a:ext cx="889000" cy="202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〖𝑬𝑮〗_(𝑷𝑱,𝒂𝒅𝒋,𝒚)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228600</xdr:colOff>
      <xdr:row>15</xdr:row>
      <xdr:rowOff>31750</xdr:rowOff>
    </xdr:from>
    <xdr:ext cx="536750" cy="2355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1219200" y="3244850"/>
              <a:ext cx="536750" cy="2355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1219200" y="3244850"/>
              <a:ext cx="536750" cy="2355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1" i="0">
                  <a:latin typeface="Cambria Math" panose="02040503050406030204" pitchFamily="18" charset="0"/>
                </a:rPr>
                <a:t>〖𝑬𝑮〗_(𝑷𝑱,𝒚)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3</xdr:col>
      <xdr:colOff>158750</xdr:colOff>
      <xdr:row>15</xdr:row>
      <xdr:rowOff>50800</xdr:rowOff>
    </xdr:from>
    <xdr:ext cx="800100" cy="311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257800" y="3263900"/>
              <a:ext cx="800100" cy="311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𝑭𝑪</m:t>
                        </m:r>
                      </m:e>
                      <m:sub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𝑵𝑮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257800" y="3263900"/>
              <a:ext cx="800100" cy="311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400" b="1" i="0">
                  <a:latin typeface="Cambria Math" panose="02040503050406030204" pitchFamily="18" charset="0"/>
                </a:rPr>
                <a:t>〖𝑭𝑪〗_(𝑵𝑮,𝒚)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5</xdr:col>
      <xdr:colOff>95250</xdr:colOff>
      <xdr:row>15</xdr:row>
      <xdr:rowOff>44450</xdr:rowOff>
    </xdr:from>
    <xdr:ext cx="641350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6286500" y="3257550"/>
              <a:ext cx="64135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l-GR" sz="1200" b="1" i="1">
                            <a:latin typeface="Cambria Math" panose="02040503050406030204" pitchFamily="18" charset="0"/>
                          </a:rPr>
                          <m:t>𝜼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6286500" y="3257550"/>
              <a:ext cx="64135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l-GR" sz="1200" b="1" i="0">
                  <a:latin typeface="Cambria Math" panose="02040503050406030204" pitchFamily="18" charset="0"/>
                </a:rPr>
                <a:t>𝜼</a:t>
              </a:r>
              <a:r>
                <a:rPr lang="en-US" sz="1200" b="1" i="0">
                  <a:latin typeface="Cambria Math" panose="02040503050406030204" pitchFamily="18" charset="0"/>
                </a:rPr>
                <a:t>_(𝑷𝑱,𝒚)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6</xdr:col>
      <xdr:colOff>88900</xdr:colOff>
      <xdr:row>15</xdr:row>
      <xdr:rowOff>57150</xdr:rowOff>
    </xdr:from>
    <xdr:ext cx="641350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7092950" y="3270250"/>
              <a:ext cx="64135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l-GR" sz="1200" b="1" i="1">
                            <a:latin typeface="Cambria Math" panose="02040503050406030204" pitchFamily="18" charset="0"/>
                          </a:rPr>
                          <m:t>𝜼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7092950" y="3270250"/>
              <a:ext cx="64135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l-GR" sz="1200" b="1" i="0">
                  <a:latin typeface="Cambria Math" panose="02040503050406030204" pitchFamily="18" charset="0"/>
                </a:rPr>
                <a:t>𝜼</a:t>
              </a:r>
              <a:r>
                <a:rPr lang="en-US" sz="1200" b="1" i="0">
                  <a:latin typeface="Cambria Math" panose="02040503050406030204" pitchFamily="18" charset="0"/>
                </a:rPr>
                <a:t>_(𝑷𝑱,𝒎𝒊𝒏,𝒚)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7</xdr:col>
      <xdr:colOff>273050</xdr:colOff>
      <xdr:row>15</xdr:row>
      <xdr:rowOff>50800</xdr:rowOff>
    </xdr:from>
    <xdr:ext cx="675120" cy="2361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8089900" y="3263900"/>
              <a:ext cx="675120" cy="2361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𝒂𝒅𝒋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8089900" y="3263900"/>
              <a:ext cx="675120" cy="2361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1" i="0">
                  <a:latin typeface="Cambria Math" panose="02040503050406030204" pitchFamily="18" charset="0"/>
                </a:rPr>
                <a:t>〖𝑬𝑮〗_(𝑷𝑱,𝒂𝒅𝒋)</a:t>
              </a:r>
              <a:endParaRPr lang="en-US" sz="14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107950</xdr:rowOff>
    </xdr:from>
    <xdr:ext cx="11652250" cy="3000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660400"/>
              <a:ext cx="11652250" cy="3000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𝐵𝐸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𝐵𝐿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𝑎𝑣𝑟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𝐵𝐿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+(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𝐵𝐿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𝑎𝑣𝑟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)×</m:t>
                    </m:r>
                    <m:r>
                      <m:rPr>
                        <m:sty m:val="p"/>
                      </m:rPr>
                      <a:rPr lang="en-US" sz="1800" b="0" i="0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min</m:t>
                    </m:r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⁡(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𝐵𝐿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;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𝑔𝑟𝑖𝑑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)+(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𝑃𝐽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𝑎𝑑𝑗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𝑔𝑟𝑖𝑑</m:t>
                        </m:r>
                      </m:sub>
                    </m:sSub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660400"/>
              <a:ext cx="11652250" cy="3000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𝐵𝐸〗_𝑦=〖𝐸𝐺〗_(𝐵𝐿,𝑎𝑣𝑟)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〖𝐸𝐹〗_(𝐶𝑂2,𝐵𝐿)+(〖𝐸𝐺〗_𝑚𝑎𝑥−〖𝐸𝐺〗_(𝐵𝐿,𝑎𝑣𝑟))×min⁡(〖𝐸𝐹〗_(𝐶𝑂2,𝐵𝐿);〖𝐸𝐹〗_𝑔𝑟𝑖𝑑)+(〖𝐸𝐺〗_(𝑃𝐽,𝑎𝑑𝑗,𝑦)−〖𝐸𝐺〗_𝑚𝑎𝑥)×〖𝐸𝐹〗_𝑔𝑟𝑖𝑑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260350</xdr:colOff>
      <xdr:row>8</xdr:row>
      <xdr:rowOff>50800</xdr:rowOff>
    </xdr:from>
    <xdr:ext cx="303994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60350" y="1651000"/>
              <a:ext cx="303994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𝐵𝐸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60350" y="1651000"/>
              <a:ext cx="303994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𝐵𝐸〗_𝑦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165100</xdr:colOff>
      <xdr:row>9</xdr:row>
      <xdr:rowOff>57150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165100" y="19748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𝐵𝐿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𝑎𝑣𝑟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65100" y="19748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𝐸𝐺〗_(𝐵𝐿,𝑎𝑣𝑟)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101600</xdr:colOff>
      <xdr:row>10</xdr:row>
      <xdr:rowOff>44450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101600" y="22796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𝐶𝑂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𝐵𝐿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01600" y="22796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𝐸𝐹〗_(𝐶𝑂2,𝐵𝐿)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76200</xdr:colOff>
      <xdr:row>11</xdr:row>
      <xdr:rowOff>69850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6200" y="26225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𝑔𝑟𝑖𝑑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76200" y="26225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𝐸𝐹〗_𝑔𝑟𝑖𝑑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82550</xdr:colOff>
      <xdr:row>28</xdr:row>
      <xdr:rowOff>82550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5657850" y="20002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657850" y="20002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𝐸𝐺〗_𝑥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114300</xdr:colOff>
      <xdr:row>31</xdr:row>
      <xdr:rowOff>63500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5689600" y="22987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𝒂𝒗𝒓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5689600" y="22987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〖𝑬𝑮〗_(𝑩𝑳,𝒂𝒗𝒓)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114300</xdr:colOff>
      <xdr:row>12</xdr:row>
      <xdr:rowOff>76200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114300" y="29464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14300" y="29464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𝐸𝐺〗_𝑚𝑎𝑥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120650</xdr:colOff>
      <xdr:row>41</xdr:row>
      <xdr:rowOff>50800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 txBox="1"/>
          </xdr:nvSpPr>
          <xdr:spPr>
            <a:xfrm>
              <a:off x="5695950" y="29210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𝐶𝐴𝑃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5695950" y="29210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𝐶𝐴𝑃〗_𝑚𝑎𝑥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2</xdr:col>
      <xdr:colOff>158750</xdr:colOff>
      <xdr:row>41</xdr:row>
      <xdr:rowOff>50800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7385050" y="29210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7385050" y="292100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𝑇_𝑚𝑎𝑥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3</xdr:col>
      <xdr:colOff>146050</xdr:colOff>
      <xdr:row>41</xdr:row>
      <xdr:rowOff>57150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8293100" y="29273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𝒎𝒂𝒙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8293100" y="29273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〖𝑬𝑮〗_𝒎𝒂𝒙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241300</xdr:colOff>
      <xdr:row>41</xdr:row>
      <xdr:rowOff>50800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 txBox="1"/>
          </xdr:nvSpPr>
          <xdr:spPr>
            <a:xfrm>
              <a:off x="1098550" y="61150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𝐻𝑀𝑅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098550" y="61150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𝐻𝑀𝑅〗_𝑥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44450</xdr:colOff>
      <xdr:row>13</xdr:row>
      <xdr:rowOff>95250</xdr:rowOff>
    </xdr:from>
    <xdr:ext cx="641350" cy="1978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 txBox="1"/>
          </xdr:nvSpPr>
          <xdr:spPr>
            <a:xfrm>
              <a:off x="44450" y="3282950"/>
              <a:ext cx="641350" cy="197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𝑃𝐽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𝑎𝑑𝑗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44450" y="3282950"/>
              <a:ext cx="641350" cy="197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𝐸𝐺〗_(𝑃𝐽,𝑎𝑑𝑗,𝑦)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</xdr:col>
      <xdr:colOff>0</xdr:colOff>
      <xdr:row>17</xdr:row>
      <xdr:rowOff>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 txBox="1"/>
          </xdr:nvSpPr>
          <xdr:spPr>
            <a:xfrm>
              <a:off x="857250" y="4273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𝒂𝒗𝒓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857250" y="4273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〖𝑬𝑮〗_(𝑩𝑳,𝒂𝒗𝒓)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0</xdr:colOff>
      <xdr:row>35</xdr:row>
      <xdr:rowOff>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/>
          </xdr:nvSpPr>
          <xdr:spPr>
            <a:xfrm>
              <a:off x="857250" y="56959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𝒎𝒂𝒙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857250" y="56959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〖𝑬𝑮〗_𝒎𝒂𝒙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127000</xdr:colOff>
      <xdr:row>27</xdr:row>
      <xdr:rowOff>63500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 txBox="1"/>
          </xdr:nvSpPr>
          <xdr:spPr>
            <a:xfrm>
              <a:off x="127000" y="50228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𝐹𝐶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127000" y="50228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𝐹𝐶〗_(𝑖,𝑥)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2</xdr:col>
      <xdr:colOff>355600</xdr:colOff>
      <xdr:row>17</xdr:row>
      <xdr:rowOff>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 txBox="1"/>
          </xdr:nvSpPr>
          <xdr:spPr>
            <a:xfrm>
              <a:off x="2254250" y="4273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2254250" y="4273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〖𝑬𝑭〗_(𝑪𝑶𝟐,𝑩𝑳)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127000</xdr:colOff>
      <xdr:row>19</xdr:row>
      <xdr:rowOff>114300</xdr:rowOff>
    </xdr:from>
    <xdr:ext cx="4756150" cy="6528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127000" y="4756150"/>
              <a:ext cx="4756150" cy="6528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𝐵𝐿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p>
                          <m:e>
                            <m:nary>
                              <m:naryPr>
                                <m:chr m:val="∑"/>
                                <m:limLoc m:val="subSup"/>
                                <m:supHide m:val="on"/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9"/>
                                  </m:r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  <m:sup/>
                              <m:e>
                                <m:sSub>
                                  <m:sSubPr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𝐹𝐶</m:t>
                                    </m:r>
                                  </m:e>
                                  <m: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𝑖</m:t>
                                    </m:r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,</m:t>
                                    </m:r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𝑥</m:t>
                                    </m:r>
                                  </m:sub>
                                </m:sSub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×</m:t>
                                </m:r>
                                <m:sSub>
                                  <m:sSubPr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𝑁𝐶𝑉</m:t>
                                    </m:r>
                                  </m:e>
                                  <m: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𝑖</m:t>
                                    </m:r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,</m:t>
                                    </m:r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𝑥</m:t>
                                    </m:r>
                                  </m:sub>
                                </m:sSub>
                              </m:e>
                            </m:nary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limLoc m:val="subSup"/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𝐸𝐺</m:t>
                                </m:r>
                              </m:e>
                              <m:sub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e>
                        </m:nary>
                      </m:den>
                    </m:f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𝑚𝑖𝑛</m:t>
                        </m:r>
                      </m:sub>
                    </m:sSub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127000" y="4756150"/>
              <a:ext cx="4756150" cy="6528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𝐸𝐹〗_(𝐶𝑂2,𝐵𝐿)=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(∑24_(𝑥=1)^3▒∑10_𝑖▒〖〖𝐹𝐶〗_(𝑖,𝑥)×〖𝑁𝐶𝑉〗_(𝑖,𝑥) 〗)/(∑26_(𝑥=1)^3▒〖𝐸𝐺〗_𝑥 )×〖𝐸𝐹〗_(𝐶𝑂2,𝑚𝑖𝑛)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819150</xdr:colOff>
      <xdr:row>19</xdr:row>
      <xdr:rowOff>133350</xdr:rowOff>
    </xdr:from>
    <xdr:ext cx="2216150" cy="5587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/>
          </xdr:nvSpPr>
          <xdr:spPr>
            <a:xfrm>
              <a:off x="6394450" y="4775200"/>
              <a:ext cx="2216150" cy="5587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𝐵𝐿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𝑎𝑣𝑟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𝐸𝐺</m:t>
                                </m:r>
                              </m:e>
                              <m:sub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6394450" y="4775200"/>
              <a:ext cx="2216150" cy="5587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𝐸𝐺〗_(𝐵𝐿,𝑎𝑣𝑟)=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(∑24_(𝑥=1)^3▒〖𝐸𝐺〗_𝑥 )/3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88900</xdr:colOff>
      <xdr:row>29</xdr:row>
      <xdr:rowOff>69850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 txBox="1"/>
          </xdr:nvSpPr>
          <xdr:spPr>
            <a:xfrm>
              <a:off x="88900" y="69532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𝐶𝑂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2,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𝑚𝑖𝑛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88900" y="69532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𝐸𝐹〗_(𝐶𝑂2,𝑚𝑖𝑛)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0</xdr:col>
      <xdr:colOff>95250</xdr:colOff>
      <xdr:row>30</xdr:row>
      <xdr:rowOff>44450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95250" y="72453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95250" y="72453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〖𝑬𝑭〗_(𝑪𝑶𝟐,𝑩𝑳)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0</xdr:colOff>
      <xdr:row>37</xdr:row>
      <xdr:rowOff>31750</xdr:rowOff>
    </xdr:from>
    <xdr:ext cx="3079750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0" y="8788400"/>
              <a:ext cx="3079750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𝐸𝐺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𝐶𝐴𝑃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𝑚𝑎𝑥</m:t>
                        </m:r>
                      </m:sub>
                    </m:sSub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6" name="TextBox 25"/>
            <xdr:cNvSpPr txBox="1"/>
          </xdr:nvSpPr>
          <xdr:spPr>
            <a:xfrm>
              <a:off x="0" y="8788400"/>
              <a:ext cx="3079750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𝐸𝐺〗_𝑚𝑎𝑥=〖𝐶𝐴𝑃〗_𝑚𝑎𝑥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×𝑇_𝑚𝑎𝑥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19050</xdr:colOff>
      <xdr:row>49</xdr:row>
      <xdr:rowOff>69850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19050" y="114363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𝒂𝒗𝒓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7" name="TextBox 26"/>
            <xdr:cNvSpPr txBox="1"/>
          </xdr:nvSpPr>
          <xdr:spPr>
            <a:xfrm>
              <a:off x="19050" y="114363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〖𝑬𝑮〗_(𝑩𝑳,𝒂𝒗𝒓)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38100</xdr:colOff>
      <xdr:row>52</xdr:row>
      <xdr:rowOff>57150</xdr:rowOff>
    </xdr:from>
    <xdr:ext cx="641350" cy="19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38100" y="123761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𝑩𝑳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38100" y="12376150"/>
              <a:ext cx="641350" cy="19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〖𝑬𝑭〗_(𝑪𝑶𝟐,𝑩𝑳)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0</xdr:colOff>
      <xdr:row>50</xdr:row>
      <xdr:rowOff>82550</xdr:rowOff>
    </xdr:from>
    <xdr:ext cx="641350" cy="193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0" y="11766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𝒎𝒂𝒙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0" y="11766550"/>
              <a:ext cx="641350" cy="193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〖𝑬𝑮〗_𝒎𝒂𝒙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0</xdr:colOff>
      <xdr:row>53</xdr:row>
      <xdr:rowOff>82550</xdr:rowOff>
    </xdr:from>
    <xdr:ext cx="641350" cy="2024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0" y="12719050"/>
              <a:ext cx="641350" cy="202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𝒈𝒓𝒊𝒅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0" y="12719050"/>
              <a:ext cx="641350" cy="202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〖𝑬𝑭〗_𝒈𝒓𝒊𝒅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50800</xdr:colOff>
      <xdr:row>51</xdr:row>
      <xdr:rowOff>69850</xdr:rowOff>
    </xdr:from>
    <xdr:ext cx="641350" cy="2024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50800" y="12071350"/>
              <a:ext cx="641350" cy="202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𝑬𝑮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𝑷𝑱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𝒂𝒅𝒋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50800" y="12071350"/>
              <a:ext cx="641350" cy="2024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〖𝑬𝑮〗_(𝑷𝑱,𝒂𝒅𝒋,𝒚)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82550</xdr:colOff>
      <xdr:row>54</xdr:row>
      <xdr:rowOff>114300</xdr:rowOff>
    </xdr:from>
    <xdr:ext cx="320601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82550" y="13068300"/>
              <a:ext cx="320601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82550" y="13068300"/>
              <a:ext cx="320601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〖𝑩𝑬〗_𝒚</a:t>
              </a:r>
              <a:endParaRPr lang="en-US" sz="1200" b="1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304800</xdr:colOff>
      <xdr:row>2</xdr:row>
      <xdr:rowOff>152400</xdr:rowOff>
    </xdr:from>
    <xdr:ext cx="3752850" cy="6769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3581400" y="571500"/>
              <a:ext cx="3752850" cy="676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𝑃𝐸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supHide m:val="on"/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𝐹𝐶</m:t>
                            </m:r>
                          </m:e>
                          <m: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𝑗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sSub>
                          <m:sSub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𝑁𝐶𝑉</m:t>
                            </m:r>
                          </m:e>
                          <m: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sSub>
                          <m:sSub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𝐸𝐹</m:t>
                            </m:r>
                          </m:e>
                          <m: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𝐶𝑂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581400" y="571500"/>
              <a:ext cx="3752850" cy="6769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𝑃𝐸〗_𝑦=∑8_𝑖▒〖〖𝐹𝐶〗_(𝑖,𝑗,𝑦)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×〖𝑁𝐶𝑉〗_(𝑖,𝑦)×〖𝐸𝐹〗_(𝐶𝑂2,𝑖,𝑦) 〗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9</xdr:row>
      <xdr:rowOff>57150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52400" y="18986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𝑭𝑪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𝑵𝑮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52400" y="18986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〖𝑭𝑪〗_(𝑵𝑮,𝒚)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203200</xdr:colOff>
      <xdr:row>10</xdr:row>
      <xdr:rowOff>63500</xdr:rowOff>
    </xdr:from>
    <xdr:ext cx="550535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203200" y="2222500"/>
              <a:ext cx="550535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03200" y="2222500"/>
              <a:ext cx="550535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〖𝑬𝑭〗_(𝑪𝑶𝟐,𝒚)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152400</xdr:colOff>
      <xdr:row>11</xdr:row>
      <xdr:rowOff>63500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152400" y="25400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52400" y="25400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〖𝑷𝑬〗_𝒚</a:t>
              </a:r>
              <a:endParaRPr lang="en-US" sz="1200" b="1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69850</xdr:rowOff>
    </xdr:from>
    <xdr:ext cx="10972800" cy="1201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457200" y="755650"/>
              <a:ext cx="10972800" cy="1201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𝐿𝐸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𝐿𝐸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𝑢𝑝𝑠𝑡𝑟𝑒𝑎𝑚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𝑀𝐴𝑋</m:t>
                    </m:r>
                    <m:d>
                      <m:dPr>
                        <m:begChr m:val="["/>
                        <m:endChr m:val="]"/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0,</m:t>
                        </m:r>
                        <m:d>
                          <m:d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nary>
                                  <m:naryPr>
                                    <m:chr m:val="∑"/>
                                    <m:limLoc m:val="subSup"/>
                                    <m:supHide m:val="on"/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9"/>
                                      </m:r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  <m:sup/>
                                  <m:e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𝐹𝐶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sub>
                                    </m:s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×</m:t>
                                    </m:r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𝑁𝐶𝑉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sub>
                                    </m:s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×</m:t>
                                    </m:r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𝐸𝐹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𝑢𝑝𝑠𝑡𝑟𝑒𝑎𝑚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𝐶𝐻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4</m:t>
                                        </m:r>
                                      </m:sub>
                                    </m:sSub>
                                  </m:e>
                                </m:nary>
                              </m:e>
                            </m:d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𝐺𝑊𝑃</m:t>
                                </m:r>
                              </m:e>
                              <m:sub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𝐶𝐻</m:t>
                                </m:r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𝐿𝐸</m:t>
                                </m:r>
                              </m:e>
                              <m:sub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𝐿𝑁𝐺</m:t>
                                </m:r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,</m:t>
                                </m:r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𝐶𝑂</m:t>
                                </m:r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2,</m:t>
                                </m:r>
                                <m: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𝑦</m:t>
                                </m:r>
                              </m:sub>
                            </m:sSub>
                          </m:e>
                        </m:d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d>
                          <m:dPr>
                            <m:ctrlP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8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1−</m:t>
                            </m:r>
                            <m:f>
                              <m:fPr>
                                <m:ctrlPr>
                                  <a:rPr lang="en-US" sz="18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f>
                                  <m:fPr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1</m:t>
                                    </m:r>
                                  </m:num>
                                  <m:den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3</m:t>
                                    </m:r>
                                  </m:den>
                                </m:f>
                                <m:nary>
                                  <m:naryPr>
                                    <m:chr m:val="∑"/>
                                    <m:limLoc m:val="subSup"/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25"/>
                                      </m:r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𝑥</m:t>
                                    </m:r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=1</m:t>
                                    </m:r>
                                  </m:sub>
                                  <m:sup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3</m:t>
                                    </m:r>
                                  </m:sup>
                                  <m:e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𝐹𝐶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sub>
                                    </m:s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×</m:t>
                                    </m:r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𝑁𝐶𝑉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sub>
                                    </m:sSub>
                                  </m:e>
                                </m:nary>
                              </m:num>
                              <m:den>
                                <m:nary>
                                  <m:naryPr>
                                    <m:chr m:val="∑"/>
                                    <m:limLoc m:val="subSup"/>
                                    <m:supHide m:val="on"/>
                                    <m:ctrl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9"/>
                                      </m:rP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  <m:sup/>
                                  <m:e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𝐹𝐶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sub>
                                    </m:sSub>
                                    <m:r>
                                      <a:rPr lang="en-US" sz="1800" b="0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×</m:t>
                                    </m:r>
                                    <m:sSub>
                                      <m:sSubPr>
                                        <m:ctrlP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𝑁𝐶𝑉</m:t>
                                        </m:r>
                                      </m:e>
                                      <m:sub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,</m:t>
                                        </m:r>
                                        <m:r>
                                          <a:rPr lang="en-US" sz="18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sub>
                                    </m:sSub>
                                  </m:e>
                                </m:nary>
                              </m:den>
                            </m:f>
                          </m:e>
                        </m:d>
                      </m:e>
                    </m:d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457200" y="755650"/>
              <a:ext cx="10972800" cy="1201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𝐿𝐸〗_𝑦=〖𝐿𝐸〗_(𝑢𝑝𝑠𝑡𝑟𝑒𝑎𝑚,𝑦)=𝑀𝐴𝑋[0,((∑10_𝑖▒〖〖𝐹𝐶〗_(𝑖,𝑦)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×〖𝑁𝐶𝑉〗_(𝑖,𝑦)×〖𝐸𝐹〗_(𝑖,𝑢𝑝𝑠𝑡𝑟𝑒𝑎𝑚,𝐶𝐻4) 〗)×〖𝐺𝑊𝑃〗_𝐶𝐻4+〖𝐿𝐸〗_(𝐿𝑁𝐺,𝐶𝑂2,𝑦) )×(1−(1/3 ∑26_(𝑥=1)^3▒〖〖𝐹𝐶〗_(𝑖,𝑥)×〖𝑁𝐶𝑉〗_(𝑖,𝑥) 〗)/(∑10_𝑖▒〖〖𝐹𝐶〗_(𝑖,𝑦)×〖𝑁𝐶𝑉〗_(𝑖,𝑦) 〗))]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18</xdr:row>
      <xdr:rowOff>57150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 txBox="1"/>
          </xdr:nvSpPr>
          <xdr:spPr>
            <a:xfrm>
              <a:off x="152400" y="19812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𝑭𝑪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𝑵𝑮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52400" y="19812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〖𝑭𝑪〗_(𝑵𝑮,𝒚)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152400</xdr:colOff>
      <xdr:row>24</xdr:row>
      <xdr:rowOff>63500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>
              <a:off x="152400" y="26225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𝑳𝑬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52400" y="26225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〖𝑳𝑬〗_𝒚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133350</xdr:colOff>
      <xdr:row>19</xdr:row>
      <xdr:rowOff>63500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>
              <a:off x="133350" y="32258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𝑭𝑪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33350" y="32258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〖𝑭𝑪〗_(𝒊,𝒙)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349250</xdr:colOff>
      <xdr:row>12</xdr:row>
      <xdr:rowOff>120650</xdr:rowOff>
    </xdr:from>
    <xdr:ext cx="5829300" cy="299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349250" y="2463800"/>
              <a:ext cx="5829300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𝐿𝐸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𝐿𝑁𝐺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𝐹𝐶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𝐿𝑁𝐺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𝑁𝐶𝑉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𝐿𝑁𝐺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𝐸𝐹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𝐶𝑂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𝑢𝑝𝑠𝑡𝑟𝑒𝑎𝑚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𝐿𝑁𝐺</m:t>
                        </m:r>
                      </m:sub>
                    </m:sSub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49250" y="2463800"/>
              <a:ext cx="5829300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𝐿𝐸〗_(𝐿𝑁𝐺,𝐶𝑂2,𝑦)=〖𝐹𝐶〗_(𝐿𝑁𝐺,𝑦)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×〖𝑁𝐶𝑉〗_(𝐿𝑁𝐺,𝑦)×〖𝐸𝐹〗_(𝐶𝑂2,𝑢𝑝𝑠𝑡𝑟𝑒𝑎𝑚,𝐿𝑁𝐺)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101600</xdr:colOff>
      <xdr:row>20</xdr:row>
      <xdr:rowOff>69850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101600" y="48387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𝑮𝑾𝑷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𝑪𝒉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𝟒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101600" y="48387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〖𝑮𝑾𝑷〗_𝑪𝒉𝟒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0</xdr:colOff>
      <xdr:row>21</xdr:row>
      <xdr:rowOff>95250</xdr:rowOff>
    </xdr:from>
    <xdr:ext cx="1282700" cy="209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>
            <a:xfrm>
              <a:off x="0" y="5181600"/>
              <a:ext cx="1282700" cy="209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𝑵𝑮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𝒖𝒑𝒔𝒕𝒓𝒆𝒂𝒎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𝑪𝑯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𝟒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0" y="5181600"/>
              <a:ext cx="1282700" cy="209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〖𝑬𝑭〗_(𝑵𝑮,𝒖𝒑𝒔𝒕𝒓𝒆𝒂𝒎,𝑪𝑯𝟒)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0</xdr:colOff>
      <xdr:row>22</xdr:row>
      <xdr:rowOff>69850</xdr:rowOff>
    </xdr:from>
    <xdr:ext cx="1282700" cy="209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>
            <a:xfrm>
              <a:off x="0" y="5473700"/>
              <a:ext cx="1282700" cy="209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𝑬𝑭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𝒖𝒑𝒔𝒕𝒓𝒆𝒂𝒎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𝑳𝑵𝑮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0" y="5473700"/>
              <a:ext cx="1282700" cy="209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〖𝑬𝑭〗_(𝑪𝑶𝟐,𝒖𝒑𝒔𝒕𝒓𝒆𝒂𝒎,𝑳𝑵𝑮)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19050</xdr:colOff>
      <xdr:row>23</xdr:row>
      <xdr:rowOff>76200</xdr:rowOff>
    </xdr:from>
    <xdr:ext cx="1282700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 txBox="1"/>
          </xdr:nvSpPr>
          <xdr:spPr>
            <a:xfrm>
              <a:off x="19050" y="5562600"/>
              <a:ext cx="128270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𝑳𝑬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𝑳𝑵𝑮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𝑪𝑶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19050" y="5562600"/>
              <a:ext cx="1282700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〖𝑳𝑬〗_(𝑳𝑵𝑮,𝑪𝑶𝟐,𝒚)</a:t>
              </a:r>
              <a:endParaRPr lang="en-US" sz="1200" b="1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463550</xdr:colOff>
      <xdr:row>3</xdr:row>
      <xdr:rowOff>133350</xdr:rowOff>
    </xdr:from>
    <xdr:ext cx="3752850" cy="299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647950" y="819150"/>
              <a:ext cx="3752850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𝐸𝑅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𝐵𝐸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𝐿𝐸</m:t>
                        </m:r>
                      </m:e>
                      <m:sub>
                        <m:r>
                          <a:rPr lang="en-US" sz="18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8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647950" y="819150"/>
              <a:ext cx="3752850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𝐸𝑅〗_𝑦=〖𝐵𝐸〗_𝑦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−〖𝑃𝐸〗_𝑦−〖𝐿𝐸〗_𝑦</a:t>
              </a:r>
              <a:endParaRPr lang="en-US" sz="18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9</xdr:row>
      <xdr:rowOff>57150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52400" y="19812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𝑩𝑬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52400" y="198120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〖𝑩𝑬〗_𝒚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323850</xdr:colOff>
      <xdr:row>10</xdr:row>
      <xdr:rowOff>69850</xdr:rowOff>
    </xdr:from>
    <xdr:ext cx="315023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323850" y="2311400"/>
              <a:ext cx="315023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𝑷𝑬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23850" y="2311400"/>
              <a:ext cx="315023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〖𝑷𝑬〗_𝒚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152400</xdr:colOff>
      <xdr:row>12</xdr:row>
      <xdr:rowOff>63500</xdr:rowOff>
    </xdr:from>
    <xdr:ext cx="698500" cy="26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 txBox="1"/>
          </xdr:nvSpPr>
          <xdr:spPr>
            <a:xfrm>
              <a:off x="152400" y="26225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𝑬𝑹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52400" y="2622550"/>
              <a:ext cx="698500" cy="26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〖𝑬𝑹〗_𝒚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0</xdr:col>
      <xdr:colOff>311150</xdr:colOff>
      <xdr:row>11</xdr:row>
      <xdr:rowOff>76200</xdr:rowOff>
    </xdr:from>
    <xdr:ext cx="296363" cy="2019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 txBox="1"/>
          </xdr:nvSpPr>
          <xdr:spPr>
            <a:xfrm>
              <a:off x="311150" y="2635250"/>
              <a:ext cx="296363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𝑳𝑬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11150" y="2635250"/>
              <a:ext cx="296363" cy="2019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〖𝑳𝑬〗_𝒚</a:t>
              </a:r>
              <a:endParaRPr lang="en-US" sz="12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79"/>
  <sheetViews>
    <sheetView topLeftCell="A8" workbookViewId="0">
      <selection activeCell="O85" sqref="O85"/>
    </sheetView>
  </sheetViews>
  <sheetFormatPr defaultRowHeight="14.4" x14ac:dyDescent="0.3"/>
  <cols>
    <col min="1" max="1" width="14.109375" customWidth="1"/>
    <col min="2" max="2" width="12.88671875" customWidth="1"/>
    <col min="3" max="3" width="13.109375" customWidth="1"/>
    <col min="4" max="5" width="15.5546875" style="32" customWidth="1"/>
    <col min="6" max="6" width="11.5546875" style="32" customWidth="1"/>
    <col min="7" max="7" width="11.5546875" customWidth="1"/>
    <col min="8" max="8" width="15.5546875" customWidth="1"/>
    <col min="15" max="15" width="14.21875" customWidth="1"/>
    <col min="16" max="16" width="18.33203125" customWidth="1"/>
    <col min="17" max="17" width="8.88671875" customWidth="1"/>
  </cols>
  <sheetData>
    <row r="3" spans="1:13" ht="18" x14ac:dyDescent="0.35">
      <c r="A3" s="12" t="s">
        <v>8</v>
      </c>
      <c r="B3" s="11"/>
    </row>
    <row r="10" spans="1:13" ht="24.9" customHeight="1" x14ac:dyDescent="0.3">
      <c r="A10" s="5" t="s">
        <v>2</v>
      </c>
      <c r="B10" s="5" t="s">
        <v>0</v>
      </c>
      <c r="C10" s="5" t="s">
        <v>1</v>
      </c>
    </row>
    <row r="11" spans="1:13" ht="24.9" customHeight="1" x14ac:dyDescent="0.3">
      <c r="A11" s="2"/>
      <c r="B11" s="1" t="s">
        <v>5</v>
      </c>
      <c r="C11" s="1" t="s">
        <v>4</v>
      </c>
      <c r="D11" t="s">
        <v>16</v>
      </c>
    </row>
    <row r="12" spans="1:13" ht="24.9" customHeight="1" x14ac:dyDescent="0.3">
      <c r="A12" s="2"/>
      <c r="B12" s="1"/>
      <c r="C12" s="1" t="s">
        <v>4</v>
      </c>
      <c r="D12" t="s">
        <v>17</v>
      </c>
    </row>
    <row r="16" spans="1:13" ht="24.9" customHeight="1" x14ac:dyDescent="0.3">
      <c r="A16" s="54" t="s">
        <v>21</v>
      </c>
      <c r="B16" s="47"/>
      <c r="C16" s="47"/>
      <c r="D16" s="30"/>
      <c r="E16" s="40" t="s">
        <v>38</v>
      </c>
      <c r="F16" s="30"/>
      <c r="G16" s="17"/>
      <c r="H16" s="17"/>
      <c r="I16" s="17"/>
      <c r="J16" s="17"/>
      <c r="K16" s="17"/>
      <c r="L16" s="17"/>
      <c r="M16" s="17"/>
    </row>
    <row r="17" spans="1:13" ht="24.9" customHeight="1" x14ac:dyDescent="0.3">
      <c r="A17" s="54"/>
      <c r="B17" s="43" t="s">
        <v>19</v>
      </c>
      <c r="C17" s="42"/>
      <c r="D17" s="30" t="s">
        <v>20</v>
      </c>
      <c r="E17" s="40"/>
      <c r="F17" s="30"/>
      <c r="G17" s="17"/>
      <c r="H17" s="17"/>
      <c r="I17" s="17"/>
      <c r="J17" s="17"/>
      <c r="K17" s="17"/>
      <c r="L17" s="17"/>
      <c r="M17" s="17"/>
    </row>
    <row r="18" spans="1:13" x14ac:dyDescent="0.3">
      <c r="A18" s="54"/>
      <c r="B18" s="22" t="s">
        <v>18</v>
      </c>
      <c r="C18" s="42"/>
      <c r="D18" s="30" t="s">
        <v>26</v>
      </c>
      <c r="E18" s="40"/>
      <c r="F18" s="30"/>
      <c r="G18" s="17"/>
      <c r="H18" s="30" t="s">
        <v>18</v>
      </c>
      <c r="I18" s="17"/>
      <c r="J18" s="17"/>
      <c r="K18" s="17"/>
      <c r="L18" s="17"/>
      <c r="M18" s="17"/>
    </row>
    <row r="19" spans="1:13" x14ac:dyDescent="0.3">
      <c r="A19" s="15">
        <v>42826</v>
      </c>
      <c r="B19" s="16">
        <v>134752.70000000001</v>
      </c>
      <c r="C19" s="16"/>
      <c r="D19" s="3">
        <v>1431289</v>
      </c>
      <c r="E19" s="39"/>
      <c r="F19" s="1"/>
      <c r="G19" s="37"/>
      <c r="H19" s="2"/>
      <c r="I19" s="2"/>
      <c r="J19" s="2"/>
      <c r="K19" s="2"/>
      <c r="L19" s="2"/>
      <c r="M19" s="2"/>
    </row>
    <row r="20" spans="1:13" x14ac:dyDescent="0.3">
      <c r="A20" s="15">
        <v>42856</v>
      </c>
      <c r="B20" s="16">
        <v>168502.53</v>
      </c>
      <c r="C20" s="16"/>
      <c r="D20" s="3">
        <v>1470204</v>
      </c>
      <c r="E20" s="39"/>
      <c r="F20" s="1"/>
      <c r="G20" s="38"/>
      <c r="H20" s="2"/>
      <c r="I20" s="2"/>
      <c r="J20" s="2"/>
      <c r="K20" s="2"/>
      <c r="L20" s="2"/>
      <c r="M20" s="2"/>
    </row>
    <row r="21" spans="1:13" x14ac:dyDescent="0.3">
      <c r="A21" s="15">
        <v>42887</v>
      </c>
      <c r="B21" s="16">
        <v>188207.02</v>
      </c>
      <c r="C21" s="16"/>
      <c r="D21" s="3">
        <v>1482362</v>
      </c>
      <c r="E21" s="39"/>
      <c r="F21" s="1"/>
      <c r="G21" s="38"/>
      <c r="H21" s="2"/>
      <c r="I21" s="2"/>
      <c r="J21" s="2"/>
      <c r="K21" s="2"/>
      <c r="L21" s="2"/>
      <c r="M21" s="2"/>
    </row>
    <row r="22" spans="1:13" x14ac:dyDescent="0.3">
      <c r="A22" s="15">
        <v>42917</v>
      </c>
      <c r="B22" s="16">
        <v>151784.65</v>
      </c>
      <c r="C22" s="16"/>
      <c r="D22" s="3">
        <v>1219093</v>
      </c>
      <c r="E22" s="39"/>
      <c r="F22" s="1"/>
      <c r="G22" s="38"/>
      <c r="H22" s="2"/>
      <c r="I22" s="2"/>
      <c r="J22" s="2"/>
      <c r="K22" s="2"/>
      <c r="L22" s="2"/>
      <c r="M22" s="2"/>
    </row>
    <row r="23" spans="1:13" x14ac:dyDescent="0.3">
      <c r="A23" s="15">
        <v>42948</v>
      </c>
      <c r="B23" s="16">
        <v>230379.14</v>
      </c>
      <c r="C23" s="16"/>
      <c r="D23" s="3">
        <v>1807139</v>
      </c>
      <c r="E23" s="39"/>
      <c r="F23" s="1"/>
      <c r="G23" s="38"/>
      <c r="H23" s="2"/>
      <c r="I23" s="2"/>
      <c r="J23" s="2"/>
      <c r="K23" s="2"/>
      <c r="L23" s="2"/>
      <c r="M23" s="2"/>
    </row>
    <row r="24" spans="1:13" x14ac:dyDescent="0.3">
      <c r="A24" s="15">
        <v>42979</v>
      </c>
      <c r="B24" s="16">
        <v>218214.53</v>
      </c>
      <c r="C24" s="16"/>
      <c r="D24" s="3">
        <v>1730811</v>
      </c>
      <c r="E24" s="39"/>
      <c r="F24" s="1"/>
      <c r="G24" s="38"/>
      <c r="H24" s="2"/>
      <c r="I24" s="2"/>
      <c r="J24" s="2"/>
      <c r="K24" s="2"/>
      <c r="L24" s="2"/>
      <c r="M24" s="2"/>
    </row>
    <row r="25" spans="1:13" x14ac:dyDescent="0.3">
      <c r="A25" s="15">
        <v>43009</v>
      </c>
      <c r="B25" s="16">
        <v>231024.47</v>
      </c>
      <c r="C25" s="16"/>
      <c r="D25" s="3">
        <v>1823591</v>
      </c>
      <c r="E25" s="39"/>
      <c r="F25" s="1"/>
      <c r="G25" s="38"/>
      <c r="H25" s="2"/>
      <c r="I25" s="2"/>
      <c r="J25" s="2"/>
      <c r="K25" s="2"/>
      <c r="L25" s="2"/>
      <c r="M25" s="2"/>
    </row>
    <row r="26" spans="1:13" x14ac:dyDescent="0.3">
      <c r="A26" s="15">
        <v>43040</v>
      </c>
      <c r="B26" s="16">
        <v>227670.24</v>
      </c>
      <c r="C26" s="16"/>
      <c r="D26" s="3">
        <v>1768840</v>
      </c>
      <c r="E26" s="39"/>
      <c r="F26" s="1"/>
      <c r="G26" s="38"/>
      <c r="H26" s="2"/>
      <c r="I26" s="2"/>
      <c r="J26" s="2"/>
      <c r="K26" s="2"/>
      <c r="L26" s="2"/>
      <c r="M26" s="2"/>
    </row>
    <row r="27" spans="1:13" x14ac:dyDescent="0.3">
      <c r="A27" s="15">
        <v>43070</v>
      </c>
      <c r="B27" s="16">
        <v>235604.6</v>
      </c>
      <c r="C27" s="16"/>
      <c r="D27" s="3">
        <v>1826373</v>
      </c>
      <c r="E27" s="39"/>
      <c r="F27" s="1"/>
      <c r="G27" s="38"/>
      <c r="H27" s="2"/>
      <c r="I27" s="2"/>
      <c r="J27" s="2"/>
      <c r="K27" s="2"/>
      <c r="L27" s="2"/>
      <c r="M27" s="2"/>
    </row>
    <row r="28" spans="1:13" ht="24.9" customHeight="1" x14ac:dyDescent="0.3">
      <c r="A28" s="18" t="s">
        <v>22</v>
      </c>
      <c r="B28" s="19">
        <f>SUM(B19:B27)</f>
        <v>1786139.8800000001</v>
      </c>
      <c r="C28" s="19"/>
      <c r="D28" s="20">
        <f t="shared" ref="D28" si="0">SUM(D19:D27)</f>
        <v>14559702</v>
      </c>
      <c r="E28" s="19">
        <f>D28/(B28/1000)</f>
        <v>8151.4903524801193</v>
      </c>
      <c r="F28" s="33">
        <f>3412/E28</f>
        <v>0.41857376411687552</v>
      </c>
      <c r="G28" s="33">
        <f>MIN(F28,F41,F54,F67,F78)</f>
        <v>0.39489597121628445</v>
      </c>
      <c r="H28" s="19">
        <f>B28*(G28/F28)</f>
        <v>1685101.8938773971</v>
      </c>
      <c r="I28" s="21"/>
      <c r="J28" s="21"/>
      <c r="K28" s="21"/>
      <c r="L28" s="21"/>
      <c r="M28" s="21"/>
    </row>
    <row r="29" spans="1:13" x14ac:dyDescent="0.3">
      <c r="A29" s="15">
        <v>43101</v>
      </c>
      <c r="B29" s="16">
        <v>235227.53</v>
      </c>
      <c r="C29" s="23"/>
      <c r="D29" s="3">
        <v>1823630</v>
      </c>
      <c r="E29" s="39"/>
      <c r="F29" s="1"/>
      <c r="G29" s="2"/>
      <c r="H29" s="2"/>
      <c r="I29" s="2"/>
      <c r="J29" s="2"/>
      <c r="K29" s="2"/>
      <c r="L29" s="2"/>
      <c r="M29" s="2"/>
    </row>
    <row r="30" spans="1:13" x14ac:dyDescent="0.3">
      <c r="A30" s="15">
        <v>43132</v>
      </c>
      <c r="B30" s="16">
        <v>166670.86716141598</v>
      </c>
      <c r="C30" s="23"/>
      <c r="D30" s="3">
        <v>1310319</v>
      </c>
      <c r="E30" s="39"/>
      <c r="F30" s="1"/>
      <c r="G30" s="2"/>
      <c r="H30" s="2"/>
      <c r="I30" s="2"/>
      <c r="J30" s="2"/>
      <c r="K30" s="2"/>
      <c r="L30" s="2"/>
      <c r="M30" s="2"/>
    </row>
    <row r="31" spans="1:13" x14ac:dyDescent="0.3">
      <c r="A31" s="15">
        <v>43160</v>
      </c>
      <c r="B31" s="16">
        <v>111066.75529904797</v>
      </c>
      <c r="C31" s="23"/>
      <c r="D31" s="3">
        <v>978199</v>
      </c>
      <c r="E31" s="39"/>
      <c r="F31" s="1"/>
      <c r="G31" s="2"/>
      <c r="H31" s="2"/>
      <c r="I31" s="2"/>
      <c r="J31" s="2"/>
      <c r="K31" s="2"/>
      <c r="L31" s="2"/>
      <c r="M31" s="2"/>
    </row>
    <row r="32" spans="1:13" x14ac:dyDescent="0.3">
      <c r="A32" s="15">
        <v>43191</v>
      </c>
      <c r="B32" s="16">
        <v>225484.15365831804</v>
      </c>
      <c r="C32" s="23"/>
      <c r="D32" s="3">
        <v>1766844</v>
      </c>
      <c r="E32" s="39"/>
      <c r="F32" s="1"/>
      <c r="G32" s="2"/>
      <c r="H32" s="2"/>
      <c r="I32" s="2"/>
      <c r="J32" s="2"/>
      <c r="K32" s="2"/>
      <c r="L32" s="2"/>
      <c r="M32" s="2"/>
    </row>
    <row r="33" spans="1:16" x14ac:dyDescent="0.3">
      <c r="A33" s="15">
        <v>43221</v>
      </c>
      <c r="B33" s="16">
        <v>232245.81077499987</v>
      </c>
      <c r="C33" s="23"/>
      <c r="D33" s="3">
        <v>1826362</v>
      </c>
      <c r="E33" s="39"/>
      <c r="F33" s="1"/>
      <c r="G33" s="2"/>
      <c r="H33" s="2"/>
      <c r="I33" s="2"/>
      <c r="J33" s="2"/>
      <c r="K33" s="2"/>
      <c r="L33" s="2"/>
      <c r="M33" s="2"/>
    </row>
    <row r="34" spans="1:16" x14ac:dyDescent="0.3">
      <c r="A34" s="15">
        <v>43252</v>
      </c>
      <c r="B34" s="16">
        <v>223342.56545489799</v>
      </c>
      <c r="C34" s="23"/>
      <c r="D34" s="3">
        <v>1772109</v>
      </c>
      <c r="E34" s="39"/>
      <c r="F34" s="1"/>
      <c r="G34" s="2"/>
      <c r="H34" s="2"/>
      <c r="I34" s="2"/>
      <c r="J34" s="2"/>
      <c r="K34" s="2"/>
      <c r="L34" s="2"/>
      <c r="M34" s="2"/>
    </row>
    <row r="35" spans="1:16" x14ac:dyDescent="0.3">
      <c r="A35" s="15">
        <v>43282</v>
      </c>
      <c r="B35" s="16">
        <v>230400.65222691905</v>
      </c>
      <c r="C35" s="23"/>
      <c r="D35" s="3">
        <v>1820790</v>
      </c>
      <c r="E35" s="39"/>
      <c r="F35" s="1"/>
      <c r="G35" s="2"/>
      <c r="H35" s="2"/>
      <c r="I35" s="2"/>
      <c r="J35" s="2"/>
      <c r="K35" s="2"/>
      <c r="L35" s="2"/>
      <c r="M35" s="2"/>
    </row>
    <row r="36" spans="1:16" x14ac:dyDescent="0.3">
      <c r="A36" s="15">
        <v>43313</v>
      </c>
      <c r="B36" s="16">
        <v>231930.79088999983</v>
      </c>
      <c r="C36" s="23"/>
      <c r="D36" s="3">
        <v>1833164</v>
      </c>
      <c r="E36" s="39"/>
      <c r="F36" s="1"/>
      <c r="G36" s="2"/>
      <c r="H36" s="2"/>
      <c r="I36" s="2"/>
      <c r="J36" s="2"/>
      <c r="K36" s="2"/>
      <c r="L36" s="2"/>
      <c r="M36" s="2"/>
    </row>
    <row r="37" spans="1:16" x14ac:dyDescent="0.3">
      <c r="A37" s="15">
        <v>43344</v>
      </c>
      <c r="B37" s="16">
        <v>221592.67823536889</v>
      </c>
      <c r="C37" s="23"/>
      <c r="D37" s="3">
        <v>1752573</v>
      </c>
      <c r="E37" s="39"/>
      <c r="F37" s="1"/>
      <c r="G37" s="2"/>
      <c r="H37" s="2"/>
      <c r="I37" s="2"/>
      <c r="J37" s="2"/>
      <c r="K37" s="2"/>
      <c r="L37" s="2"/>
      <c r="M37" s="2"/>
    </row>
    <row r="38" spans="1:16" x14ac:dyDescent="0.3">
      <c r="A38" s="15">
        <v>43374</v>
      </c>
      <c r="B38" s="16">
        <v>230840.75194149991</v>
      </c>
      <c r="C38" s="23"/>
      <c r="D38" s="3">
        <v>1834166</v>
      </c>
      <c r="E38" s="39"/>
      <c r="F38" s="1"/>
      <c r="G38" s="2"/>
      <c r="H38" s="2"/>
      <c r="I38" s="2"/>
      <c r="J38" s="2"/>
      <c r="K38" s="2"/>
      <c r="L38" s="2"/>
      <c r="M38" s="2"/>
    </row>
    <row r="39" spans="1:16" x14ac:dyDescent="0.3">
      <c r="A39" s="15">
        <v>43405</v>
      </c>
      <c r="B39" s="16">
        <v>217450.23873051588</v>
      </c>
      <c r="C39" s="23"/>
      <c r="D39" s="3">
        <v>1742153</v>
      </c>
      <c r="E39" s="39"/>
      <c r="F39" s="1"/>
      <c r="G39" s="2"/>
      <c r="H39" s="2"/>
      <c r="I39" s="2"/>
      <c r="J39" s="2"/>
      <c r="K39" s="2"/>
      <c r="L39" s="2"/>
      <c r="M39" s="2"/>
    </row>
    <row r="40" spans="1:16" x14ac:dyDescent="0.3">
      <c r="A40" s="15">
        <v>43435</v>
      </c>
      <c r="B40" s="16">
        <v>196485.42370188099</v>
      </c>
      <c r="C40" s="23"/>
      <c r="D40" s="3">
        <v>1686468</v>
      </c>
      <c r="E40" s="39"/>
      <c r="F40" s="1"/>
      <c r="G40" s="2"/>
      <c r="H40" s="2"/>
      <c r="I40" s="2"/>
      <c r="J40" s="2"/>
      <c r="K40" s="2"/>
      <c r="L40" s="2"/>
      <c r="M40" s="2"/>
    </row>
    <row r="41" spans="1:16" ht="24.9" customHeight="1" x14ac:dyDescent="0.3">
      <c r="A41" s="18" t="s">
        <v>23</v>
      </c>
      <c r="B41" s="19">
        <f>SUM(B29:B40)</f>
        <v>2522738.2180748642</v>
      </c>
      <c r="C41" s="19"/>
      <c r="D41" s="20">
        <f t="shared" ref="D41" si="1">SUM(D29:D40)</f>
        <v>20146777</v>
      </c>
      <c r="E41" s="20">
        <f>D41/(B41/1000)</f>
        <v>7986.0751526467457</v>
      </c>
      <c r="F41" s="33">
        <f>3412/E41</f>
        <v>0.42724366284847631</v>
      </c>
      <c r="G41" s="33">
        <f>MIN(F28,F41,F54,F67,F78)</f>
        <v>0.39489597121628445</v>
      </c>
      <c r="H41" s="19">
        <f>B41*(G41/F41)</f>
        <v>2331735.3664398892</v>
      </c>
      <c r="I41" s="21"/>
      <c r="J41" s="21"/>
      <c r="K41" s="21"/>
      <c r="L41" s="21"/>
      <c r="M41" s="21"/>
    </row>
    <row r="42" spans="1:16" x14ac:dyDescent="0.3">
      <c r="A42" s="15">
        <v>43466</v>
      </c>
      <c r="B42" s="16">
        <v>204847.80819858087</v>
      </c>
      <c r="C42" s="16"/>
      <c r="D42" s="3">
        <v>1605909</v>
      </c>
      <c r="E42" s="39"/>
      <c r="F42" s="1"/>
      <c r="G42" s="1"/>
      <c r="H42" s="2"/>
      <c r="I42" s="2"/>
      <c r="J42" s="2"/>
      <c r="K42" s="2"/>
      <c r="L42" s="2"/>
      <c r="M42" s="2"/>
    </row>
    <row r="43" spans="1:16" x14ac:dyDescent="0.3">
      <c r="A43" s="15">
        <v>43497</v>
      </c>
      <c r="B43" s="16">
        <v>131383.860533892</v>
      </c>
      <c r="C43" s="16"/>
      <c r="D43" s="3">
        <v>1538248</v>
      </c>
      <c r="E43" s="39"/>
      <c r="F43" s="1"/>
      <c r="G43" s="1"/>
      <c r="H43" s="2"/>
      <c r="I43" s="2"/>
      <c r="J43" s="2"/>
      <c r="K43" s="2"/>
      <c r="L43" s="2"/>
      <c r="M43" s="2"/>
    </row>
    <row r="44" spans="1:16" x14ac:dyDescent="0.3">
      <c r="A44" s="15">
        <v>43525</v>
      </c>
      <c r="B44" s="16">
        <v>153851.18845993193</v>
      </c>
      <c r="C44" s="16"/>
      <c r="D44" s="3">
        <v>1808422</v>
      </c>
      <c r="E44" s="39"/>
      <c r="F44" s="1"/>
      <c r="G44" s="1"/>
      <c r="H44" s="2"/>
      <c r="I44" s="2"/>
      <c r="J44" s="2"/>
      <c r="K44" s="2"/>
      <c r="L44" s="2"/>
      <c r="M44" s="2"/>
    </row>
    <row r="45" spans="1:16" x14ac:dyDescent="0.3">
      <c r="A45" s="15">
        <v>43556</v>
      </c>
      <c r="B45" s="16">
        <v>174229.38438291597</v>
      </c>
      <c r="C45" s="16"/>
      <c r="D45" s="3">
        <v>1785407</v>
      </c>
      <c r="E45" s="39"/>
      <c r="F45" s="1"/>
      <c r="G45" s="1"/>
      <c r="H45" s="2"/>
      <c r="I45" s="2"/>
      <c r="J45" s="2"/>
      <c r="K45" s="2"/>
      <c r="L45" s="2"/>
      <c r="M45" s="2"/>
    </row>
    <row r="46" spans="1:16" ht="43.2" x14ac:dyDescent="0.3">
      <c r="A46" s="15">
        <v>43586</v>
      </c>
      <c r="B46" s="16">
        <v>228969.70494024715</v>
      </c>
      <c r="C46" s="16"/>
      <c r="D46" s="3">
        <v>1828910</v>
      </c>
      <c r="E46" s="39"/>
      <c r="F46" s="1"/>
      <c r="G46" s="1"/>
      <c r="H46" s="2"/>
      <c r="I46" s="2"/>
      <c r="J46" s="2"/>
      <c r="K46" s="2"/>
      <c r="L46" s="2"/>
      <c r="M46" s="2"/>
      <c r="N46" s="51" t="s">
        <v>40</v>
      </c>
      <c r="O46" s="51" t="s">
        <v>42</v>
      </c>
      <c r="P46" s="51" t="s">
        <v>43</v>
      </c>
    </row>
    <row r="47" spans="1:16" x14ac:dyDescent="0.3">
      <c r="A47" s="15">
        <v>43617</v>
      </c>
      <c r="B47" s="50">
        <f>211131.172836891-P47</f>
        <v>211088.94660232362</v>
      </c>
      <c r="C47" s="16"/>
      <c r="D47" s="3">
        <v>1708831</v>
      </c>
      <c r="E47" s="39"/>
      <c r="F47" s="1"/>
      <c r="G47" s="1"/>
      <c r="H47" s="2"/>
      <c r="I47" s="2"/>
      <c r="J47" s="2"/>
      <c r="K47" s="2"/>
      <c r="L47" s="2"/>
      <c r="M47" s="2"/>
      <c r="N47" s="27">
        <f>211131.172836891/30</f>
        <v>7037.7057612297003</v>
      </c>
      <c r="O47" s="27">
        <f>N47*3</f>
        <v>21113.117283689102</v>
      </c>
      <c r="P47" s="27">
        <f>O47*0.2/100</f>
        <v>42.226234567378206</v>
      </c>
    </row>
    <row r="48" spans="1:16" x14ac:dyDescent="0.3">
      <c r="A48" s="15">
        <v>43647</v>
      </c>
      <c r="B48" s="50">
        <f>217433.856061713-P48</f>
        <v>217097.18428458521</v>
      </c>
      <c r="C48" s="16"/>
      <c r="D48" s="3">
        <v>1741378</v>
      </c>
      <c r="E48" s="39"/>
      <c r="F48" s="1"/>
      <c r="G48" s="1"/>
      <c r="H48" s="2"/>
      <c r="I48" s="2"/>
      <c r="J48" s="2"/>
      <c r="K48" s="2"/>
      <c r="L48" s="2"/>
      <c r="M48" s="2"/>
      <c r="N48" s="27">
        <f>217433.856061713/31</f>
        <v>7013.9953568294522</v>
      </c>
      <c r="O48" s="27">
        <f>N48*24</f>
        <v>168335.88856390686</v>
      </c>
      <c r="P48" s="27">
        <f>O48*0.2/100</f>
        <v>336.67177712781375</v>
      </c>
    </row>
    <row r="49" spans="1:16" x14ac:dyDescent="0.3">
      <c r="A49" s="15">
        <v>43678</v>
      </c>
      <c r="B49" s="16">
        <v>217750.58626998495</v>
      </c>
      <c r="C49" s="16"/>
      <c r="D49" s="3">
        <v>1744558</v>
      </c>
      <c r="E49" s="39"/>
      <c r="F49" s="1"/>
      <c r="G49" s="1"/>
      <c r="H49" s="2"/>
      <c r="I49" s="2"/>
      <c r="J49" s="2"/>
      <c r="K49" s="2"/>
      <c r="L49" s="2"/>
      <c r="M49" s="2"/>
      <c r="P49">
        <f>P48+P47</f>
        <v>378.89801169519194</v>
      </c>
    </row>
    <row r="50" spans="1:16" x14ac:dyDescent="0.3">
      <c r="A50" s="15">
        <v>43709</v>
      </c>
      <c r="B50" s="16">
        <v>212848.1828735001</v>
      </c>
      <c r="C50" s="16"/>
      <c r="D50" s="3">
        <v>1720067</v>
      </c>
      <c r="E50" s="39"/>
      <c r="F50" s="1"/>
      <c r="G50" s="1"/>
      <c r="H50" s="2"/>
      <c r="I50" s="2"/>
      <c r="J50" s="2"/>
      <c r="K50" s="2"/>
      <c r="L50" s="2"/>
      <c r="M50" s="2"/>
    </row>
    <row r="51" spans="1:16" x14ac:dyDescent="0.3">
      <c r="A51" s="15">
        <v>43739</v>
      </c>
      <c r="B51" s="16">
        <v>217739.52932740201</v>
      </c>
      <c r="C51" s="16"/>
      <c r="D51" s="3">
        <v>1759393</v>
      </c>
      <c r="E51" s="39"/>
      <c r="F51" s="1"/>
      <c r="G51" s="1"/>
      <c r="H51" s="2"/>
      <c r="I51" s="2"/>
      <c r="J51" s="2"/>
      <c r="K51" s="2"/>
      <c r="L51" s="2"/>
      <c r="M51" s="2"/>
    </row>
    <row r="52" spans="1:16" x14ac:dyDescent="0.3">
      <c r="A52" s="15">
        <v>43770</v>
      </c>
      <c r="B52" s="16">
        <v>209162.33132300008</v>
      </c>
      <c r="C52" s="16"/>
      <c r="D52" s="3">
        <v>1696888</v>
      </c>
      <c r="E52" s="39"/>
      <c r="F52" s="1"/>
      <c r="G52" s="1"/>
      <c r="H52" s="2"/>
      <c r="I52" s="2"/>
      <c r="J52" s="2"/>
      <c r="K52" s="2"/>
      <c r="L52" s="2"/>
      <c r="M52" s="2"/>
    </row>
    <row r="53" spans="1:16" ht="11.4" customHeight="1" x14ac:dyDescent="0.3">
      <c r="A53" s="15">
        <v>43800</v>
      </c>
      <c r="B53" s="16">
        <v>214699.35641276103</v>
      </c>
      <c r="C53" s="16"/>
      <c r="D53" s="3">
        <v>1743880</v>
      </c>
      <c r="E53" s="39"/>
      <c r="F53" s="1"/>
      <c r="G53" s="1"/>
      <c r="H53" s="2"/>
      <c r="I53" s="2"/>
      <c r="J53" s="2"/>
      <c r="K53" s="2"/>
      <c r="L53" s="2"/>
      <c r="M53" s="2"/>
    </row>
    <row r="54" spans="1:16" ht="39.6" customHeight="1" x14ac:dyDescent="0.3">
      <c r="A54" s="18" t="s">
        <v>24</v>
      </c>
      <c r="B54" s="19">
        <f>SUM(B42:B53)</f>
        <v>2393668.0636091246</v>
      </c>
      <c r="C54" s="19"/>
      <c r="D54" s="20">
        <f t="shared" ref="D54" si="2">SUM(D42:D53)</f>
        <v>20681891</v>
      </c>
      <c r="E54" s="19">
        <f>D54/(B54/1000)</f>
        <v>8640.2502144830651</v>
      </c>
      <c r="F54" s="33">
        <f>3412/E54</f>
        <v>0.39489597121628445</v>
      </c>
      <c r="G54" s="33">
        <f>G41</f>
        <v>0.39489597121628445</v>
      </c>
      <c r="H54" s="19">
        <f>B54*(G54/F54)</f>
        <v>2393668.0636091246</v>
      </c>
      <c r="I54" s="21"/>
      <c r="J54" s="21"/>
      <c r="K54" s="21"/>
      <c r="L54" s="21"/>
      <c r="M54" s="21"/>
      <c r="N54" s="51" t="s">
        <v>40</v>
      </c>
      <c r="O54" s="51" t="s">
        <v>42</v>
      </c>
      <c r="P54" s="51" t="s">
        <v>41</v>
      </c>
    </row>
    <row r="55" spans="1:16" x14ac:dyDescent="0.3">
      <c r="A55" s="15">
        <v>43831</v>
      </c>
      <c r="B55" s="50">
        <f>210355.0386-P55</f>
        <v>210178.61179343227</v>
      </c>
      <c r="C55" s="16"/>
      <c r="D55" s="3">
        <v>1717904</v>
      </c>
      <c r="E55" s="39"/>
      <c r="F55" s="1"/>
      <c r="G55" s="2"/>
      <c r="H55" s="2"/>
      <c r="I55" s="2"/>
      <c r="J55" s="2"/>
      <c r="K55" s="2"/>
      <c r="L55" s="2"/>
      <c r="M55" s="2"/>
      <c r="N55" s="27">
        <f>210355.0386/31</f>
        <v>6785.6464064516131</v>
      </c>
      <c r="O55" s="27">
        <f>N55*13</f>
        <v>88213.403283870968</v>
      </c>
      <c r="P55" s="27">
        <f>O55*0.2/100</f>
        <v>176.42680656774195</v>
      </c>
    </row>
    <row r="56" spans="1:16" x14ac:dyDescent="0.3">
      <c r="A56" s="15">
        <v>43862</v>
      </c>
      <c r="B56" s="50">
        <f>142064.159850497-P56</f>
        <v>142024.96973743479</v>
      </c>
      <c r="C56" s="16"/>
      <c r="D56" s="3">
        <v>1206031</v>
      </c>
      <c r="E56" s="39"/>
      <c r="F56" s="1"/>
      <c r="G56" s="2"/>
      <c r="H56" s="2"/>
      <c r="I56" s="2"/>
      <c r="J56" s="2"/>
      <c r="K56" s="2"/>
      <c r="L56" s="2"/>
      <c r="M56" s="2"/>
      <c r="N56" s="27">
        <f>142064.159850497/29</f>
        <v>4898.7641327757583</v>
      </c>
      <c r="O56" s="27">
        <f>N56*4</f>
        <v>19595.056531103033</v>
      </c>
      <c r="P56" s="27">
        <f>O56*0.2/100</f>
        <v>39.190113062206066</v>
      </c>
    </row>
    <row r="57" spans="1:16" x14ac:dyDescent="0.3">
      <c r="A57" s="15">
        <v>43891</v>
      </c>
      <c r="B57" s="16">
        <v>198409.15248610105</v>
      </c>
      <c r="C57" s="16"/>
      <c r="D57" s="3">
        <v>1629136</v>
      </c>
      <c r="E57" s="39"/>
      <c r="F57" s="1"/>
      <c r="G57" s="2"/>
      <c r="H57" s="2"/>
      <c r="I57" s="2"/>
      <c r="J57" s="2"/>
      <c r="K57" s="2"/>
      <c r="L57" s="2"/>
      <c r="M57" s="2"/>
    </row>
    <row r="58" spans="1:16" x14ac:dyDescent="0.3">
      <c r="A58" s="15">
        <v>43922</v>
      </c>
      <c r="B58" s="16">
        <v>192337.93759702294</v>
      </c>
      <c r="C58" s="16"/>
      <c r="D58" s="3">
        <v>1597153</v>
      </c>
      <c r="E58" s="39"/>
      <c r="F58" s="1"/>
      <c r="G58" s="2"/>
      <c r="H58" s="2"/>
      <c r="I58" s="2"/>
      <c r="J58" s="2"/>
      <c r="K58" s="2"/>
      <c r="L58" s="2"/>
      <c r="M58" s="2"/>
      <c r="P58">
        <f>P55+P56</f>
        <v>215.61691962994803</v>
      </c>
    </row>
    <row r="59" spans="1:16" x14ac:dyDescent="0.3">
      <c r="A59" s="15">
        <v>43952</v>
      </c>
      <c r="B59" s="16">
        <v>200936.10561089311</v>
      </c>
      <c r="C59" s="16"/>
      <c r="D59" s="3">
        <v>1652186</v>
      </c>
      <c r="E59" s="39"/>
      <c r="F59" s="1"/>
      <c r="G59" s="2"/>
      <c r="H59" s="2"/>
      <c r="I59" s="2"/>
      <c r="J59" s="2"/>
      <c r="K59" s="2"/>
      <c r="L59" s="2"/>
      <c r="M59" s="2"/>
    </row>
    <row r="60" spans="1:16" x14ac:dyDescent="0.3">
      <c r="A60" s="15">
        <v>43983</v>
      </c>
      <c r="B60" s="16">
        <v>196332.65849742095</v>
      </c>
      <c r="C60" s="16"/>
      <c r="D60" s="3">
        <v>1602003</v>
      </c>
      <c r="E60" s="39"/>
      <c r="F60" s="1"/>
      <c r="G60" s="2"/>
      <c r="H60" s="2"/>
      <c r="I60" s="2"/>
      <c r="J60" s="2"/>
      <c r="K60" s="2"/>
      <c r="L60" s="2"/>
      <c r="M60" s="2"/>
    </row>
    <row r="61" spans="1:16" x14ac:dyDescent="0.3">
      <c r="A61" s="15">
        <v>44013</v>
      </c>
      <c r="B61" s="16">
        <v>209665.47612774989</v>
      </c>
      <c r="C61" s="16"/>
      <c r="D61" s="3">
        <v>1708030</v>
      </c>
      <c r="E61" s="39"/>
      <c r="F61" s="1"/>
      <c r="G61" s="2"/>
      <c r="H61" s="2"/>
      <c r="I61" s="2"/>
      <c r="J61" s="2"/>
      <c r="K61" s="2"/>
      <c r="L61" s="2"/>
      <c r="M61" s="2"/>
    </row>
    <row r="62" spans="1:16" x14ac:dyDescent="0.3">
      <c r="A62" s="15">
        <v>44044</v>
      </c>
      <c r="B62" s="16">
        <v>160698.25857333909</v>
      </c>
      <c r="C62" s="16"/>
      <c r="D62" s="3">
        <v>1309323</v>
      </c>
      <c r="E62" s="39"/>
      <c r="F62" s="1"/>
      <c r="G62" s="2"/>
      <c r="H62" s="2"/>
      <c r="I62" s="2"/>
      <c r="J62" s="2"/>
      <c r="K62" s="2"/>
      <c r="L62" s="2"/>
      <c r="M62" s="2"/>
    </row>
    <row r="63" spans="1:16" x14ac:dyDescent="0.3">
      <c r="A63" s="15">
        <v>44075</v>
      </c>
      <c r="B63" s="16">
        <v>116546.87905142296</v>
      </c>
      <c r="C63" s="16"/>
      <c r="D63" s="3">
        <v>993818</v>
      </c>
      <c r="E63" s="39"/>
      <c r="F63" s="1"/>
      <c r="G63" s="2"/>
      <c r="H63" s="2"/>
      <c r="I63" s="2"/>
      <c r="J63" s="2"/>
      <c r="K63" s="2"/>
      <c r="L63" s="2"/>
      <c r="M63" s="2"/>
    </row>
    <row r="64" spans="1:16" x14ac:dyDescent="0.3">
      <c r="A64" s="15">
        <v>44105</v>
      </c>
      <c r="B64" s="16">
        <v>172987.89373588396</v>
      </c>
      <c r="C64" s="16"/>
      <c r="D64" s="3">
        <v>1433251</v>
      </c>
      <c r="E64" s="39"/>
      <c r="F64" s="1"/>
      <c r="G64" s="2"/>
      <c r="H64" s="2"/>
      <c r="I64" s="2"/>
      <c r="J64" s="2"/>
      <c r="K64" s="2"/>
      <c r="L64" s="2"/>
      <c r="M64" s="2"/>
    </row>
    <row r="65" spans="1:13" x14ac:dyDescent="0.3">
      <c r="A65" s="15">
        <v>44136</v>
      </c>
      <c r="B65" s="16">
        <v>174047.92404015403</v>
      </c>
      <c r="C65" s="16"/>
      <c r="D65" s="3">
        <v>1461985</v>
      </c>
      <c r="E65" s="39"/>
      <c r="F65" s="1"/>
      <c r="G65" s="2"/>
      <c r="H65" s="2"/>
      <c r="I65" s="2"/>
      <c r="J65" s="2"/>
      <c r="K65" s="2"/>
      <c r="L65" s="2"/>
      <c r="M65" s="2"/>
    </row>
    <row r="66" spans="1:13" x14ac:dyDescent="0.3">
      <c r="A66" s="15">
        <v>44166</v>
      </c>
      <c r="B66" s="16">
        <v>142359.05688334396</v>
      </c>
      <c r="C66" s="16"/>
      <c r="D66" s="3">
        <v>1315378</v>
      </c>
      <c r="E66" s="39"/>
      <c r="F66" s="1"/>
      <c r="G66" s="2"/>
      <c r="H66" s="2"/>
      <c r="I66" s="2"/>
      <c r="J66" s="2"/>
      <c r="K66" s="2"/>
      <c r="L66" s="2"/>
      <c r="M66" s="2"/>
    </row>
    <row r="67" spans="1:13" ht="24.9" customHeight="1" x14ac:dyDescent="0.3">
      <c r="A67" s="18" t="s">
        <v>25</v>
      </c>
      <c r="B67" s="19">
        <f>SUM(B55:B66)</f>
        <v>2116524.9241341986</v>
      </c>
      <c r="C67" s="19"/>
      <c r="D67" s="20">
        <f t="shared" ref="D67" si="3">SUM(D55:D66)</f>
        <v>17626198</v>
      </c>
      <c r="E67" s="20">
        <f>D67/(B67/1000)</f>
        <v>8327.8953151049263</v>
      </c>
      <c r="F67" s="33">
        <f>3412/E67</f>
        <v>0.4097073595307329</v>
      </c>
      <c r="G67" s="33">
        <f>G54</f>
        <v>0.39489597121628445</v>
      </c>
      <c r="H67" s="19">
        <f>B67*(G67/F67)</f>
        <v>2040010.1342498625</v>
      </c>
      <c r="I67" s="21"/>
      <c r="J67" s="21"/>
      <c r="K67" s="21"/>
      <c r="L67" s="21"/>
      <c r="M67" s="21"/>
    </row>
    <row r="68" spans="1:13" x14ac:dyDescent="0.3">
      <c r="A68" s="15">
        <v>44197</v>
      </c>
      <c r="B68" s="16">
        <v>155683.81941424191</v>
      </c>
      <c r="C68" s="16"/>
      <c r="D68" s="3">
        <v>1361529</v>
      </c>
      <c r="E68" s="39"/>
      <c r="F68" s="1"/>
      <c r="G68" s="1"/>
      <c r="H68" s="2"/>
      <c r="I68" s="2"/>
      <c r="J68" s="2"/>
      <c r="K68" s="2"/>
      <c r="L68" s="2"/>
      <c r="M68" s="2"/>
    </row>
    <row r="69" spans="1:13" x14ac:dyDescent="0.3">
      <c r="A69" s="15">
        <v>44228</v>
      </c>
      <c r="B69" s="16">
        <v>181180.53420059296</v>
      </c>
      <c r="C69" s="16"/>
      <c r="D69" s="3">
        <v>1534881.97</v>
      </c>
      <c r="E69" s="39"/>
      <c r="F69" s="1"/>
      <c r="G69" s="1"/>
      <c r="H69" s="2"/>
      <c r="I69" s="2"/>
      <c r="J69" s="2"/>
      <c r="K69" s="2"/>
      <c r="L69" s="2"/>
      <c r="M69" s="2"/>
    </row>
    <row r="70" spans="1:13" x14ac:dyDescent="0.3">
      <c r="A70" s="15">
        <v>44256</v>
      </c>
      <c r="B70" s="16">
        <v>188090.26866232202</v>
      </c>
      <c r="C70" s="16"/>
      <c r="D70" s="3">
        <v>1559059</v>
      </c>
      <c r="E70" s="39"/>
      <c r="F70" s="1"/>
      <c r="G70" s="1"/>
      <c r="H70" s="2"/>
      <c r="I70" s="2"/>
      <c r="J70" s="2"/>
      <c r="K70" s="2"/>
      <c r="L70" s="2"/>
      <c r="M70" s="2"/>
    </row>
    <row r="71" spans="1:13" x14ac:dyDescent="0.3">
      <c r="A71" s="15">
        <v>44287</v>
      </c>
      <c r="B71" s="16">
        <v>107328.31781983897</v>
      </c>
      <c r="C71" s="16"/>
      <c r="D71" s="3">
        <v>993276</v>
      </c>
      <c r="E71" s="39"/>
      <c r="F71" s="1"/>
      <c r="G71" s="1"/>
      <c r="H71" s="2"/>
      <c r="I71" s="2"/>
      <c r="J71" s="2"/>
      <c r="K71" s="2"/>
      <c r="L71" s="2"/>
      <c r="M71" s="2"/>
    </row>
    <row r="72" spans="1:13" x14ac:dyDescent="0.3">
      <c r="A72" s="15">
        <v>44317</v>
      </c>
      <c r="B72" s="16">
        <v>181997.55321873404</v>
      </c>
      <c r="C72" s="16"/>
      <c r="D72" s="3">
        <v>1645513</v>
      </c>
      <c r="E72" s="39"/>
      <c r="F72" s="1"/>
      <c r="G72" s="1"/>
      <c r="H72" s="2"/>
      <c r="I72" s="2"/>
      <c r="J72" s="2"/>
      <c r="K72" s="2"/>
      <c r="L72" s="2"/>
      <c r="M72" s="2"/>
    </row>
    <row r="73" spans="1:13" x14ac:dyDescent="0.3">
      <c r="A73" s="15">
        <v>44348</v>
      </c>
      <c r="B73" s="16">
        <v>188603.72124726011</v>
      </c>
      <c r="C73" s="16"/>
      <c r="D73" s="3">
        <v>1552911</v>
      </c>
      <c r="E73" s="39"/>
      <c r="F73" s="1"/>
      <c r="G73" s="1"/>
      <c r="H73" s="2"/>
      <c r="I73" s="2"/>
      <c r="J73" s="2"/>
      <c r="K73" s="2"/>
      <c r="L73" s="2"/>
      <c r="M73" s="2"/>
    </row>
    <row r="74" spans="1:13" x14ac:dyDescent="0.3">
      <c r="A74" s="15">
        <v>44013</v>
      </c>
      <c r="B74" s="16">
        <v>208138.99571466196</v>
      </c>
      <c r="C74" s="16"/>
      <c r="D74" s="3">
        <v>1684286</v>
      </c>
      <c r="E74" s="46"/>
      <c r="F74" s="46"/>
      <c r="G74" s="46"/>
      <c r="H74" s="2"/>
      <c r="I74" s="2"/>
      <c r="J74" s="2"/>
      <c r="K74" s="2"/>
      <c r="L74" s="2"/>
      <c r="M74" s="2"/>
    </row>
    <row r="75" spans="1:13" x14ac:dyDescent="0.3">
      <c r="A75" s="15">
        <v>44044</v>
      </c>
      <c r="B75" s="16">
        <v>179938.92885911587</v>
      </c>
      <c r="C75" s="16"/>
      <c r="D75" s="3">
        <v>1451955</v>
      </c>
      <c r="E75" s="46"/>
      <c r="F75" s="46"/>
      <c r="G75" s="46"/>
      <c r="H75" s="2"/>
      <c r="I75" s="2"/>
      <c r="J75" s="2"/>
      <c r="K75" s="2"/>
      <c r="L75" s="2"/>
      <c r="M75" s="2"/>
    </row>
    <row r="76" spans="1:13" x14ac:dyDescent="0.3">
      <c r="A76" s="15">
        <v>44075</v>
      </c>
      <c r="B76" s="16">
        <v>207321.93012674997</v>
      </c>
      <c r="C76" s="16"/>
      <c r="D76" s="3">
        <v>1647700</v>
      </c>
      <c r="E76" s="46"/>
      <c r="F76" s="46"/>
      <c r="G76" s="46"/>
      <c r="H76" s="2"/>
      <c r="I76" s="2"/>
      <c r="J76" s="2"/>
      <c r="K76" s="2"/>
      <c r="L76" s="2"/>
      <c r="M76" s="2"/>
    </row>
    <row r="77" spans="1:13" x14ac:dyDescent="0.3">
      <c r="A77" s="15">
        <v>44105</v>
      </c>
      <c r="B77" s="16">
        <v>212556.40915207</v>
      </c>
      <c r="C77" s="16"/>
      <c r="D77" s="3">
        <v>1687434</v>
      </c>
      <c r="E77" s="46"/>
      <c r="F77" s="46"/>
      <c r="G77" s="46"/>
      <c r="H77" s="2"/>
      <c r="I77" s="2"/>
      <c r="J77" s="2"/>
      <c r="K77" s="2"/>
      <c r="L77" s="2"/>
      <c r="M77" s="2"/>
    </row>
    <row r="78" spans="1:13" ht="24.9" customHeight="1" x14ac:dyDescent="0.3">
      <c r="A78" s="18" t="s">
        <v>39</v>
      </c>
      <c r="B78" s="19">
        <f>SUM(B68:B77)</f>
        <v>1810840.4784155879</v>
      </c>
      <c r="C78" s="19"/>
      <c r="D78" s="20">
        <f>SUM(D68:D77)</f>
        <v>15118544.969999999</v>
      </c>
      <c r="E78" s="20">
        <f>D78/(B78/1000)</f>
        <v>8348.9104370077439</v>
      </c>
      <c r="F78" s="33">
        <f>3412/E78</f>
        <v>0.40867608123759719</v>
      </c>
      <c r="G78" s="33">
        <f>G67</f>
        <v>0.39489597121628445</v>
      </c>
      <c r="H78" s="19">
        <f>B78*(G78/F78)</f>
        <v>1749780.9200777321</v>
      </c>
      <c r="I78" s="21"/>
      <c r="J78" s="21"/>
      <c r="K78" s="21"/>
      <c r="L78" s="21"/>
      <c r="M78" s="21"/>
    </row>
    <row r="79" spans="1:13" x14ac:dyDescent="0.3">
      <c r="C79" s="44"/>
      <c r="D79" s="44"/>
    </row>
  </sheetData>
  <mergeCells count="1">
    <mergeCell ref="A16:A1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5"/>
  <sheetViews>
    <sheetView topLeftCell="A37" workbookViewId="0">
      <selection activeCell="H23" sqref="H23"/>
    </sheetView>
  </sheetViews>
  <sheetFormatPr defaultRowHeight="14.4" x14ac:dyDescent="0.3"/>
  <cols>
    <col min="1" max="7" width="15.5546875" customWidth="1"/>
    <col min="8" max="8" width="11.5546875" customWidth="1"/>
    <col min="9" max="9" width="13.109375" customWidth="1"/>
    <col min="10" max="10" width="13.44140625" customWidth="1"/>
  </cols>
  <sheetData>
    <row r="2" spans="1:3" s="6" customFormat="1" ht="30.9" customHeight="1" x14ac:dyDescent="0.3">
      <c r="A2" s="7" t="s">
        <v>9</v>
      </c>
      <c r="B2" s="8"/>
      <c r="C2" s="8"/>
    </row>
    <row r="8" spans="1:3" ht="24.6" customHeight="1" x14ac:dyDescent="0.3">
      <c r="A8" s="5" t="s">
        <v>2</v>
      </c>
      <c r="B8" s="5" t="s">
        <v>0</v>
      </c>
      <c r="C8" s="36"/>
    </row>
    <row r="9" spans="1:3" ht="24.9" customHeight="1" x14ac:dyDescent="0.3">
      <c r="A9" s="2"/>
      <c r="B9" s="1" t="s">
        <v>3</v>
      </c>
      <c r="C9" t="s">
        <v>10</v>
      </c>
    </row>
    <row r="10" spans="1:3" ht="24.9" customHeight="1" x14ac:dyDescent="0.3">
      <c r="A10" s="2"/>
      <c r="B10" s="1" t="s">
        <v>5</v>
      </c>
      <c r="C10" t="s">
        <v>11</v>
      </c>
    </row>
    <row r="11" spans="1:3" ht="24.9" customHeight="1" x14ac:dyDescent="0.3">
      <c r="A11" s="2"/>
      <c r="B11" s="1" t="s">
        <v>6</v>
      </c>
      <c r="C11" t="s">
        <v>12</v>
      </c>
    </row>
    <row r="12" spans="1:3" ht="24.9" customHeight="1" x14ac:dyDescent="0.3">
      <c r="A12" s="2"/>
      <c r="B12" s="1" t="s">
        <v>6</v>
      </c>
      <c r="C12" t="s">
        <v>13</v>
      </c>
    </row>
    <row r="13" spans="1:3" ht="24.9" customHeight="1" x14ac:dyDescent="0.3">
      <c r="A13" s="2"/>
      <c r="B13" s="1" t="s">
        <v>5</v>
      </c>
      <c r="C13" t="s">
        <v>14</v>
      </c>
    </row>
    <row r="14" spans="1:3" ht="24.9" customHeight="1" x14ac:dyDescent="0.3">
      <c r="A14" s="2"/>
      <c r="B14" s="1" t="s">
        <v>5</v>
      </c>
      <c r="C14" t="s">
        <v>15</v>
      </c>
    </row>
    <row r="15" spans="1:3" ht="14.1" customHeight="1" x14ac:dyDescent="0.3"/>
    <row r="16" spans="1:3" ht="15" customHeight="1" x14ac:dyDescent="0.3"/>
    <row r="17" spans="1:8" ht="15" customHeight="1" x14ac:dyDescent="0.3"/>
    <row r="18" spans="1:8" s="10" customFormat="1" x14ac:dyDescent="0.3">
      <c r="A18" s="9" t="s">
        <v>8</v>
      </c>
      <c r="B18" s="9"/>
      <c r="C18" s="9" t="s">
        <v>27</v>
      </c>
    </row>
    <row r="19" spans="1:8" x14ac:dyDescent="0.3">
      <c r="A19" s="26"/>
      <c r="B19" s="26"/>
      <c r="C19" s="25"/>
    </row>
    <row r="20" spans="1:8" x14ac:dyDescent="0.3">
      <c r="A20" s="26"/>
      <c r="B20" s="26"/>
      <c r="C20" s="25"/>
    </row>
    <row r="21" spans="1:8" x14ac:dyDescent="0.3">
      <c r="A21" s="26"/>
      <c r="B21" s="26"/>
      <c r="C21" s="25"/>
    </row>
    <row r="22" spans="1:8" x14ac:dyDescent="0.3">
      <c r="A22" s="26"/>
      <c r="B22" s="26"/>
      <c r="C22" s="25"/>
    </row>
    <row r="23" spans="1:8" x14ac:dyDescent="0.3">
      <c r="A23" s="26"/>
      <c r="B23" s="26"/>
      <c r="C23" s="25"/>
    </row>
    <row r="24" spans="1:8" x14ac:dyDescent="0.3">
      <c r="A24" s="26"/>
      <c r="B24" s="26"/>
      <c r="C24" s="25"/>
    </row>
    <row r="25" spans="1:8" x14ac:dyDescent="0.3">
      <c r="A25" s="26"/>
      <c r="B25" s="26"/>
      <c r="C25" s="25"/>
    </row>
    <row r="27" spans="1:8" ht="24.9" customHeight="1" x14ac:dyDescent="0.3">
      <c r="A27" s="59" t="s">
        <v>7</v>
      </c>
      <c r="B27" s="60"/>
      <c r="C27" s="5">
        <v>2009</v>
      </c>
      <c r="D27" s="5">
        <v>2010</v>
      </c>
      <c r="E27" s="5">
        <v>2011</v>
      </c>
    </row>
    <row r="28" spans="1:8" ht="24.9" customHeight="1" x14ac:dyDescent="0.3">
      <c r="A28" s="1"/>
      <c r="B28" s="1" t="s">
        <v>26</v>
      </c>
      <c r="C28" s="3">
        <v>5595895</v>
      </c>
      <c r="D28" s="3">
        <v>14672476</v>
      </c>
      <c r="E28" s="3">
        <v>16558146</v>
      </c>
    </row>
    <row r="29" spans="1:8" ht="24.9" customHeight="1" x14ac:dyDescent="0.3">
      <c r="A29" s="2"/>
      <c r="B29" s="1" t="s">
        <v>18</v>
      </c>
      <c r="C29" s="3">
        <v>465518</v>
      </c>
      <c r="D29" s="3">
        <v>1223529</v>
      </c>
      <c r="E29" s="3">
        <v>1363551</v>
      </c>
    </row>
    <row r="30" spans="1:8" ht="24.9" customHeight="1" x14ac:dyDescent="0.3">
      <c r="A30" s="2"/>
      <c r="B30" s="1" t="s">
        <v>28</v>
      </c>
      <c r="C30" s="57">
        <v>5.4300000000000001E-2</v>
      </c>
      <c r="D30" s="57"/>
      <c r="E30" s="57"/>
      <c r="F30" t="s">
        <v>29</v>
      </c>
    </row>
    <row r="31" spans="1:8" ht="24.9" customHeight="1" x14ac:dyDescent="0.3">
      <c r="A31" s="27"/>
      <c r="B31" s="28" t="s">
        <v>6</v>
      </c>
      <c r="C31" s="58">
        <f>(C28+D28+E28)/(C29+D29+E29)*1.055056*C30</f>
        <v>0.69114054591970309</v>
      </c>
      <c r="D31" s="58"/>
      <c r="E31" s="58"/>
      <c r="H31" s="64">
        <f>1.055056*C30</f>
        <v>5.7289540800000004E-2</v>
      </c>
    </row>
    <row r="32" spans="1:8" ht="24.9" customHeight="1" x14ac:dyDescent="0.3">
      <c r="A32" s="13"/>
      <c r="B32" s="24" t="s">
        <v>18</v>
      </c>
      <c r="C32" s="56">
        <f>AVERAGE(C29:E29)</f>
        <v>1017532.6666666666</v>
      </c>
      <c r="D32" s="56"/>
      <c r="E32" s="56"/>
    </row>
    <row r="36" spans="1:4" s="10" customFormat="1" x14ac:dyDescent="0.3">
      <c r="A36" s="9" t="s">
        <v>8</v>
      </c>
    </row>
    <row r="37" spans="1:4" s="29" customFormat="1" x14ac:dyDescent="0.3">
      <c r="A37" s="26"/>
    </row>
    <row r="38" spans="1:4" s="29" customFormat="1" x14ac:dyDescent="0.3">
      <c r="A38" s="26"/>
    </row>
    <row r="39" spans="1:4" s="29" customFormat="1" x14ac:dyDescent="0.3">
      <c r="A39" s="26"/>
    </row>
    <row r="40" spans="1:4" s="29" customFormat="1" x14ac:dyDescent="0.3">
      <c r="A40" s="26"/>
    </row>
    <row r="42" spans="1:4" ht="24.9" customHeight="1" x14ac:dyDescent="0.3">
      <c r="A42" s="1"/>
      <c r="B42" s="1"/>
      <c r="C42" s="1"/>
      <c r="D42" s="4"/>
    </row>
    <row r="43" spans="1:4" ht="24.9" customHeight="1" x14ac:dyDescent="0.3">
      <c r="A43" s="1">
        <v>210</v>
      </c>
      <c r="B43" s="3">
        <v>0</v>
      </c>
      <c r="C43" s="3">
        <v>8760</v>
      </c>
      <c r="D43" s="14">
        <f>A43*C43</f>
        <v>1839600</v>
      </c>
    </row>
    <row r="46" spans="1:4" s="10" customFormat="1" x14ac:dyDescent="0.3">
      <c r="A46" s="9" t="s">
        <v>30</v>
      </c>
    </row>
    <row r="49" spans="1:12" ht="24.9" customHeight="1" x14ac:dyDescent="0.3">
      <c r="A49" s="5" t="s">
        <v>7</v>
      </c>
      <c r="B49" s="5" t="s">
        <v>0</v>
      </c>
      <c r="C49" s="5">
        <v>2017</v>
      </c>
      <c r="D49" s="5">
        <v>2018</v>
      </c>
      <c r="E49" s="5">
        <v>2019</v>
      </c>
      <c r="F49" s="5">
        <v>2020</v>
      </c>
      <c r="G49" s="35">
        <v>44470</v>
      </c>
    </row>
    <row r="50" spans="1:12" ht="24.9" customHeight="1" x14ac:dyDescent="0.3">
      <c r="A50" s="2"/>
      <c r="B50" s="1" t="s">
        <v>18</v>
      </c>
      <c r="C50" s="3">
        <f>C32/12*9</f>
        <v>763149.5</v>
      </c>
      <c r="D50" s="3">
        <f>C32</f>
        <v>1017532.6666666666</v>
      </c>
      <c r="E50" s="3">
        <f>C32</f>
        <v>1017532.6666666666</v>
      </c>
      <c r="F50" s="3">
        <f>C32</f>
        <v>1017532.6666666666</v>
      </c>
      <c r="G50" s="3">
        <f>C32/12*10</f>
        <v>847943.88888888888</v>
      </c>
    </row>
    <row r="51" spans="1:12" ht="24.9" customHeight="1" x14ac:dyDescent="0.3">
      <c r="A51" s="2"/>
      <c r="B51" s="1" t="s">
        <v>18</v>
      </c>
      <c r="C51" s="3">
        <f>D43/12*9</f>
        <v>1379700</v>
      </c>
      <c r="D51" s="3">
        <f>D43</f>
        <v>1839600</v>
      </c>
      <c r="E51" s="3">
        <f>D43</f>
        <v>1839600</v>
      </c>
      <c r="F51" s="3">
        <f>D43</f>
        <v>1839600</v>
      </c>
      <c r="G51" s="3">
        <f>D43/12*10</f>
        <v>1533000</v>
      </c>
      <c r="L51">
        <v>1634204</v>
      </c>
    </row>
    <row r="52" spans="1:12" ht="24.9" customHeight="1" x14ac:dyDescent="0.3">
      <c r="A52" s="2"/>
      <c r="B52" s="1" t="s">
        <v>18</v>
      </c>
      <c r="C52" s="3">
        <f>'EG_PJ,adj'!H28</f>
        <v>1685101.8938773971</v>
      </c>
      <c r="D52" s="3">
        <f>'EG_PJ,adj'!H41</f>
        <v>2331735.3664398892</v>
      </c>
      <c r="E52" s="3">
        <f>'EG_PJ,adj'!H54</f>
        <v>2393668.0636091246</v>
      </c>
      <c r="F52" s="3">
        <f>'EG_PJ,adj'!H67</f>
        <v>2040010.1342498625</v>
      </c>
      <c r="G52" s="3">
        <f>'EG_PJ,adj'!H78</f>
        <v>1749780.9200777321</v>
      </c>
    </row>
    <row r="53" spans="1:12" ht="24.9" customHeight="1" x14ac:dyDescent="0.3">
      <c r="A53" s="2"/>
      <c r="B53" s="1" t="s">
        <v>6</v>
      </c>
      <c r="C53" s="57">
        <f>C31</f>
        <v>0.69114054591970309</v>
      </c>
      <c r="D53" s="57"/>
      <c r="E53" s="57"/>
      <c r="F53" s="57"/>
      <c r="G53" s="57"/>
    </row>
    <row r="54" spans="1:12" ht="24.9" customHeight="1" x14ac:dyDescent="0.3">
      <c r="A54" s="2"/>
      <c r="B54" s="1" t="s">
        <v>6</v>
      </c>
      <c r="C54" s="55">
        <v>0.67649999999999999</v>
      </c>
      <c r="D54" s="55"/>
      <c r="E54" s="55"/>
      <c r="F54" s="55"/>
      <c r="G54" s="55"/>
    </row>
    <row r="55" spans="1:12" ht="24.9" customHeight="1" x14ac:dyDescent="0.3">
      <c r="A55" s="13"/>
      <c r="B55" s="28" t="s">
        <v>31</v>
      </c>
      <c r="C55" s="31">
        <f>ROUNDDOWN((C50*$C$53+(C51-C50)*MIN($C$53,$C$54)+(C52-C51)*$C$54),0)</f>
        <v>1151144</v>
      </c>
      <c r="D55" s="31">
        <f t="shared" ref="D55:G55" si="0">ROUNDDOWN((D50*$C$53+(D51-D50)*MIN($C$53,$C$54)+(D52-D51)*$C$54),0)</f>
        <v>1592316</v>
      </c>
      <c r="E55" s="31">
        <f t="shared" si="0"/>
        <v>1634213</v>
      </c>
      <c r="F55" s="31">
        <f t="shared" si="0"/>
        <v>1394964</v>
      </c>
      <c r="G55" s="31">
        <f t="shared" si="0"/>
        <v>1196141</v>
      </c>
      <c r="I55" s="45">
        <f>SUM(C55:G55)</f>
        <v>6968778</v>
      </c>
    </row>
  </sheetData>
  <mergeCells count="6">
    <mergeCell ref="C54:G54"/>
    <mergeCell ref="C32:E32"/>
    <mergeCell ref="C30:E30"/>
    <mergeCell ref="C31:E31"/>
    <mergeCell ref="A27:B27"/>
    <mergeCell ref="C53:G5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C12" sqref="C12"/>
    </sheetView>
  </sheetViews>
  <sheetFormatPr defaultRowHeight="14.4" x14ac:dyDescent="0.3"/>
  <cols>
    <col min="1" max="7" width="15.5546875" customWidth="1"/>
  </cols>
  <sheetData>
    <row r="2" spans="1:7" s="10" customFormat="1" ht="24.9" customHeight="1" x14ac:dyDescent="0.3">
      <c r="A2" s="7" t="s">
        <v>32</v>
      </c>
    </row>
    <row r="9" spans="1:7" ht="24.9" customHeight="1" x14ac:dyDescent="0.3">
      <c r="A9" s="5" t="s">
        <v>7</v>
      </c>
      <c r="B9" s="5" t="s">
        <v>0</v>
      </c>
      <c r="C9" s="5">
        <v>2017</v>
      </c>
      <c r="D9" s="5">
        <v>2018</v>
      </c>
      <c r="E9" s="5">
        <v>2019</v>
      </c>
      <c r="F9" s="5">
        <v>2020</v>
      </c>
      <c r="G9" s="35">
        <v>44470</v>
      </c>
    </row>
    <row r="10" spans="1:7" ht="24.9" customHeight="1" x14ac:dyDescent="0.3">
      <c r="A10" s="2"/>
      <c r="B10" s="1" t="s">
        <v>26</v>
      </c>
      <c r="C10" s="3">
        <f>'EG_PJ,adj'!D28</f>
        <v>14559702</v>
      </c>
      <c r="D10" s="3">
        <f>'EG_PJ,adj'!D41</f>
        <v>20146777</v>
      </c>
      <c r="E10" s="3">
        <f>'EG_PJ,adj'!D54</f>
        <v>20681891</v>
      </c>
      <c r="F10" s="3">
        <f>'EG_PJ,adj'!D67</f>
        <v>17626198</v>
      </c>
      <c r="G10" s="3">
        <f>'EG_PJ,adj'!D78</f>
        <v>15118544.969999999</v>
      </c>
    </row>
    <row r="11" spans="1:7" ht="24.9" customHeight="1" x14ac:dyDescent="0.3">
      <c r="A11" s="2"/>
      <c r="B11" s="1" t="s">
        <v>28</v>
      </c>
      <c r="C11" s="55">
        <v>5.8299999999999998E-2</v>
      </c>
      <c r="D11" s="55"/>
      <c r="E11" s="55"/>
      <c r="F11" s="55"/>
      <c r="G11" s="55"/>
    </row>
    <row r="12" spans="1:7" ht="24.9" customHeight="1" x14ac:dyDescent="0.3">
      <c r="A12" s="13"/>
      <c r="B12" s="28" t="s">
        <v>31</v>
      </c>
      <c r="C12" s="31">
        <f>ROUNDUP(C10*$C$11*1.055056,0)</f>
        <v>895564</v>
      </c>
      <c r="D12" s="31">
        <f>ROUNDUP(D10*$C$11*1.055056,0)</f>
        <v>1239224</v>
      </c>
      <c r="E12" s="31">
        <f>ROUNDUP(E10*$C$11*1.055056,0)</f>
        <v>1272139</v>
      </c>
      <c r="F12" s="31">
        <f>ROUNDUP(F10*$C$11*1.055056,0)</f>
        <v>1084184</v>
      </c>
      <c r="G12" s="31">
        <f>ROUNDUP(G10*$C$11*1.055056,0)</f>
        <v>929939</v>
      </c>
    </row>
    <row r="13" spans="1:7" ht="24.9" customHeight="1" x14ac:dyDescent="0.3">
      <c r="G13" s="45">
        <f>SUM(C12:G12)</f>
        <v>5421050</v>
      </c>
    </row>
  </sheetData>
  <mergeCells count="1">
    <mergeCell ref="C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6"/>
  <sheetViews>
    <sheetView topLeftCell="A15" workbookViewId="0">
      <selection activeCell="K20" sqref="K20"/>
    </sheetView>
  </sheetViews>
  <sheetFormatPr defaultColWidth="15.5546875" defaultRowHeight="14.4" x14ac:dyDescent="0.3"/>
  <cols>
    <col min="1" max="1" width="20.109375" customWidth="1"/>
  </cols>
  <sheetData>
    <row r="2" spans="1:12" s="10" customFormat="1" ht="24.9" customHeight="1" x14ac:dyDescent="0.3">
      <c r="A2" s="7" t="s">
        <v>33</v>
      </c>
    </row>
    <row r="14" spans="1:12" x14ac:dyDescent="0.3">
      <c r="L14">
        <v>271</v>
      </c>
    </row>
    <row r="18" spans="1:11" ht="24.9" customHeight="1" x14ac:dyDescent="0.3">
      <c r="A18" s="5" t="s">
        <v>7</v>
      </c>
      <c r="B18" s="5" t="s">
        <v>0</v>
      </c>
      <c r="C18" s="5">
        <v>2009</v>
      </c>
      <c r="D18" s="5">
        <v>2010</v>
      </c>
      <c r="E18" s="5">
        <v>2011</v>
      </c>
      <c r="F18" s="5">
        <v>2017</v>
      </c>
      <c r="G18" s="5">
        <v>2018</v>
      </c>
      <c r="H18" s="5">
        <v>2019</v>
      </c>
      <c r="I18" s="5">
        <v>2020</v>
      </c>
      <c r="J18" s="35">
        <v>44470</v>
      </c>
    </row>
    <row r="19" spans="1:11" ht="24.9" customHeight="1" x14ac:dyDescent="0.3">
      <c r="A19" s="2"/>
      <c r="B19" s="1" t="s">
        <v>26</v>
      </c>
      <c r="C19" s="1"/>
      <c r="D19" s="1"/>
      <c r="E19" s="1"/>
      <c r="F19" s="3">
        <f>PE!C10</f>
        <v>14559702</v>
      </c>
      <c r="G19" s="3">
        <f>PE!D10</f>
        <v>20146777</v>
      </c>
      <c r="H19" s="3">
        <f>PE!E10</f>
        <v>20681891</v>
      </c>
      <c r="I19" s="3">
        <f>PE!F10</f>
        <v>17626198</v>
      </c>
      <c r="J19" s="3">
        <f>PE!G10</f>
        <v>15118544.969999999</v>
      </c>
    </row>
    <row r="20" spans="1:11" ht="24.9" customHeight="1" x14ac:dyDescent="0.3">
      <c r="A20" s="2"/>
      <c r="B20" s="1" t="s">
        <v>26</v>
      </c>
      <c r="C20" s="3">
        <f>BE!C28</f>
        <v>5595895</v>
      </c>
      <c r="D20" s="3">
        <f>BE!D28</f>
        <v>14672476</v>
      </c>
      <c r="E20" s="3">
        <f>BE!E28</f>
        <v>16558146</v>
      </c>
      <c r="F20" s="3"/>
      <c r="G20" s="3"/>
      <c r="H20" s="16"/>
      <c r="I20" s="3"/>
      <c r="J20" s="3"/>
    </row>
    <row r="21" spans="1:11" ht="24.9" customHeight="1" x14ac:dyDescent="0.3">
      <c r="A21" s="2"/>
      <c r="B21" s="1" t="s">
        <v>34</v>
      </c>
      <c r="C21" s="61">
        <v>28</v>
      </c>
      <c r="D21" s="62"/>
      <c r="E21" s="62"/>
      <c r="F21" s="62"/>
      <c r="G21" s="62"/>
      <c r="H21" s="62"/>
      <c r="I21" s="62"/>
      <c r="J21" s="63"/>
    </row>
    <row r="22" spans="1:11" ht="24.9" customHeight="1" x14ac:dyDescent="0.3">
      <c r="A22" s="2"/>
      <c r="B22" s="1" t="s">
        <v>35</v>
      </c>
      <c r="C22" s="61">
        <v>2.9599999999999998E-4</v>
      </c>
      <c r="D22" s="62"/>
      <c r="E22" s="62"/>
      <c r="F22" s="62"/>
      <c r="G22" s="62"/>
      <c r="H22" s="62"/>
      <c r="I22" s="62"/>
      <c r="J22" s="63"/>
    </row>
    <row r="23" spans="1:11" ht="24.9" customHeight="1" x14ac:dyDescent="0.3">
      <c r="A23" s="2"/>
      <c r="B23" s="34" t="s">
        <v>28</v>
      </c>
      <c r="C23" s="61">
        <v>6.0000000000000001E-3</v>
      </c>
      <c r="D23" s="62"/>
      <c r="E23" s="62"/>
      <c r="F23" s="62"/>
      <c r="G23" s="62"/>
      <c r="H23" s="62"/>
      <c r="I23" s="62"/>
      <c r="J23" s="63"/>
    </row>
    <row r="24" spans="1:11" ht="24.9" customHeight="1" x14ac:dyDescent="0.3">
      <c r="A24" s="2"/>
      <c r="B24" s="34" t="s">
        <v>36</v>
      </c>
      <c r="C24" s="41"/>
      <c r="D24" s="41"/>
      <c r="E24" s="41"/>
      <c r="F24" s="3">
        <f>F19*$C$23*1.055056</f>
        <v>92167.805719872005</v>
      </c>
      <c r="G24" s="3">
        <f>G19*$C$23*1.055056</f>
        <v>127535.86772707199</v>
      </c>
      <c r="H24" s="3">
        <f t="shared" ref="H24:J24" si="0">H19*$C$23*1.055056</f>
        <v>130923.31914537601</v>
      </c>
      <c r="I24" s="3">
        <f t="shared" si="0"/>
        <v>111579.75574252801</v>
      </c>
      <c r="J24" s="3">
        <f t="shared" si="0"/>
        <v>95705.469491209922</v>
      </c>
    </row>
    <row r="25" spans="1:11" ht="24.9" customHeight="1" x14ac:dyDescent="0.3">
      <c r="A25" s="13"/>
      <c r="B25" s="28" t="s">
        <v>31</v>
      </c>
      <c r="C25" s="28"/>
      <c r="D25" s="28"/>
      <c r="E25" s="28"/>
      <c r="F25" s="31">
        <f>ROUNDUP(MAX(0,(F19*1.055056*$C$22*$C$21+F24)*(1-($C$20+$D$20+$E$20)/(3*F19))),0)</f>
        <v>34434</v>
      </c>
      <c r="G25" s="31">
        <f>ROUNDUP(MAX(0,(G19*1.055056*$C$22*$C$21+G24)*(1-($C$20+$D$20+$E$20)/(3*G19))),0)</f>
        <v>118657</v>
      </c>
      <c r="H25" s="31">
        <f>ROUNDUP(MAX(0,(H19*1.055056*$C$22*$C$21+H24)*(1-($C$20+$D$20+$E$20)/(3*H19))),0)</f>
        <v>126724</v>
      </c>
      <c r="I25" s="31">
        <f>ROUNDUP(MAX(0,(I19*1.055056*$C$22*$C$21+I24)*(1-($C$20+$D$20+$E$20)/(3*I19))),0)</f>
        <v>80660</v>
      </c>
      <c r="J25" s="31">
        <f>ROUNDUP(MAX(0,(J19*1.055056*$C$22*$C$21+J24)*(1-($C$20+$D$20+$E$20)/(3*J19))),0)</f>
        <v>42858</v>
      </c>
      <c r="K25" s="45">
        <f>SUM(F25:J25)</f>
        <v>403333</v>
      </c>
    </row>
    <row r="26" spans="1:11" ht="24.9" customHeight="1" x14ac:dyDescent="0.3"/>
  </sheetData>
  <mergeCells count="3">
    <mergeCell ref="C21:J21"/>
    <mergeCell ref="C22:J22"/>
    <mergeCell ref="C23:J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tabSelected="1" topLeftCell="A9" workbookViewId="0">
      <selection activeCell="H26" sqref="H26"/>
    </sheetView>
  </sheetViews>
  <sheetFormatPr defaultRowHeight="14.4" x14ac:dyDescent="0.3"/>
  <cols>
    <col min="1" max="1" width="28.5546875" customWidth="1"/>
    <col min="2" max="2" width="30.88671875" customWidth="1"/>
    <col min="3" max="3" width="15.5546875" customWidth="1"/>
    <col min="4" max="4" width="25" customWidth="1"/>
    <col min="5" max="7" width="15.5546875" customWidth="1"/>
  </cols>
  <sheetData>
    <row r="2" spans="1:13" s="10" customFormat="1" ht="24.9" customHeight="1" x14ac:dyDescent="0.3">
      <c r="A2" s="7" t="s">
        <v>37</v>
      </c>
    </row>
    <row r="9" spans="1:13" ht="24.9" customHeight="1" x14ac:dyDescent="0.3">
      <c r="A9" s="5" t="s">
        <v>7</v>
      </c>
      <c r="B9" s="5" t="s">
        <v>0</v>
      </c>
      <c r="C9" s="5">
        <v>2017</v>
      </c>
      <c r="D9" s="5">
        <v>2018</v>
      </c>
      <c r="E9" s="5">
        <v>2019</v>
      </c>
      <c r="F9" s="5">
        <v>2020</v>
      </c>
      <c r="G9" s="35">
        <v>44470</v>
      </c>
      <c r="H9" s="35" t="s">
        <v>44</v>
      </c>
    </row>
    <row r="10" spans="1:13" ht="24.9" customHeight="1" x14ac:dyDescent="0.3">
      <c r="A10" s="2"/>
      <c r="B10" s="34" t="s">
        <v>36</v>
      </c>
      <c r="C10" s="3">
        <f>BE!C55</f>
        <v>1151144</v>
      </c>
      <c r="D10" s="3">
        <f>BE!D55</f>
        <v>1592316</v>
      </c>
      <c r="E10" s="3">
        <f>BE!E55</f>
        <v>1634213</v>
      </c>
      <c r="F10" s="3">
        <f>BE!F55</f>
        <v>1394964</v>
      </c>
      <c r="G10" s="3">
        <f>BE!G55</f>
        <v>1196141</v>
      </c>
      <c r="H10" s="52">
        <f>SUM(C10:G10)</f>
        <v>6968778</v>
      </c>
      <c r="M10" s="45"/>
    </row>
    <row r="11" spans="1:13" ht="24.9" customHeight="1" x14ac:dyDescent="0.3">
      <c r="A11" s="2"/>
      <c r="B11" s="34" t="s">
        <v>36</v>
      </c>
      <c r="C11" s="3">
        <f>PE!C12</f>
        <v>895564</v>
      </c>
      <c r="D11" s="3">
        <f>PE!D12</f>
        <v>1239224</v>
      </c>
      <c r="E11" s="3">
        <f>PE!E12</f>
        <v>1272139</v>
      </c>
      <c r="F11" s="3">
        <f>PE!F12</f>
        <v>1084184</v>
      </c>
      <c r="G11" s="3">
        <f>PE!G12</f>
        <v>929939</v>
      </c>
      <c r="H11" s="52">
        <f>SUM(C11:G11)</f>
        <v>5421050</v>
      </c>
    </row>
    <row r="12" spans="1:13" ht="24.9" customHeight="1" x14ac:dyDescent="0.3">
      <c r="A12" s="2"/>
      <c r="B12" s="34" t="s">
        <v>36</v>
      </c>
      <c r="C12" s="3">
        <f>LE!F25</f>
        <v>34434</v>
      </c>
      <c r="D12" s="3">
        <f>LE!G25</f>
        <v>118657</v>
      </c>
      <c r="E12" s="3">
        <f>LE!H25</f>
        <v>126724</v>
      </c>
      <c r="F12" s="3">
        <f>LE!I25</f>
        <v>80660</v>
      </c>
      <c r="G12" s="3">
        <f>LE!J25</f>
        <v>42858</v>
      </c>
      <c r="H12" s="52">
        <f>SUM(C12:G12)</f>
        <v>403333</v>
      </c>
    </row>
    <row r="13" spans="1:13" ht="24.9" customHeight="1" x14ac:dyDescent="0.3">
      <c r="A13" s="13"/>
      <c r="B13" s="28" t="s">
        <v>31</v>
      </c>
      <c r="C13" s="31">
        <f>C10-C11-C12</f>
        <v>221146</v>
      </c>
      <c r="D13" s="31">
        <f t="shared" ref="D13:F13" si="0">D10-D11-D12</f>
        <v>234435</v>
      </c>
      <c r="E13" s="31">
        <f t="shared" si="0"/>
        <v>235350</v>
      </c>
      <c r="F13" s="31">
        <f t="shared" si="0"/>
        <v>230120</v>
      </c>
      <c r="G13" s="48">
        <f>ROUNDDOWN((G10-G11-G12),2)</f>
        <v>223344</v>
      </c>
      <c r="H13" s="53">
        <f>SUM(C13:G13)</f>
        <v>1144395</v>
      </c>
    </row>
    <row r="14" spans="1:13" ht="24.9" customHeight="1" x14ac:dyDescent="0.3"/>
    <row r="16" spans="1:13" x14ac:dyDescent="0.3">
      <c r="A16" t="s">
        <v>45</v>
      </c>
    </row>
    <row r="17" spans="1:6" x14ac:dyDescent="0.3">
      <c r="A17" s="5" t="s">
        <v>7</v>
      </c>
      <c r="B17" s="5" t="s">
        <v>51</v>
      </c>
      <c r="C17" s="5" t="s">
        <v>52</v>
      </c>
      <c r="D17" s="5" t="s">
        <v>53</v>
      </c>
    </row>
    <row r="18" spans="1:6" x14ac:dyDescent="0.3">
      <c r="A18" s="49" t="s">
        <v>46</v>
      </c>
      <c r="B18" s="65">
        <f>(346852/12)*9</f>
        <v>260139</v>
      </c>
      <c r="C18" s="45">
        <f>C13</f>
        <v>221146</v>
      </c>
      <c r="D18" s="45">
        <f>B18-C18</f>
        <v>38993</v>
      </c>
    </row>
    <row r="19" spans="1:6" x14ac:dyDescent="0.3">
      <c r="A19" s="49" t="s">
        <v>47</v>
      </c>
      <c r="B19" s="65">
        <v>348361</v>
      </c>
      <c r="C19" s="45">
        <f>D13</f>
        <v>234435</v>
      </c>
      <c r="D19" s="45">
        <f t="shared" ref="D19:D22" si="1">B19-C19</f>
        <v>113926</v>
      </c>
    </row>
    <row r="20" spans="1:6" x14ac:dyDescent="0.3">
      <c r="A20" s="49" t="s">
        <v>48</v>
      </c>
      <c r="B20" s="45">
        <v>342789</v>
      </c>
      <c r="C20" s="45">
        <f>E13</f>
        <v>235350</v>
      </c>
      <c r="D20" s="45">
        <f t="shared" si="1"/>
        <v>107439</v>
      </c>
    </row>
    <row r="21" spans="1:6" x14ac:dyDescent="0.3">
      <c r="A21" s="49" t="s">
        <v>49</v>
      </c>
      <c r="B21" s="65">
        <v>338130</v>
      </c>
      <c r="C21" s="45">
        <f>F13</f>
        <v>230120</v>
      </c>
      <c r="D21" s="45">
        <f t="shared" si="1"/>
        <v>108010</v>
      </c>
    </row>
    <row r="22" spans="1:6" x14ac:dyDescent="0.3">
      <c r="A22" s="49" t="s">
        <v>50</v>
      </c>
      <c r="B22" s="65">
        <f>(347015/12)*10</f>
        <v>289179.16666666669</v>
      </c>
      <c r="C22" s="45">
        <f>G13</f>
        <v>223344</v>
      </c>
      <c r="D22" s="45">
        <f t="shared" si="1"/>
        <v>65835.166666666686</v>
      </c>
    </row>
    <row r="23" spans="1:6" x14ac:dyDescent="0.3">
      <c r="A23" s="66"/>
      <c r="B23" s="67">
        <f>SUM(B18:B22)</f>
        <v>1578598.1666666667</v>
      </c>
      <c r="C23" s="68">
        <f>SUM(C18:C22)</f>
        <v>1144395</v>
      </c>
      <c r="D23" s="68">
        <f>SUM(D18:D22)</f>
        <v>434203.16666666669</v>
      </c>
      <c r="E23" s="69"/>
      <c r="F23" s="70">
        <f>D23/B23</f>
        <v>0.27505617061720056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EG_PJ,adj</vt:lpstr>
      <vt:lpstr>BE</vt:lpstr>
      <vt:lpstr>PE</vt:lpstr>
      <vt:lpstr>LE</vt:lpstr>
      <vt:lpstr>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dcterms:created xsi:type="dcterms:W3CDTF">2021-11-01T09:17:51Z</dcterms:created>
  <dcterms:modified xsi:type="dcterms:W3CDTF">2022-08-12T12:41:04Z</dcterms:modified>
</cp:coreProperties>
</file>