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persons/person.xml" ContentType="application/vnd.ms-excel.person+xml"/>
  <Override PartName="/xl/threadedComments/threadedComment1.xml" ContentType="application/vnd.ms-excel.threadedcomments+xml"/>
  <Override PartName="/xl/threadedComments/threadedComment2.xml" ContentType="application/vnd.ms-excel.threadedcomments+xml"/>
  <Override PartName="/xl/threadedComments/threadedComment3.xml" ContentType="application/vnd.ms-excel.threadedcomments+xml"/>
  <Override PartName="/xl/threadedComments/threadedComment4.xml" ContentType="application/vnd.ms-excel.threaded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auravku.singh\OneDrive - ReNew Power Pvt. Ltd\Gaurav singh_Projects\VCS 1404\Jan-June 2023\Working\Final Docs\"/>
    </mc:Choice>
  </mc:AlternateContent>
  <xr:revisionPtr revIDLastSave="17" documentId="13_ncr:1_{B33A4AA3-DB50-4BD0-86D2-116725516CA9}" xr6:coauthVersionLast="36" xr6:coauthVersionMax="47" xr10:uidLastSave="{7A963889-92B2-4A0B-AC46-0570920865FC}"/>
  <bookViews>
    <workbookView xWindow="20370" yWindow="-120" windowWidth="29040" windowHeight="15720" xr2:uid="{00000000-000D-0000-FFFF-FFFF00000000}"/>
  </bookViews>
  <sheets>
    <sheet name="Summary" sheetId="35" r:id="rId1"/>
    <sheet name="VASP-564 " sheetId="12" r:id="rId2"/>
    <sheet name="VASP III 525" sheetId="21" r:id="rId3"/>
    <sheet name="VASP III 689 " sheetId="26" r:id="rId4"/>
    <sheet name="VASP-15" sheetId="2" r:id="rId5"/>
    <sheet name="VASP-29 " sheetId="5" r:id="rId6"/>
    <sheet name="VASP-09" sheetId="9" r:id="rId7"/>
    <sheet name="VASP-64" sheetId="34" r:id="rId8"/>
    <sheet name="VASP-35 " sheetId="7" r:id="rId9"/>
    <sheet name="VASP-49 " sheetId="10" r:id="rId10"/>
    <sheet name="VASP-394" sheetId="8" r:id="rId11"/>
    <sheet name="VASP-450 " sheetId="11" r:id="rId12"/>
    <sheet name="VASP III 26" sheetId="19" r:id="rId13"/>
    <sheet name="VASP III 397 " sheetId="18" r:id="rId14"/>
    <sheet name="VASP III 58 " sheetId="20" r:id="rId15"/>
    <sheet name="VASP III 108" sheetId="29" r:id="rId16"/>
    <sheet name="VASP III 424 " sheetId="33" r:id="rId17"/>
    <sheet name="VASP-21 " sheetId="17" r:id="rId18"/>
    <sheet name="VASP-72 " sheetId="3" r:id="rId19"/>
    <sheet name="VASP-142" sheetId="4" r:id="rId20"/>
    <sheet name="VASP-510 " sheetId="13" r:id="rId21"/>
    <sheet name="VASP-637" sheetId="14" r:id="rId22"/>
    <sheet name="VASP-696 " sheetId="15" r:id="rId23"/>
    <sheet name="VASP III 384V " sheetId="22" r:id="rId24"/>
    <sheet name="VASP III 440" sheetId="30" r:id="rId25"/>
    <sheet name="VASP III 698" sheetId="28" r:id="rId26"/>
    <sheet name="VASP 237" sheetId="1" r:id="rId27"/>
    <sheet name="VASP III 388" sheetId="24" r:id="rId28"/>
    <sheet name="VASP III 387 " sheetId="23" r:id="rId29"/>
    <sheet name="VAPS III 463 " sheetId="31" r:id="rId30"/>
    <sheet name="VAPS III 700_1 " sheetId="25" r:id="rId31"/>
    <sheet name="VAPS III 105" sheetId="32" r:id="rId32"/>
    <sheet name="VASP III 355" sheetId="27" r:id="rId33"/>
    <sheet name="VASP-92 " sheetId="16" r:id="rId3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8" i="16" l="1"/>
  <c r="H8" i="27"/>
  <c r="H8" i="32"/>
  <c r="H8" i="25"/>
  <c r="H8" i="31"/>
  <c r="H8" i="23"/>
  <c r="H8" i="24"/>
  <c r="H8" i="1"/>
  <c r="H8" i="28"/>
  <c r="H8" i="30"/>
  <c r="H8" i="22"/>
  <c r="H8" i="15"/>
  <c r="H8" i="14"/>
  <c r="H8" i="13"/>
  <c r="H8" i="4"/>
  <c r="H8" i="3"/>
  <c r="H8" i="17"/>
  <c r="H8" i="33"/>
  <c r="H8" i="29"/>
  <c r="H8" i="20"/>
  <c r="H8" i="18"/>
  <c r="H8" i="19"/>
  <c r="H8" i="11"/>
  <c r="H8" i="8"/>
  <c r="H8" i="10"/>
  <c r="H8" i="7"/>
  <c r="H8" i="34"/>
  <c r="H8" i="9"/>
  <c r="H8" i="5"/>
  <c r="H8" i="2"/>
  <c r="H8" i="26"/>
  <c r="H8" i="21"/>
  <c r="G5" i="24" l="1"/>
  <c r="H8" i="12"/>
  <c r="G45" i="35" l="1"/>
  <c r="G53" i="35" s="1"/>
  <c r="H9" i="24" l="1"/>
  <c r="H9" i="17"/>
  <c r="H9" i="33"/>
  <c r="H9" i="29"/>
  <c r="H9" i="20"/>
  <c r="H9" i="18"/>
  <c r="H9" i="19"/>
  <c r="H9" i="11"/>
  <c r="H9" i="10"/>
  <c r="H9" i="7"/>
  <c r="H9" i="9"/>
  <c r="H9" i="13" l="1"/>
  <c r="H9" i="8"/>
  <c r="H9" i="34"/>
  <c r="H9" i="5"/>
  <c r="H9" i="16"/>
  <c r="H9" i="27"/>
  <c r="H9" i="32"/>
  <c r="H9" i="25"/>
  <c r="H9" i="31"/>
  <c r="H9" i="23"/>
  <c r="H9" i="1"/>
  <c r="H9" i="28"/>
  <c r="H9" i="30"/>
  <c r="H9" i="22"/>
  <c r="H9" i="15"/>
  <c r="H9" i="14"/>
  <c r="H9" i="4"/>
  <c r="H9" i="3"/>
  <c r="H9" i="2"/>
  <c r="H9" i="26"/>
  <c r="H9" i="21"/>
  <c r="H9" i="12"/>
  <c r="F8" i="16" l="1"/>
  <c r="F9" i="16" s="1"/>
  <c r="E8" i="16"/>
  <c r="E9" i="16" s="1"/>
  <c r="F8" i="27"/>
  <c r="F9" i="27" s="1"/>
  <c r="E8" i="27"/>
  <c r="E9" i="27" s="1"/>
  <c r="F8" i="32"/>
  <c r="F9" i="32" s="1"/>
  <c r="E8" i="32"/>
  <c r="E9" i="32" s="1"/>
  <c r="F8" i="25"/>
  <c r="F9" i="25" s="1"/>
  <c r="E8" i="25"/>
  <c r="E9" i="25" s="1"/>
  <c r="F8" i="31"/>
  <c r="F9" i="31" s="1"/>
  <c r="E8" i="31"/>
  <c r="E9" i="31" s="1"/>
  <c r="F8" i="23"/>
  <c r="F9" i="23" s="1"/>
  <c r="E8" i="23"/>
  <c r="F8" i="24"/>
  <c r="F9" i="24" s="1"/>
  <c r="E8" i="24"/>
  <c r="E9" i="24" s="1"/>
  <c r="F8" i="1"/>
  <c r="F9" i="1" s="1"/>
  <c r="E8" i="1"/>
  <c r="E9" i="1" s="1"/>
  <c r="F8" i="28"/>
  <c r="F9" i="28" s="1"/>
  <c r="E8" i="28"/>
  <c r="E9" i="28" s="1"/>
  <c r="F8" i="30"/>
  <c r="E8" i="30"/>
  <c r="E9" i="30" s="1"/>
  <c r="F8" i="22"/>
  <c r="F9" i="22" s="1"/>
  <c r="E8" i="22"/>
  <c r="E9" i="22" s="1"/>
  <c r="F8" i="15"/>
  <c r="F9" i="15" s="1"/>
  <c r="E8" i="15"/>
  <c r="E9" i="15" s="1"/>
  <c r="F8" i="14"/>
  <c r="F9" i="14" s="1"/>
  <c r="E8" i="14"/>
  <c r="E9" i="14" s="1"/>
  <c r="F8" i="13"/>
  <c r="F9" i="13" s="1"/>
  <c r="E8" i="13"/>
  <c r="E9" i="13" s="1"/>
  <c r="F8" i="4"/>
  <c r="F9" i="4" s="1"/>
  <c r="E8" i="4"/>
  <c r="E9" i="4" s="1"/>
  <c r="F8" i="3"/>
  <c r="F9" i="3" s="1"/>
  <c r="E8" i="3"/>
  <c r="E9" i="3" s="1"/>
  <c r="F8" i="17"/>
  <c r="F9" i="17" s="1"/>
  <c r="E8" i="17"/>
  <c r="E9" i="17" s="1"/>
  <c r="F8" i="33"/>
  <c r="F9" i="33" s="1"/>
  <c r="E8" i="33"/>
  <c r="E9" i="33" s="1"/>
  <c r="F8" i="29"/>
  <c r="F9" i="29" s="1"/>
  <c r="E8" i="29"/>
  <c r="E9" i="29" s="1"/>
  <c r="F8" i="20"/>
  <c r="F9" i="20" s="1"/>
  <c r="E8" i="20"/>
  <c r="E9" i="20" s="1"/>
  <c r="G8" i="15" l="1"/>
  <c r="G8" i="13"/>
  <c r="G8" i="23"/>
  <c r="G8" i="16"/>
  <c r="G8" i="27"/>
  <c r="G8" i="32"/>
  <c r="G8" i="25"/>
  <c r="G8" i="31"/>
  <c r="G8" i="24"/>
  <c r="G8" i="28"/>
  <c r="G8" i="30"/>
  <c r="F9" i="30"/>
  <c r="G8" i="22"/>
  <c r="G8" i="14"/>
  <c r="G8" i="4"/>
  <c r="G8" i="3"/>
  <c r="G8" i="17"/>
  <c r="G8" i="33"/>
  <c r="G8" i="29"/>
  <c r="G8" i="20"/>
  <c r="E9" i="23"/>
  <c r="G8" i="1"/>
  <c r="F8" i="18"/>
  <c r="F9" i="18" s="1"/>
  <c r="E8" i="18"/>
  <c r="E9" i="18" s="1"/>
  <c r="F8" i="19"/>
  <c r="F9" i="19" s="1"/>
  <c r="E8" i="19"/>
  <c r="E9" i="19" s="1"/>
  <c r="F8" i="11"/>
  <c r="F9" i="11" s="1"/>
  <c r="E8" i="11"/>
  <c r="E9" i="11" s="1"/>
  <c r="F8" i="8"/>
  <c r="F9" i="8" s="1"/>
  <c r="E8" i="8"/>
  <c r="E9" i="8" s="1"/>
  <c r="F8" i="10"/>
  <c r="F9" i="10" s="1"/>
  <c r="E8" i="10"/>
  <c r="E9" i="10" s="1"/>
  <c r="F8" i="7"/>
  <c r="F9" i="7" s="1"/>
  <c r="E8" i="7"/>
  <c r="E9" i="7" s="1"/>
  <c r="F8" i="34"/>
  <c r="F9" i="34" s="1"/>
  <c r="E8" i="34"/>
  <c r="E9" i="34" s="1"/>
  <c r="F8" i="9"/>
  <c r="F9" i="9" s="1"/>
  <c r="E8" i="9"/>
  <c r="E9" i="9" s="1"/>
  <c r="F8" i="5"/>
  <c r="F9" i="5" s="1"/>
  <c r="E8" i="5"/>
  <c r="E9" i="5" s="1"/>
  <c r="F8" i="2"/>
  <c r="F9" i="2" s="1"/>
  <c r="E8" i="2"/>
  <c r="E9" i="2" s="1"/>
  <c r="F8" i="26"/>
  <c r="F9" i="26" s="1"/>
  <c r="E8" i="26"/>
  <c r="E9" i="26" s="1"/>
  <c r="F8" i="21"/>
  <c r="F9" i="21" s="1"/>
  <c r="E8" i="21"/>
  <c r="E9" i="21" s="1"/>
  <c r="F8" i="12"/>
  <c r="F9" i="12" s="1"/>
  <c r="E8" i="12"/>
  <c r="E9" i="12" s="1"/>
  <c r="G7" i="9" l="1"/>
  <c r="G5" i="23" l="1"/>
  <c r="G7" i="23"/>
  <c r="G5" i="2"/>
  <c r="G6" i="2"/>
  <c r="G7" i="2"/>
  <c r="G8" i="5" l="1"/>
  <c r="G8" i="34"/>
  <c r="G8" i="8"/>
  <c r="G8" i="11"/>
  <c r="G8" i="26" l="1"/>
  <c r="G8" i="21"/>
  <c r="G8" i="19"/>
  <c r="G8" i="18"/>
  <c r="G8" i="12"/>
  <c r="G8" i="10"/>
  <c r="G8" i="9"/>
  <c r="G8" i="7"/>
  <c r="G8" i="2"/>
  <c r="G10" i="35" s="1"/>
  <c r="G6" i="5"/>
  <c r="G6" i="7"/>
  <c r="G6" i="9"/>
  <c r="G6" i="11"/>
  <c r="G5" i="17"/>
  <c r="G6" i="20"/>
  <c r="G6" i="29"/>
  <c r="G6" i="23"/>
  <c r="G5" i="18"/>
  <c r="G5" i="10"/>
  <c r="G5" i="15"/>
  <c r="G5" i="32"/>
  <c r="G34" i="35" l="1"/>
  <c r="G9" i="23"/>
  <c r="G9" i="2"/>
  <c r="G7" i="33"/>
  <c r="G6" i="33"/>
  <c r="G5" i="33"/>
  <c r="G7" i="32"/>
  <c r="G6" i="32"/>
  <c r="G37" i="35" s="1"/>
  <c r="G7" i="31"/>
  <c r="G6" i="31"/>
  <c r="G5" i="31"/>
  <c r="G7" i="30"/>
  <c r="G6" i="30"/>
  <c r="G5" i="30"/>
  <c r="G7" i="29"/>
  <c r="G5" i="29"/>
  <c r="G7" i="28"/>
  <c r="G6" i="28"/>
  <c r="G5" i="28"/>
  <c r="G7" i="27"/>
  <c r="G6" i="27"/>
  <c r="G5" i="27"/>
  <c r="G7" i="26"/>
  <c r="G6" i="26"/>
  <c r="G5" i="26"/>
  <c r="G7" i="25"/>
  <c r="G6" i="25"/>
  <c r="G5" i="25"/>
  <c r="G7" i="24"/>
  <c r="G6" i="24"/>
  <c r="G7" i="22"/>
  <c r="G6" i="22"/>
  <c r="G5" i="22"/>
  <c r="G7" i="21"/>
  <c r="G6" i="21"/>
  <c r="G5" i="21"/>
  <c r="G7" i="20"/>
  <c r="G5" i="20"/>
  <c r="G7" i="19"/>
  <c r="G6" i="19"/>
  <c r="G5" i="19"/>
  <c r="G7" i="18"/>
  <c r="G6" i="18"/>
  <c r="G19" i="35" s="1"/>
  <c r="G7" i="17"/>
  <c r="G6" i="17"/>
  <c r="G7" i="16"/>
  <c r="G6" i="16"/>
  <c r="G5" i="16"/>
  <c r="G7" i="15"/>
  <c r="G6" i="15"/>
  <c r="G28" i="35" s="1"/>
  <c r="G7" i="14"/>
  <c r="G6" i="14"/>
  <c r="G5" i="14"/>
  <c r="G7" i="13"/>
  <c r="G6" i="13"/>
  <c r="G5" i="13"/>
  <c r="G7" i="12"/>
  <c r="G6" i="12"/>
  <c r="G5" i="12"/>
  <c r="G7" i="11"/>
  <c r="G5" i="11"/>
  <c r="G7" i="10"/>
  <c r="G6" i="10"/>
  <c r="G15" i="35" s="1"/>
  <c r="G5" i="9"/>
  <c r="G7" i="8"/>
  <c r="G6" i="8"/>
  <c r="G5" i="8"/>
  <c r="G7" i="7"/>
  <c r="G5" i="7"/>
  <c r="G7" i="34"/>
  <c r="G6" i="34"/>
  <c r="G5" i="34"/>
  <c r="G7" i="5"/>
  <c r="G5" i="5"/>
  <c r="G7" i="4"/>
  <c r="G6" i="4"/>
  <c r="G5" i="4"/>
  <c r="G7" i="3"/>
  <c r="G6" i="3"/>
  <c r="G5" i="3"/>
  <c r="G6" i="1"/>
  <c r="G7" i="1"/>
  <c r="G5" i="1"/>
  <c r="G32" i="35" s="1"/>
  <c r="G23" i="35" l="1"/>
  <c r="G24" i="35"/>
  <c r="G39" i="35"/>
  <c r="G9" i="16"/>
  <c r="G38" i="35"/>
  <c r="G9" i="27"/>
  <c r="G9" i="32"/>
  <c r="G36" i="35"/>
  <c r="G9" i="25"/>
  <c r="G35" i="35"/>
  <c r="G9" i="31"/>
  <c r="G33" i="35"/>
  <c r="G9" i="24"/>
  <c r="G31" i="35"/>
  <c r="G9" i="28"/>
  <c r="G30" i="35"/>
  <c r="G9" i="30"/>
  <c r="G29" i="35"/>
  <c r="G9" i="22"/>
  <c r="G9" i="15"/>
  <c r="G27" i="35"/>
  <c r="G9" i="14"/>
  <c r="G26" i="35"/>
  <c r="G9" i="13"/>
  <c r="G25" i="35"/>
  <c r="G9" i="4"/>
  <c r="G9" i="17"/>
  <c r="G22" i="35"/>
  <c r="G9" i="33"/>
  <c r="G21" i="35"/>
  <c r="G9" i="29"/>
  <c r="G20" i="35"/>
  <c r="G9" i="20"/>
  <c r="G9" i="18"/>
  <c r="G18" i="35"/>
  <c r="G9" i="19"/>
  <c r="G17" i="35"/>
  <c r="G9" i="11"/>
  <c r="G16" i="35"/>
  <c r="G9" i="8"/>
  <c r="G9" i="10"/>
  <c r="G14" i="35"/>
  <c r="G9" i="7"/>
  <c r="G13" i="35"/>
  <c r="G9" i="34"/>
  <c r="G12" i="35"/>
  <c r="G9" i="9"/>
  <c r="G11" i="35"/>
  <c r="G9" i="5"/>
  <c r="G9" i="35"/>
  <c r="G9" i="26"/>
  <c r="G8" i="35"/>
  <c r="G9" i="21"/>
  <c r="G7" i="35"/>
  <c r="G9" i="12"/>
  <c r="G9" i="3"/>
  <c r="G9" i="1"/>
  <c r="G40" i="35" l="1"/>
  <c r="G46" i="35" s="1"/>
  <c r="G48" i="35" s="1"/>
  <c r="G51" i="35" l="1"/>
  <c r="G54" i="35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tc={F714BB72-732E-405A-9C4B-FCA748FEAE84}</author>
  </authors>
  <commentList>
    <comment ref="F7" authorId="0" shapeId="0" xr:uid="{F714BB72-732E-405A-9C4B-FCA748FEAE84}">
      <text>
        <r>
          <rPr>
            <sz val="11"/>
            <color theme="1"/>
            <rFont val="Calibri"/>
            <family val="2"/>
            <scheme val="minor"/>
          </rPr>
          <t>[Threaded comment]
Your version of Excel allows you to read this threaded comment; however, any edits to it will get removed if the file is opened in a newer version of Excel. Learn more: https://go.microsoft.com/fwlink/?linkid=870924
Comment:
    For VASP -564, VASP III 689 and VASP III 525 , JMRs are not found
Renew: VASP -564, VASP III 689 and VASP III 525 JMRs has been submitted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tc={583B3116-0486-4F7A-AC0F-729A5414B567}</author>
    <author>tc={6AF9FA23-6376-414D-A040-714E72CE8DE1}</author>
  </authors>
  <commentList>
    <comment ref="D8" authorId="0" shapeId="0" xr:uid="{583B3116-0486-4F7A-AC0F-729A5414B567}">
      <text>
        <r>
          <rPr>
            <sz val="11"/>
            <color theme="1"/>
            <rFont val="Calibri"/>
            <family val="2"/>
            <scheme val="minor"/>
          </rPr>
          <t>[Threaded comment]
Your version of Excel allows you to read this threaded comment; however, any edits to it will get removed if the file is opened in a newer version of Excel. Learn more: https://go.microsoft.com/fwlink/?linkid=870924
Comment:
    Please make the date format consistent across the documents
Renew: Updated</t>
        </r>
      </text>
    </comment>
    <comment ref="H8" authorId="1" shapeId="0" xr:uid="{6AF9FA23-6376-414D-A040-714E72CE8DE1}">
      <text>
        <r>
          <rPr>
            <sz val="11"/>
            <color theme="1"/>
            <rFont val="Calibri"/>
            <family val="2"/>
            <scheme val="minor"/>
          </rPr>
          <t>[Threaded comment]
Your version of Excel allows you to read this threaded comment; however, any edits to it will get removed if the file is opened in a newer version of Excel. Learn more: https://go.microsoft.com/fwlink/?linkid=870924
Comment:
    Please mention this value also for only 2 days
Renew: Corrected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tc={E287DE96-B2BF-4966-9F1B-D1E44539D17B}</author>
  </authors>
  <commentList>
    <comment ref="H5" authorId="0" shapeId="0" xr:uid="{E287DE96-B2BF-4966-9F1B-D1E44539D17B}">
      <text>
        <r>
          <rPr>
            <sz val="11"/>
            <color theme="1"/>
            <rFont val="Calibri"/>
            <family val="2"/>
            <scheme val="minor"/>
          </rPr>
          <t>[Threaded comment]
Your version of Excel allows you to read this threaded comment; however, any edits to it will get removed if the file is opened in a newer version of Excel. Learn more: https://go.microsoft.com/fwlink/?linkid=870924
Comment:
    Same as Net export
Renew: Updated as suggested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tc={7CBB148D-23D2-4103-B9CE-D6188AE776EE}</author>
  </authors>
  <commentList>
    <comment ref="H5" authorId="0" shapeId="0" xr:uid="{7CBB148D-23D2-4103-B9CE-D6188AE776EE}">
      <text>
        <r>
          <rPr>
            <sz val="11"/>
            <color theme="1"/>
            <rFont val="Calibri"/>
            <family val="2"/>
            <scheme val="minor"/>
          </rPr>
          <t>[Threaded comment]
Your version of Excel allows you to read this threaded comment; however, any edits to it will get removed if the file is opened in a newer version of Excel. Learn more: https://go.microsoft.com/fwlink/?linkid=870924
Comment:
    Same as Net electricity
Renew: Corrected as suggested</t>
        </r>
      </text>
    </comment>
  </commentList>
</comments>
</file>

<file path=xl/sharedStrings.xml><?xml version="1.0" encoding="utf-8"?>
<sst xmlns="http://schemas.openxmlformats.org/spreadsheetml/2006/main" count="279" uniqueCount="54">
  <si>
    <t>Location</t>
  </si>
  <si>
    <t>Net Electricity Export(kWh)</t>
  </si>
  <si>
    <t>VASP-237</t>
  </si>
  <si>
    <t xml:space="preserve">VASP-15 </t>
  </si>
  <si>
    <t>VASP-72</t>
  </si>
  <si>
    <t>VASP-142</t>
  </si>
  <si>
    <t xml:space="preserve">VASP-29 </t>
  </si>
  <si>
    <t>VASP-64</t>
  </si>
  <si>
    <t xml:space="preserve">VASP-35 </t>
  </si>
  <si>
    <t xml:space="preserve">VASP-394 </t>
  </si>
  <si>
    <t xml:space="preserve">VASP-09 </t>
  </si>
  <si>
    <t xml:space="preserve">VASP-49 </t>
  </si>
  <si>
    <t xml:space="preserve">VASP-450 </t>
  </si>
  <si>
    <t xml:space="preserve">VASP-564 </t>
  </si>
  <si>
    <t xml:space="preserve">VASP-510 </t>
  </si>
  <si>
    <t>VASP-637</t>
  </si>
  <si>
    <t xml:space="preserve">VASP-696 </t>
  </si>
  <si>
    <t xml:space="preserve">VASP-92 </t>
  </si>
  <si>
    <t xml:space="preserve">VASP-21 </t>
  </si>
  <si>
    <t xml:space="preserve">VASP III 397 </t>
  </si>
  <si>
    <t xml:space="preserve">VASP III 26 </t>
  </si>
  <si>
    <t xml:space="preserve">VASP III 58 </t>
  </si>
  <si>
    <t xml:space="preserve">VASP III 525 </t>
  </si>
  <si>
    <t>VASP III 384V</t>
  </si>
  <si>
    <t xml:space="preserve">VASP III 387 </t>
  </si>
  <si>
    <t xml:space="preserve">VASP III 388 </t>
  </si>
  <si>
    <t xml:space="preserve">VASP III 700/1 </t>
  </si>
  <si>
    <t xml:space="preserve">VASP III 689 </t>
  </si>
  <si>
    <t xml:space="preserve">VASP III 355 </t>
  </si>
  <si>
    <t xml:space="preserve">VASP III 698 </t>
  </si>
  <si>
    <t xml:space="preserve">VASP III 108 </t>
  </si>
  <si>
    <t xml:space="preserve">VASP III 440 </t>
  </si>
  <si>
    <t xml:space="preserve">VASP III 463 </t>
  </si>
  <si>
    <t>VASP III 105</t>
  </si>
  <si>
    <t xml:space="preserve">VASP III 424 </t>
  </si>
  <si>
    <t>Total</t>
  </si>
  <si>
    <t>Start Date of Monitoring Period</t>
  </si>
  <si>
    <t>End Date of Monitoring Period</t>
  </si>
  <si>
    <t>Number of Days in Monitoring Period</t>
  </si>
  <si>
    <t>Project Emission for Current Monitoring Period (tCO2e)</t>
  </si>
  <si>
    <t>Leakage Emission for Current Monitoring Period (tCO2e)</t>
  </si>
  <si>
    <t>Emission Reduction in Current Monitoring Period (tCO2e)</t>
  </si>
  <si>
    <t>Estimated Annual Emission reduction as per PD(tCO2e)</t>
  </si>
  <si>
    <t>Estimated Emission Reduction in Current Monitoring Period(tCO2e)</t>
  </si>
  <si>
    <t>% Deviation between Actual and Estimated Emission Reduction</t>
  </si>
  <si>
    <t>Month</t>
  </si>
  <si>
    <t>Export(kWh)</t>
  </si>
  <si>
    <t>Import(kWh)</t>
  </si>
  <si>
    <t>Net Export(kWh)</t>
  </si>
  <si>
    <t>Invoice(kWh)</t>
  </si>
  <si>
    <t>Net Electricity Export in Current Monitoring Period(MWh)</t>
  </si>
  <si>
    <t>Emission Factor (tCO2/MWh)</t>
  </si>
  <si>
    <t>Baseline Emission for Current Monitoring Period (tCO2e)</t>
  </si>
  <si>
    <t>01/04/2023 to 02/04/2023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</si>
</sst>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0.00000"/>
    <numFmt numFmtId="165" formatCode="0.0000"/>
    <numFmt numFmtId="166" formatCode="0.000"/>
    <numFmt numFmtId="167" formatCode="0.0"/>
    <numFmt numFmtId="168" formatCode="_(* #,##0.000_);_(* \(#,##0.000\);_(* &quot;-&quot;??_);_(@_)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52">
    <xf numFmtId="0" fontId="0" fillId="0" borderId="0" xfId="0"/>
    <xf numFmtId="9" fontId="0" fillId="0" borderId="0" xfId="2" applyFont="1"/>
    <xf numFmtId="0" fontId="0" fillId="0" borderId="6" xfId="0" applyBorder="1"/>
    <xf numFmtId="0" fontId="0" fillId="0" borderId="7" xfId="0" applyBorder="1"/>
    <xf numFmtId="0" fontId="0" fillId="0" borderId="8" xfId="0" applyBorder="1"/>
    <xf numFmtId="14" fontId="0" fillId="0" borderId="9" xfId="0" applyNumberFormat="1" applyBorder="1"/>
    <xf numFmtId="14" fontId="0" fillId="0" borderId="10" xfId="0" applyNumberFormat="1" applyBorder="1"/>
    <xf numFmtId="0" fontId="0" fillId="0" borderId="10" xfId="0" applyBorder="1"/>
    <xf numFmtId="168" fontId="0" fillId="0" borderId="0" xfId="0" applyNumberFormat="1"/>
    <xf numFmtId="43" fontId="1" fillId="0" borderId="0" xfId="0" applyNumberFormat="1" applyFont="1"/>
    <xf numFmtId="165" fontId="0" fillId="0" borderId="10" xfId="0" applyNumberFormat="1" applyBorder="1"/>
    <xf numFmtId="167" fontId="0" fillId="0" borderId="10" xfId="0" applyNumberFormat="1" applyBorder="1"/>
    <xf numFmtId="166" fontId="0" fillId="0" borderId="1" xfId="0" applyNumberFormat="1" applyBorder="1" applyAlignment="1">
      <alignment horizontal="center"/>
    </xf>
    <xf numFmtId="0" fontId="1" fillId="0" borderId="1" xfId="0" applyFont="1" applyBorder="1" applyAlignment="1">
      <alignment horizontal="left"/>
    </xf>
    <xf numFmtId="17" fontId="0" fillId="0" borderId="1" xfId="0" applyNumberFormat="1" applyBorder="1" applyAlignment="1">
      <alignment horizontal="left"/>
    </xf>
    <xf numFmtId="0" fontId="0" fillId="0" borderId="1" xfId="0" applyBorder="1" applyAlignment="1">
      <alignment horizontal="left"/>
    </xf>
    <xf numFmtId="165" fontId="0" fillId="0" borderId="1" xfId="0" applyNumberFormat="1" applyBorder="1" applyAlignment="1">
      <alignment horizontal="left"/>
    </xf>
    <xf numFmtId="17" fontId="0" fillId="2" borderId="1" xfId="0" applyNumberFormat="1" applyFill="1" applyBorder="1" applyAlignment="1">
      <alignment horizontal="left"/>
    </xf>
    <xf numFmtId="164" fontId="0" fillId="0" borderId="1" xfId="0" applyNumberFormat="1" applyBorder="1" applyAlignment="1">
      <alignment horizontal="left"/>
    </xf>
    <xf numFmtId="166" fontId="0" fillId="0" borderId="1" xfId="0" applyNumberFormat="1" applyBorder="1" applyAlignment="1">
      <alignment horizontal="left"/>
    </xf>
    <xf numFmtId="2" fontId="0" fillId="0" borderId="1" xfId="0" applyNumberFormat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0" fillId="2" borderId="1" xfId="0" applyFill="1" applyBorder="1" applyAlignment="1">
      <alignment horizontal="left"/>
    </xf>
    <xf numFmtId="164" fontId="0" fillId="2" borderId="1" xfId="0" applyNumberFormat="1" applyFill="1" applyBorder="1" applyAlignment="1">
      <alignment horizontal="left"/>
    </xf>
    <xf numFmtId="166" fontId="0" fillId="2" borderId="1" xfId="0" applyNumberFormat="1" applyFill="1" applyBorder="1" applyAlignment="1">
      <alignment horizontal="left"/>
    </xf>
    <xf numFmtId="2" fontId="0" fillId="2" borderId="1" xfId="0" applyNumberFormat="1" applyFill="1" applyBorder="1" applyAlignment="1">
      <alignment horizontal="left"/>
    </xf>
    <xf numFmtId="164" fontId="1" fillId="0" borderId="1" xfId="0" applyNumberFormat="1" applyFont="1" applyBorder="1" applyAlignment="1">
      <alignment horizontal="left"/>
    </xf>
    <xf numFmtId="165" fontId="0" fillId="2" borderId="1" xfId="0" applyNumberFormat="1" applyFill="1" applyBorder="1" applyAlignment="1">
      <alignment horizontal="left"/>
    </xf>
    <xf numFmtId="164" fontId="1" fillId="2" borderId="1" xfId="0" applyNumberFormat="1" applyFont="1" applyFill="1" applyBorder="1" applyAlignment="1">
      <alignment horizontal="left"/>
    </xf>
    <xf numFmtId="0" fontId="2" fillId="2" borderId="1" xfId="0" applyFont="1" applyFill="1" applyBorder="1" applyAlignment="1">
      <alignment horizontal="left"/>
    </xf>
    <xf numFmtId="0" fontId="0" fillId="2" borderId="0" xfId="0" applyFill="1" applyAlignment="1">
      <alignment horizontal="left"/>
    </xf>
    <xf numFmtId="2" fontId="3" fillId="2" borderId="1" xfId="1" applyNumberFormat="1" applyFont="1" applyFill="1" applyBorder="1" applyAlignment="1">
      <alignment horizontal="left"/>
    </xf>
    <xf numFmtId="2" fontId="1" fillId="2" borderId="1" xfId="1" applyNumberFormat="1" applyFont="1" applyFill="1" applyBorder="1" applyAlignment="1">
      <alignment horizontal="left"/>
    </xf>
    <xf numFmtId="2" fontId="1" fillId="2" borderId="1" xfId="0" applyNumberFormat="1" applyFont="1" applyFill="1" applyBorder="1" applyAlignment="1">
      <alignment horizontal="left"/>
    </xf>
    <xf numFmtId="2" fontId="0" fillId="2" borderId="0" xfId="0" applyNumberFormat="1" applyFill="1" applyAlignment="1">
      <alignment horizontal="left"/>
    </xf>
    <xf numFmtId="10" fontId="1" fillId="0" borderId="11" xfId="0" applyNumberFormat="1" applyFont="1" applyBorder="1"/>
    <xf numFmtId="0" fontId="1" fillId="0" borderId="2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1" fillId="0" borderId="4" xfId="0" applyFont="1" applyBorder="1" applyAlignment="1">
      <alignment horizontal="center"/>
    </xf>
    <xf numFmtId="168" fontId="0" fillId="0" borderId="10" xfId="0" applyNumberFormat="1" applyBorder="1"/>
    <xf numFmtId="0" fontId="0" fillId="0" borderId="5" xfId="0" applyBorder="1" applyAlignment="1">
      <alignment horizontal="left"/>
    </xf>
    <xf numFmtId="0" fontId="0" fillId="2" borderId="5" xfId="0" applyFill="1" applyBorder="1" applyAlignment="1">
      <alignment horizontal="left"/>
    </xf>
    <xf numFmtId="0" fontId="0" fillId="2" borderId="1" xfId="0" applyFill="1" applyBorder="1" applyAlignment="1">
      <alignment horizontal="left" vertical="center"/>
    </xf>
    <xf numFmtId="0" fontId="0" fillId="2" borderId="5" xfId="0" applyFill="1" applyBorder="1" applyAlignment="1">
      <alignment horizontal="left" vertical="center"/>
    </xf>
    <xf numFmtId="2" fontId="3" fillId="2" borderId="5" xfId="1" applyNumberFormat="1" applyFont="1" applyFill="1" applyBorder="1" applyAlignment="1">
      <alignment horizontal="left" vertical="center"/>
    </xf>
    <xf numFmtId="2" fontId="0" fillId="2" borderId="5" xfId="0" applyNumberFormat="1" applyFill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166" fontId="1" fillId="0" borderId="1" xfId="0" applyNumberFormat="1" applyFont="1" applyBorder="1" applyAlignment="1">
      <alignment horizontal="center"/>
    </xf>
    <xf numFmtId="0" fontId="0" fillId="3" borderId="1" xfId="0" applyFill="1" applyBorder="1" applyAlignment="1">
      <alignment horizontal="left"/>
    </xf>
    <xf numFmtId="0" fontId="0" fillId="3" borderId="5" xfId="0" applyFill="1" applyBorder="1" applyAlignment="1">
      <alignment horizontal="left"/>
    </xf>
  </cellXfs>
  <cellStyles count="3">
    <cellStyle name="Comma" xfId="1" builtinId="3"/>
    <cellStyle name="Normal" xfId="0" builtinId="0"/>
    <cellStyle name="Percent" xfId="2" builtinId="5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customXml" Target="../customXml/item1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microsoft.com/office/2017/10/relationships/person" Target="persons/person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haredStrings" Target="sharedStrings.xml"/><Relationship Id="rId40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theme" Target="theme/theme1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calcChain" Target="calcChain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Nikhitha Chinthala" id="{2992F78A-0FA1-49A8-8B30-A8687E75952E}" userId="Nikhitha Chinthala" providerId="None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F7" dT="2024-05-09T10:25:31.24" personId="{2992F78A-0FA1-49A8-8B30-A8687E75952E}" id="{F714BB72-732E-405A-9C4B-FCA748FEAE84}">
    <text>For VASP -564, VASP III 689 and VASP III 525 , JMRs are not found</text>
  </threadedComment>
</ThreadedComments>
</file>

<file path=xl/threadedComments/threadedComment2.xml><?xml version="1.0" encoding="utf-8"?>
<ThreadedComments xmlns="http://schemas.microsoft.com/office/spreadsheetml/2018/threadedcomments" xmlns:x="http://schemas.openxmlformats.org/spreadsheetml/2006/main">
  <threadedComment ref="D8" dT="2024-05-13T10:29:43.29" personId="{2992F78A-0FA1-49A8-8B30-A8687E75952E}" id="{583B3116-0486-4F7A-AC0F-729A5414B567}">
    <text>Please make the date format consistent across the documents</text>
  </threadedComment>
  <threadedComment ref="H8" dT="2024-05-09T11:13:51.75" personId="{2992F78A-0FA1-49A8-8B30-A8687E75952E}" id="{6AF9FA23-6376-414D-A040-714E72CE8DE1}">
    <text>Please mention this value also for only 2 days</text>
  </threadedComment>
</ThreadedComments>
</file>

<file path=xl/threadedComments/threadedComment3.xml><?xml version="1.0" encoding="utf-8"?>
<ThreadedComments xmlns="http://schemas.microsoft.com/office/spreadsheetml/2018/threadedcomments" xmlns:x="http://schemas.openxmlformats.org/spreadsheetml/2006/main">
  <threadedComment ref="H5" dT="2024-05-09T10:34:59.33" personId="{2992F78A-0FA1-49A8-8B30-A8687E75952E}" id="{E287DE96-B2BF-4966-9F1B-D1E44539D17B}">
    <text>Same as Net export</text>
  </threadedComment>
</ThreadedComments>
</file>

<file path=xl/threadedComments/threadedComment4.xml><?xml version="1.0" encoding="utf-8"?>
<ThreadedComments xmlns="http://schemas.microsoft.com/office/spreadsheetml/2018/threadedcomments" xmlns:x="http://schemas.openxmlformats.org/spreadsheetml/2006/main">
  <threadedComment ref="H5" dT="2024-05-09T10:38:50.22" personId="{2992F78A-0FA1-49A8-8B30-A8687E75952E}" id="{7CBB148D-23D2-4103-B9CE-D6188AE776EE}">
    <text>Same as Net electricity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Relationship Id="rId4" Type="http://schemas.microsoft.com/office/2017/10/relationships/threadedComment" Target="../threadedComments/threadedComment3.xml"/></Relationships>
</file>

<file path=xl/worksheets/_rels/sheet2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2.xml"/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28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4.xml"/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F5:I54"/>
  <sheetViews>
    <sheetView tabSelected="1" zoomScale="85" zoomScaleNormal="85" workbookViewId="0">
      <selection activeCell="I13" sqref="I13"/>
    </sheetView>
  </sheetViews>
  <sheetFormatPr defaultRowHeight="14.5" x14ac:dyDescent="0.35"/>
  <cols>
    <col min="6" max="6" width="56.453125" bestFit="1" customWidth="1"/>
    <col min="7" max="7" width="23.81640625" bestFit="1" customWidth="1"/>
    <col min="8" max="8" width="14.453125" customWidth="1"/>
    <col min="9" max="9" width="27.453125" customWidth="1"/>
    <col min="10" max="10" width="21.54296875" customWidth="1"/>
  </cols>
  <sheetData>
    <row r="5" spans="6:8" ht="15" thickBot="1" x14ac:dyDescent="0.4"/>
    <row r="6" spans="6:8" x14ac:dyDescent="0.35">
      <c r="F6" s="36" t="s">
        <v>0</v>
      </c>
      <c r="G6" s="37" t="s">
        <v>1</v>
      </c>
    </row>
    <row r="7" spans="6:8" x14ac:dyDescent="0.35">
      <c r="F7" s="38" t="s">
        <v>13</v>
      </c>
      <c r="G7" s="12">
        <f>SUM('VASP-564 '!G5:G8)</f>
        <v>330150.04515000002</v>
      </c>
      <c r="H7" s="8"/>
    </row>
    <row r="8" spans="6:8" x14ac:dyDescent="0.35">
      <c r="F8" s="38" t="s">
        <v>22</v>
      </c>
      <c r="G8" s="12">
        <f>SUM('VASP III 525'!G5:G8)</f>
        <v>356727.79314466665</v>
      </c>
      <c r="H8" s="8"/>
    </row>
    <row r="9" spans="6:8" x14ac:dyDescent="0.35">
      <c r="F9" s="38" t="s">
        <v>27</v>
      </c>
      <c r="G9" s="12">
        <f>SUM('VASP III 689 '!G5:G8)</f>
        <v>351286.88589999999</v>
      </c>
      <c r="H9" s="8"/>
    </row>
    <row r="10" spans="6:8" x14ac:dyDescent="0.35">
      <c r="F10" s="38" t="s">
        <v>3</v>
      </c>
      <c r="G10" s="12">
        <f>SUM('VASP-15'!G5:G8)</f>
        <v>353469.09834999999</v>
      </c>
      <c r="H10" s="8"/>
    </row>
    <row r="11" spans="6:8" x14ac:dyDescent="0.35">
      <c r="F11" s="38" t="s">
        <v>6</v>
      </c>
      <c r="G11" s="12">
        <f>SUM('VASP-29 '!G5:G8)</f>
        <v>322246.74252000003</v>
      </c>
      <c r="H11" s="8"/>
    </row>
    <row r="12" spans="6:8" x14ac:dyDescent="0.35">
      <c r="F12" s="38" t="s">
        <v>10</v>
      </c>
      <c r="G12" s="12">
        <f>SUM('VASP-09'!G5:G8)</f>
        <v>355292.40622000006</v>
      </c>
      <c r="H12" s="8"/>
    </row>
    <row r="13" spans="6:8" x14ac:dyDescent="0.35">
      <c r="F13" s="38" t="s">
        <v>7</v>
      </c>
      <c r="G13" s="12">
        <f>SUM('VASP-64'!G5:G8)</f>
        <v>348317.95944999997</v>
      </c>
      <c r="H13" s="8"/>
    </row>
    <row r="14" spans="6:8" x14ac:dyDescent="0.35">
      <c r="F14" s="38" t="s">
        <v>8</v>
      </c>
      <c r="G14" s="12">
        <f>SUM('VASP-35 '!G5:G8)</f>
        <v>345815.76290000003</v>
      </c>
      <c r="H14" s="8"/>
    </row>
    <row r="15" spans="6:8" x14ac:dyDescent="0.35">
      <c r="F15" s="38" t="s">
        <v>11</v>
      </c>
      <c r="G15" s="12">
        <f>SUM('VASP-49 '!G5:G8)</f>
        <v>331653.13805000001</v>
      </c>
      <c r="H15" s="8"/>
    </row>
    <row r="16" spans="6:8" x14ac:dyDescent="0.35">
      <c r="F16" s="38" t="s">
        <v>9</v>
      </c>
      <c r="G16" s="12">
        <f>SUM('VASP-394'!G5:G8)</f>
        <v>385700.71982</v>
      </c>
      <c r="H16" s="8"/>
    </row>
    <row r="17" spans="6:8" x14ac:dyDescent="0.35">
      <c r="F17" s="38" t="s">
        <v>12</v>
      </c>
      <c r="G17" s="12">
        <f>SUM('VASP-450 '!G5:G8)</f>
        <v>340511.80746999994</v>
      </c>
      <c r="H17" s="8"/>
    </row>
    <row r="18" spans="6:8" x14ac:dyDescent="0.35">
      <c r="F18" s="38" t="s">
        <v>20</v>
      </c>
      <c r="G18" s="12">
        <f>SUM('VASP III 26'!G5:G8)</f>
        <v>348012.89371999999</v>
      </c>
      <c r="H18" s="8"/>
    </row>
    <row r="19" spans="6:8" x14ac:dyDescent="0.35">
      <c r="F19" s="38" t="s">
        <v>19</v>
      </c>
      <c r="G19" s="12">
        <f>SUM('VASP III 397 '!G5:G8)</f>
        <v>351582.85545000003</v>
      </c>
      <c r="H19" s="8"/>
    </row>
    <row r="20" spans="6:8" x14ac:dyDescent="0.35">
      <c r="F20" s="38" t="s">
        <v>21</v>
      </c>
      <c r="G20" s="12">
        <f>SUM('VASP III 58 '!G5:G8)</f>
        <v>349259.09047000005</v>
      </c>
      <c r="H20" s="8"/>
    </row>
    <row r="21" spans="6:8" x14ac:dyDescent="0.35">
      <c r="F21" s="38" t="s">
        <v>30</v>
      </c>
      <c r="G21" s="12">
        <f>SUM('VASP III 108'!G5:G8)</f>
        <v>337022.61717000004</v>
      </c>
      <c r="H21" s="8"/>
    </row>
    <row r="22" spans="6:8" x14ac:dyDescent="0.35">
      <c r="F22" s="38" t="s">
        <v>34</v>
      </c>
      <c r="G22" s="12">
        <f>SUM('VASP III 424 '!G5:G8)</f>
        <v>324577.32321999996</v>
      </c>
      <c r="H22" s="8"/>
    </row>
    <row r="23" spans="6:8" x14ac:dyDescent="0.35">
      <c r="F23" s="38" t="s">
        <v>18</v>
      </c>
      <c r="G23" s="12">
        <f>SUM('VASP-21 '!G5:G8)</f>
        <v>344518.31692000007</v>
      </c>
      <c r="H23" s="8"/>
    </row>
    <row r="24" spans="6:8" x14ac:dyDescent="0.35">
      <c r="F24" s="38" t="s">
        <v>4</v>
      </c>
      <c r="G24" s="12">
        <f>SUM('VASP-72 '!G5:G8)</f>
        <v>359378.28249999997</v>
      </c>
      <c r="H24" s="8"/>
    </row>
    <row r="25" spans="6:8" x14ac:dyDescent="0.35">
      <c r="F25" s="38" t="s">
        <v>5</v>
      </c>
      <c r="G25" s="12">
        <f>SUM('VASP-142'!G5:G8)</f>
        <v>349051.12699999998</v>
      </c>
      <c r="H25" s="8"/>
    </row>
    <row r="26" spans="6:8" x14ac:dyDescent="0.35">
      <c r="F26" s="38" t="s">
        <v>14</v>
      </c>
      <c r="G26" s="12">
        <f>SUM('VASP-510 '!G5:G8)</f>
        <v>340140.93299999996</v>
      </c>
      <c r="H26" s="8"/>
    </row>
    <row r="27" spans="6:8" x14ac:dyDescent="0.35">
      <c r="F27" s="38" t="s">
        <v>15</v>
      </c>
      <c r="G27" s="12">
        <f>SUM('VASP-637'!G5:G8)</f>
        <v>367595.15549999999</v>
      </c>
      <c r="H27" s="8"/>
    </row>
    <row r="28" spans="6:8" x14ac:dyDescent="0.35">
      <c r="F28" s="38" t="s">
        <v>16</v>
      </c>
      <c r="G28" s="12">
        <f>SUM('VASP-696 '!G5:G8)</f>
        <v>348073.72</v>
      </c>
      <c r="H28" s="8"/>
    </row>
    <row r="29" spans="6:8" x14ac:dyDescent="0.35">
      <c r="F29" s="38" t="s">
        <v>23</v>
      </c>
      <c r="G29" s="12">
        <f>SUM('VASP III 384V '!G5:G8)</f>
        <v>353249.81</v>
      </c>
      <c r="H29" s="8"/>
    </row>
    <row r="30" spans="6:8" x14ac:dyDescent="0.35">
      <c r="F30" s="38" t="s">
        <v>31</v>
      </c>
      <c r="G30" s="12">
        <f>SUM('VASP III 440'!G5:G8)</f>
        <v>324206.75049999997</v>
      </c>
      <c r="H30" s="8"/>
    </row>
    <row r="31" spans="6:8" x14ac:dyDescent="0.35">
      <c r="F31" s="38" t="s">
        <v>29</v>
      </c>
      <c r="G31" s="12">
        <f>SUM('VASP III 698'!G5:G8)</f>
        <v>352750.99849999999</v>
      </c>
      <c r="H31" s="8"/>
    </row>
    <row r="32" spans="6:8" x14ac:dyDescent="0.35">
      <c r="F32" s="38" t="s">
        <v>2</v>
      </c>
      <c r="G32" s="12">
        <f>SUM('VASP 237'!G5:G8)</f>
        <v>373820.77349999995</v>
      </c>
      <c r="H32" s="8"/>
    </row>
    <row r="33" spans="6:9" x14ac:dyDescent="0.35">
      <c r="F33" s="38" t="s">
        <v>25</v>
      </c>
      <c r="G33" s="12">
        <f>SUM('VASP III 388'!G5:G8)</f>
        <v>385301.261</v>
      </c>
      <c r="H33" s="8"/>
      <c r="I33" s="1"/>
    </row>
    <row r="34" spans="6:9" x14ac:dyDescent="0.35">
      <c r="F34" s="38" t="s">
        <v>24</v>
      </c>
      <c r="G34" s="12">
        <f>SUM('VASP III 387 '!G5:G8)</f>
        <v>361778.47849999997</v>
      </c>
      <c r="H34" s="8"/>
    </row>
    <row r="35" spans="6:9" x14ac:dyDescent="0.35">
      <c r="F35" s="38" t="s">
        <v>32</v>
      </c>
      <c r="G35" s="12">
        <f>SUM('VAPS III 463 '!G5:G8)</f>
        <v>327359.3345</v>
      </c>
      <c r="H35" s="8"/>
    </row>
    <row r="36" spans="6:9" x14ac:dyDescent="0.35">
      <c r="F36" s="38" t="s">
        <v>26</v>
      </c>
      <c r="G36" s="12">
        <f>SUM('VAPS III 700_1 '!G5:G8)</f>
        <v>324083.12350000005</v>
      </c>
      <c r="H36" s="8"/>
    </row>
    <row r="37" spans="6:9" x14ac:dyDescent="0.35">
      <c r="F37" s="38" t="s">
        <v>33</v>
      </c>
      <c r="G37" s="12">
        <f>SUM('VAPS III 105'!G5:G8)</f>
        <v>344810.11750000005</v>
      </c>
      <c r="H37" s="8"/>
    </row>
    <row r="38" spans="6:9" x14ac:dyDescent="0.35">
      <c r="F38" s="38" t="s">
        <v>28</v>
      </c>
      <c r="G38" s="12">
        <f>SUM('VASP III 355'!G5:G8)</f>
        <v>348052.89149999997</v>
      </c>
      <c r="H38" s="8"/>
    </row>
    <row r="39" spans="6:9" x14ac:dyDescent="0.35">
      <c r="F39" s="38" t="s">
        <v>17</v>
      </c>
      <c r="G39" s="12">
        <f>SUM('VASP-92 '!G5:G8)</f>
        <v>408823.64999999997</v>
      </c>
      <c r="H39" s="8"/>
    </row>
    <row r="40" spans="6:9" ht="15" thickBot="1" x14ac:dyDescent="0.4">
      <c r="F40" s="39" t="s">
        <v>35</v>
      </c>
      <c r="G40" s="49">
        <f>SUM(G7:G39)</f>
        <v>11544621.862924667</v>
      </c>
      <c r="H40" s="9"/>
    </row>
    <row r="42" spans="6:9" ht="15" thickBot="1" x14ac:dyDescent="0.4"/>
    <row r="43" spans="6:9" x14ac:dyDescent="0.35">
      <c r="F43" s="2" t="s">
        <v>36</v>
      </c>
      <c r="G43" s="5">
        <v>44927</v>
      </c>
    </row>
    <row r="44" spans="6:9" x14ac:dyDescent="0.35">
      <c r="F44" s="3" t="s">
        <v>37</v>
      </c>
      <c r="G44" s="6">
        <v>45018</v>
      </c>
    </row>
    <row r="45" spans="6:9" x14ac:dyDescent="0.35">
      <c r="F45" s="3" t="s">
        <v>38</v>
      </c>
      <c r="G45" s="7">
        <f>G44-G43+1</f>
        <v>92</v>
      </c>
    </row>
    <row r="46" spans="6:9" x14ac:dyDescent="0.35">
      <c r="F46" s="3" t="s">
        <v>50</v>
      </c>
      <c r="G46" s="40">
        <f>SUM(G40)/1000</f>
        <v>11544.621862924667</v>
      </c>
    </row>
    <row r="47" spans="6:9" x14ac:dyDescent="0.35">
      <c r="F47" s="3" t="s">
        <v>51</v>
      </c>
      <c r="G47" s="10">
        <v>0.95279999999999998</v>
      </c>
    </row>
    <row r="48" spans="6:9" x14ac:dyDescent="0.35">
      <c r="F48" s="3" t="s">
        <v>52</v>
      </c>
      <c r="G48" s="11">
        <f>ROUNDDOWN((G46*G47),0)</f>
        <v>10999</v>
      </c>
    </row>
    <row r="49" spans="6:7" x14ac:dyDescent="0.35">
      <c r="F49" s="3" t="s">
        <v>39</v>
      </c>
      <c r="G49" s="7">
        <v>0</v>
      </c>
    </row>
    <row r="50" spans="6:7" x14ac:dyDescent="0.35">
      <c r="F50" s="3" t="s">
        <v>40</v>
      </c>
      <c r="G50" s="7">
        <v>0</v>
      </c>
    </row>
    <row r="51" spans="6:7" x14ac:dyDescent="0.35">
      <c r="F51" s="3" t="s">
        <v>41</v>
      </c>
      <c r="G51" s="11">
        <f>(G48)-G49-G50</f>
        <v>10999</v>
      </c>
    </row>
    <row r="52" spans="6:7" x14ac:dyDescent="0.35">
      <c r="F52" s="3" t="s">
        <v>42</v>
      </c>
      <c r="G52" s="7">
        <v>85680</v>
      </c>
    </row>
    <row r="53" spans="6:7" x14ac:dyDescent="0.35">
      <c r="F53" s="3" t="s">
        <v>43</v>
      </c>
      <c r="G53" s="7">
        <f>ROUNDDOWN((G52*G45/365),0)</f>
        <v>21596</v>
      </c>
    </row>
    <row r="54" spans="6:7" ht="15" thickBot="1" x14ac:dyDescent="0.4">
      <c r="F54" s="4" t="s">
        <v>44</v>
      </c>
      <c r="G54" s="35">
        <f>(G51-G53)/G53</f>
        <v>-0.49069272087423599</v>
      </c>
    </row>
  </sheetData>
  <conditionalFormatting sqref="H7:H39">
    <cfRule type="duplicateValues" dxfId="0" priority="2"/>
  </conditionalFormatting>
  <pageMargins left="0.7" right="0.7" top="0.75" bottom="0.75" header="0.3" footer="0.3"/>
  <pageSetup paperSize="9" orientation="portrait" r:id="rId1"/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D4:H9"/>
  <sheetViews>
    <sheetView topLeftCell="C4" workbookViewId="0">
      <selection activeCell="H9" sqref="H9"/>
    </sheetView>
  </sheetViews>
  <sheetFormatPr defaultRowHeight="14.5" x14ac:dyDescent="0.35"/>
  <cols>
    <col min="4" max="4" width="20.7265625" customWidth="1"/>
    <col min="5" max="5" width="12.54296875" bestFit="1" customWidth="1"/>
    <col min="6" max="6" width="12" bestFit="1" customWidth="1"/>
    <col min="7" max="7" width="15.453125" bestFit="1" customWidth="1"/>
    <col min="8" max="8" width="12.453125" bestFit="1" customWidth="1"/>
  </cols>
  <sheetData>
    <row r="4" spans="4:8" x14ac:dyDescent="0.35">
      <c r="D4" s="21" t="s">
        <v>45</v>
      </c>
      <c r="E4" s="21" t="s">
        <v>46</v>
      </c>
      <c r="F4" s="21" t="s">
        <v>47</v>
      </c>
      <c r="G4" s="21" t="s">
        <v>48</v>
      </c>
      <c r="H4" s="21" t="s">
        <v>49</v>
      </c>
    </row>
    <row r="5" spans="4:8" x14ac:dyDescent="0.35">
      <c r="D5" s="17">
        <v>44927</v>
      </c>
      <c r="E5" s="22">
        <v>92967.898499999996</v>
      </c>
      <c r="F5" s="22">
        <v>338.44499999999999</v>
      </c>
      <c r="G5" s="22">
        <f>E5-F5</f>
        <v>92629.453499999989</v>
      </c>
      <c r="H5" s="22">
        <v>92629.453499999989</v>
      </c>
    </row>
    <row r="6" spans="4:8" x14ac:dyDescent="0.35">
      <c r="D6" s="17">
        <v>44958</v>
      </c>
      <c r="E6" s="22">
        <v>85853.048999999999</v>
      </c>
      <c r="F6" s="22">
        <v>178.089</v>
      </c>
      <c r="G6" s="22">
        <f t="shared" ref="G6:G8" si="0">E6-F6</f>
        <v>85674.959999999992</v>
      </c>
      <c r="H6" s="22">
        <v>85674.959999999992</v>
      </c>
    </row>
    <row r="7" spans="4:8" x14ac:dyDescent="0.35">
      <c r="D7" s="17">
        <v>44986</v>
      </c>
      <c r="E7" s="22">
        <v>143872.4835</v>
      </c>
      <c r="F7" s="22">
        <v>85.164749999999998</v>
      </c>
      <c r="G7" s="22">
        <f t="shared" si="0"/>
        <v>143787.31875000001</v>
      </c>
      <c r="H7" s="22">
        <v>143787.31875000001</v>
      </c>
    </row>
    <row r="8" spans="4:8" x14ac:dyDescent="0.35">
      <c r="D8" s="17" t="s">
        <v>53</v>
      </c>
      <c r="E8" s="23">
        <f>(143605.5105*2)/30</f>
        <v>9573.7006999999994</v>
      </c>
      <c r="F8" s="22">
        <f>(184.4235*2)/30</f>
        <v>12.2949</v>
      </c>
      <c r="G8" s="23">
        <f t="shared" si="0"/>
        <v>9561.4057999999986</v>
      </c>
      <c r="H8" s="22">
        <f>143421.087*2/30</f>
        <v>9561.4058000000005</v>
      </c>
    </row>
    <row r="9" spans="4:8" x14ac:dyDescent="0.35">
      <c r="D9" s="21" t="s">
        <v>35</v>
      </c>
      <c r="E9" s="21">
        <f>SUM(E5:E8)</f>
        <v>332267.13169999997</v>
      </c>
      <c r="F9" s="21">
        <f>SUM(F5:F8)</f>
        <v>613.99365</v>
      </c>
      <c r="G9" s="21">
        <f>SUM(G5:G8)</f>
        <v>331653.13805000001</v>
      </c>
      <c r="H9" s="21">
        <f>SUM(H5:H8)</f>
        <v>331653.13805000001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D4:H9"/>
  <sheetViews>
    <sheetView topLeftCell="B1" workbookViewId="0">
      <selection activeCell="H9" sqref="H9"/>
    </sheetView>
  </sheetViews>
  <sheetFormatPr defaultRowHeight="14.5" x14ac:dyDescent="0.35"/>
  <cols>
    <col min="4" max="4" width="24" customWidth="1"/>
    <col min="5" max="5" width="12.54296875" bestFit="1" customWidth="1"/>
    <col min="6" max="6" width="12" bestFit="1" customWidth="1"/>
    <col min="7" max="7" width="15.453125" bestFit="1" customWidth="1"/>
    <col min="8" max="8" width="12.453125" bestFit="1" customWidth="1"/>
  </cols>
  <sheetData>
    <row r="4" spans="4:8" x14ac:dyDescent="0.35">
      <c r="D4" s="21" t="s">
        <v>45</v>
      </c>
      <c r="E4" s="21" t="s">
        <v>46</v>
      </c>
      <c r="F4" s="21" t="s">
        <v>47</v>
      </c>
      <c r="G4" s="21" t="s">
        <v>48</v>
      </c>
      <c r="H4" s="21" t="s">
        <v>49</v>
      </c>
    </row>
    <row r="5" spans="4:8" x14ac:dyDescent="0.35">
      <c r="D5" s="17">
        <v>44927</v>
      </c>
      <c r="E5" s="22">
        <v>115854.49125000001</v>
      </c>
      <c r="F5" s="22">
        <v>421.76249999999999</v>
      </c>
      <c r="G5" s="22">
        <f>E5-F5</f>
        <v>115432.72875000001</v>
      </c>
      <c r="H5" s="29">
        <v>115432.72875000001</v>
      </c>
    </row>
    <row r="6" spans="4:8" x14ac:dyDescent="0.35">
      <c r="D6" s="17">
        <v>44958</v>
      </c>
      <c r="E6" s="22">
        <v>94052.497499999998</v>
      </c>
      <c r="F6" s="22">
        <v>195.0975</v>
      </c>
      <c r="G6" s="22">
        <f t="shared" ref="G6:G7" si="0">E6-F6</f>
        <v>93857.4</v>
      </c>
      <c r="H6" s="22">
        <v>93857.4</v>
      </c>
    </row>
    <row r="7" spans="4:8" x14ac:dyDescent="0.35">
      <c r="D7" s="17">
        <v>44986</v>
      </c>
      <c r="E7" s="22">
        <v>166123.03275000001</v>
      </c>
      <c r="F7" s="22">
        <v>98.335880000000003</v>
      </c>
      <c r="G7" s="22">
        <f t="shared" si="0"/>
        <v>166024.69687000001</v>
      </c>
      <c r="H7" s="22">
        <v>166024.69687000001</v>
      </c>
    </row>
    <row r="8" spans="4:8" x14ac:dyDescent="0.35">
      <c r="D8" s="17" t="s">
        <v>53</v>
      </c>
      <c r="E8" s="23">
        <f>(155988.7395*2)/30</f>
        <v>10399.249299999999</v>
      </c>
      <c r="F8" s="22">
        <f>(200.3265*2)/30</f>
        <v>13.3551</v>
      </c>
      <c r="G8" s="23">
        <f>E8-F8</f>
        <v>10385.894199999999</v>
      </c>
      <c r="H8" s="42">
        <f>155788.413*2/30</f>
        <v>10385.894200000001</v>
      </c>
    </row>
    <row r="9" spans="4:8" x14ac:dyDescent="0.35">
      <c r="D9" s="21" t="s">
        <v>35</v>
      </c>
      <c r="E9" s="21">
        <f>SUM(E5:E8)</f>
        <v>386429.27080000006</v>
      </c>
      <c r="F9" s="21">
        <f>SUM(F5:F8)</f>
        <v>728.55097999999998</v>
      </c>
      <c r="G9" s="21">
        <f>SUM(G5:G8)</f>
        <v>385700.71982</v>
      </c>
      <c r="H9" s="21">
        <f>SUM(H5:H8)</f>
        <v>385700.71982</v>
      </c>
    </row>
  </sheetData>
  <pageMargins left="0.7" right="0.7" top="0.75" bottom="0.75" header="0.3" footer="0.3"/>
  <pageSetup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D4:H9"/>
  <sheetViews>
    <sheetView topLeftCell="B1" workbookViewId="0">
      <selection activeCell="H9" sqref="H9"/>
    </sheetView>
  </sheetViews>
  <sheetFormatPr defaultRowHeight="14.5" x14ac:dyDescent="0.35"/>
  <cols>
    <col min="4" max="4" width="20.453125" customWidth="1"/>
    <col min="5" max="5" width="12.54296875" bestFit="1" customWidth="1"/>
    <col min="6" max="6" width="12" bestFit="1" customWidth="1"/>
    <col min="7" max="7" width="15.453125" bestFit="1" customWidth="1"/>
    <col min="8" max="8" width="12.453125" bestFit="1" customWidth="1"/>
  </cols>
  <sheetData>
    <row r="4" spans="4:8" x14ac:dyDescent="0.35">
      <c r="D4" s="21" t="s">
        <v>45</v>
      </c>
      <c r="E4" s="21" t="s">
        <v>46</v>
      </c>
      <c r="F4" s="21" t="s">
        <v>47</v>
      </c>
      <c r="G4" s="21" t="s">
        <v>48</v>
      </c>
      <c r="H4" s="21" t="s">
        <v>49</v>
      </c>
    </row>
    <row r="5" spans="4:8" x14ac:dyDescent="0.35">
      <c r="D5" s="17">
        <v>44927</v>
      </c>
      <c r="E5" s="22">
        <v>92967.898499999996</v>
      </c>
      <c r="F5" s="22">
        <v>338.44499999999999</v>
      </c>
      <c r="G5" s="22">
        <f>E5-F5</f>
        <v>92629.453499999989</v>
      </c>
      <c r="H5" s="22">
        <v>92629.453499999989</v>
      </c>
    </row>
    <row r="6" spans="4:8" x14ac:dyDescent="0.35">
      <c r="D6" s="17">
        <v>44958</v>
      </c>
      <c r="E6" s="22">
        <v>85973.629130000001</v>
      </c>
      <c r="F6" s="22">
        <v>178.33913000000001</v>
      </c>
      <c r="G6" s="22">
        <f>E6-F6</f>
        <v>85795.290000000008</v>
      </c>
      <c r="H6" s="22">
        <v>85795.290000000008</v>
      </c>
    </row>
    <row r="7" spans="4:8" x14ac:dyDescent="0.35">
      <c r="D7" s="17">
        <v>44986</v>
      </c>
      <c r="E7" s="23">
        <v>153161.54775</v>
      </c>
      <c r="F7" s="22">
        <v>90.663380000000004</v>
      </c>
      <c r="G7" s="23">
        <f t="shared" ref="G7" si="0">E7-F7</f>
        <v>153070.88436999999</v>
      </c>
      <c r="H7" s="22">
        <v>153070.88436999999</v>
      </c>
    </row>
    <row r="8" spans="4:8" x14ac:dyDescent="0.35">
      <c r="D8" s="17" t="s">
        <v>53</v>
      </c>
      <c r="E8" s="23">
        <f>(135416.601*2)/30</f>
        <v>9027.7734</v>
      </c>
      <c r="F8" s="22">
        <f>(173.907*2)/30</f>
        <v>11.5938</v>
      </c>
      <c r="G8" s="23">
        <f>E8-F8</f>
        <v>9016.1795999999995</v>
      </c>
      <c r="H8" s="42">
        <f>135242.694*2/30</f>
        <v>9016.1795999999995</v>
      </c>
    </row>
    <row r="9" spans="4:8" x14ac:dyDescent="0.35">
      <c r="D9" s="21" t="s">
        <v>35</v>
      </c>
      <c r="E9" s="21">
        <f>SUM(E5:E8)</f>
        <v>341130.84878</v>
      </c>
      <c r="F9" s="21">
        <f>SUM(F5:F8)</f>
        <v>619.04130999999995</v>
      </c>
      <c r="G9" s="21">
        <f>SUM(G5:G8)</f>
        <v>340511.80746999994</v>
      </c>
      <c r="H9" s="21">
        <f>SUM(H5:H8)</f>
        <v>340511.80746999994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D4:H9"/>
  <sheetViews>
    <sheetView topLeftCell="D1" workbookViewId="0">
      <selection activeCell="H9" sqref="H9"/>
    </sheetView>
  </sheetViews>
  <sheetFormatPr defaultRowHeight="14.5" x14ac:dyDescent="0.35"/>
  <cols>
    <col min="4" max="4" width="22.7265625" customWidth="1"/>
    <col min="5" max="6" width="12.54296875" bestFit="1" customWidth="1"/>
    <col min="7" max="8" width="15.453125" bestFit="1" customWidth="1"/>
    <col min="9" max="9" width="12.453125" bestFit="1" customWidth="1"/>
  </cols>
  <sheetData>
    <row r="4" spans="4:8" x14ac:dyDescent="0.35">
      <c r="D4" s="21" t="s">
        <v>45</v>
      </c>
      <c r="E4" s="21" t="s">
        <v>46</v>
      </c>
      <c r="F4" s="21" t="s">
        <v>47</v>
      </c>
      <c r="G4" s="21" t="s">
        <v>48</v>
      </c>
      <c r="H4" s="21" t="s">
        <v>49</v>
      </c>
    </row>
    <row r="5" spans="4:8" x14ac:dyDescent="0.35">
      <c r="D5" s="17">
        <v>44927</v>
      </c>
      <c r="E5" s="22">
        <v>98796.161250000005</v>
      </c>
      <c r="F5" s="22">
        <v>359.66250000000002</v>
      </c>
      <c r="G5" s="22">
        <f>E5-F5</f>
        <v>98436.498749999999</v>
      </c>
      <c r="H5" s="22">
        <v>98436.498749999999</v>
      </c>
    </row>
    <row r="6" spans="4:8" x14ac:dyDescent="0.35">
      <c r="D6" s="17">
        <v>44958</v>
      </c>
      <c r="E6" s="22">
        <v>86938.270130000004</v>
      </c>
      <c r="F6" s="22">
        <v>180.34012999999999</v>
      </c>
      <c r="G6" s="22">
        <f t="shared" ref="G6:G8" si="0">E6-F6</f>
        <v>86757.930000000008</v>
      </c>
      <c r="H6" s="22">
        <v>86757.930000000008</v>
      </c>
    </row>
    <row r="7" spans="4:8" x14ac:dyDescent="0.35">
      <c r="D7" s="17">
        <v>44986</v>
      </c>
      <c r="E7" s="22">
        <v>153161.54775</v>
      </c>
      <c r="F7" s="22">
        <v>90.663380000000004</v>
      </c>
      <c r="G7" s="22">
        <f t="shared" si="0"/>
        <v>153070.88436999999</v>
      </c>
      <c r="H7" s="22">
        <v>153070.88436999999</v>
      </c>
    </row>
    <row r="8" spans="4:8" x14ac:dyDescent="0.35">
      <c r="D8" s="17" t="s">
        <v>53</v>
      </c>
      <c r="E8" s="23">
        <f>(146401.7235*2)/30</f>
        <v>9760.1148999999987</v>
      </c>
      <c r="F8" s="22">
        <f>(188.0145*2)/30</f>
        <v>12.5343</v>
      </c>
      <c r="G8" s="23">
        <f t="shared" si="0"/>
        <v>9747.5805999999993</v>
      </c>
      <c r="H8" s="42">
        <f>146213.709*2/30</f>
        <v>9747.5805999999993</v>
      </c>
    </row>
    <row r="9" spans="4:8" x14ac:dyDescent="0.35">
      <c r="D9" s="21" t="s">
        <v>35</v>
      </c>
      <c r="E9" s="21">
        <f>SUM(E5:E8)</f>
        <v>348656.09402999998</v>
      </c>
      <c r="F9" s="21">
        <f>SUM(F5:F8)</f>
        <v>643.20030999999994</v>
      </c>
      <c r="G9" s="21">
        <f>SUM(G5:G8)</f>
        <v>348012.89371999999</v>
      </c>
      <c r="H9" s="21">
        <f>SUM(H5:H8)</f>
        <v>348012.89371999999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D4:H9"/>
  <sheetViews>
    <sheetView topLeftCell="D2" workbookViewId="0">
      <selection activeCell="H9" sqref="H9"/>
    </sheetView>
  </sheetViews>
  <sheetFormatPr defaultRowHeight="14.5" x14ac:dyDescent="0.35"/>
  <cols>
    <col min="4" max="4" width="21.54296875" customWidth="1"/>
    <col min="5" max="6" width="12.54296875" bestFit="1" customWidth="1"/>
    <col min="7" max="8" width="15.453125" bestFit="1" customWidth="1"/>
    <col min="9" max="9" width="12.453125" bestFit="1" customWidth="1"/>
  </cols>
  <sheetData>
    <row r="4" spans="4:8" x14ac:dyDescent="0.35">
      <c r="D4" s="21" t="s">
        <v>45</v>
      </c>
      <c r="E4" s="21" t="s">
        <v>46</v>
      </c>
      <c r="F4" s="21" t="s">
        <v>47</v>
      </c>
      <c r="G4" s="21" t="s">
        <v>48</v>
      </c>
      <c r="H4" s="21" t="s">
        <v>49</v>
      </c>
    </row>
    <row r="5" spans="4:8" x14ac:dyDescent="0.35">
      <c r="D5" s="17">
        <v>44927</v>
      </c>
      <c r="E5" s="22">
        <v>104197.96575</v>
      </c>
      <c r="F5" s="22">
        <v>379.32749999999999</v>
      </c>
      <c r="G5" s="22">
        <f>E5-F5</f>
        <v>103818.63825</v>
      </c>
      <c r="H5" s="22">
        <v>103818.63825</v>
      </c>
    </row>
    <row r="6" spans="4:8" x14ac:dyDescent="0.35">
      <c r="D6" s="17">
        <v>44958</v>
      </c>
      <c r="E6" s="22">
        <v>86697.109880000004</v>
      </c>
      <c r="F6" s="22">
        <v>179.83987999999999</v>
      </c>
      <c r="G6" s="22">
        <f t="shared" ref="G6:G7" si="0">E6-F6</f>
        <v>86517.27</v>
      </c>
      <c r="H6" s="22">
        <v>86517.27</v>
      </c>
    </row>
    <row r="7" spans="4:8" x14ac:dyDescent="0.35">
      <c r="D7" s="17">
        <v>44986</v>
      </c>
      <c r="E7" s="22">
        <v>152081.424</v>
      </c>
      <c r="F7" s="22">
        <v>90.024000000000001</v>
      </c>
      <c r="G7" s="22">
        <f t="shared" si="0"/>
        <v>151991.4</v>
      </c>
      <c r="H7" s="22">
        <v>151991.4</v>
      </c>
    </row>
    <row r="8" spans="4:8" x14ac:dyDescent="0.35">
      <c r="D8" s="17" t="s">
        <v>53</v>
      </c>
      <c r="E8" s="23">
        <f>(139011.732*2)/30</f>
        <v>9267.4488000000001</v>
      </c>
      <c r="F8" s="22">
        <f>(178.524*2)/30</f>
        <v>11.9016</v>
      </c>
      <c r="G8" s="23">
        <f>E8-F8</f>
        <v>9255.5472000000009</v>
      </c>
      <c r="H8" s="22">
        <f>138833.208*2/30</f>
        <v>9255.5472000000009</v>
      </c>
    </row>
    <row r="9" spans="4:8" x14ac:dyDescent="0.35">
      <c r="D9" s="21" t="s">
        <v>35</v>
      </c>
      <c r="E9" s="21">
        <f>SUM(E5:E8)</f>
        <v>352243.94842999999</v>
      </c>
      <c r="F9" s="21">
        <f>SUM(F5:F8)</f>
        <v>661.09298000000001</v>
      </c>
      <c r="G9" s="21">
        <f>SUM(G5:G8)</f>
        <v>351582.85545000003</v>
      </c>
      <c r="H9" s="21">
        <f>SUM(H5:H8)</f>
        <v>351582.85545000003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D4:H9"/>
  <sheetViews>
    <sheetView topLeftCell="D1" workbookViewId="0">
      <selection activeCell="H9" sqref="H9"/>
    </sheetView>
  </sheetViews>
  <sheetFormatPr defaultRowHeight="14.5" x14ac:dyDescent="0.35"/>
  <cols>
    <col min="4" max="4" width="20.26953125" customWidth="1"/>
    <col min="5" max="6" width="12.54296875" bestFit="1" customWidth="1"/>
    <col min="7" max="8" width="15.453125" bestFit="1" customWidth="1"/>
    <col min="9" max="9" width="12.453125" bestFit="1" customWidth="1"/>
  </cols>
  <sheetData>
    <row r="4" spans="4:8" x14ac:dyDescent="0.35">
      <c r="D4" s="21" t="s">
        <v>45</v>
      </c>
      <c r="E4" s="21" t="s">
        <v>46</v>
      </c>
      <c r="F4" s="21" t="s">
        <v>47</v>
      </c>
      <c r="G4" s="21" t="s">
        <v>48</v>
      </c>
      <c r="H4" s="21" t="s">
        <v>49</v>
      </c>
    </row>
    <row r="5" spans="4:8" x14ac:dyDescent="0.35">
      <c r="D5" s="17">
        <v>44927</v>
      </c>
      <c r="E5" s="22">
        <v>99080.466750000007</v>
      </c>
      <c r="F5" s="22">
        <v>360.69749999999999</v>
      </c>
      <c r="G5" s="22">
        <f>E5-F5</f>
        <v>98719.769250000012</v>
      </c>
      <c r="H5" s="22">
        <v>98719.769250000012</v>
      </c>
    </row>
    <row r="6" spans="4:8" x14ac:dyDescent="0.35">
      <c r="D6" s="17">
        <v>44958</v>
      </c>
      <c r="E6" s="22">
        <v>86938.270130000004</v>
      </c>
      <c r="F6" s="22">
        <v>180.34012999999999</v>
      </c>
      <c r="G6" s="22">
        <f>E6-F6</f>
        <v>86757.930000000008</v>
      </c>
      <c r="H6" s="22">
        <v>86757.930000000008</v>
      </c>
    </row>
    <row r="7" spans="4:8" x14ac:dyDescent="0.35">
      <c r="D7" s="17">
        <v>44986</v>
      </c>
      <c r="E7" s="22">
        <v>154457.69625000001</v>
      </c>
      <c r="F7" s="22">
        <v>91.430629999999994</v>
      </c>
      <c r="G7" s="22">
        <f t="shared" ref="G7:G8" si="0">E7-F7</f>
        <v>154366.26562000002</v>
      </c>
      <c r="H7" s="22">
        <v>154366.26562000002</v>
      </c>
    </row>
    <row r="8" spans="4:8" x14ac:dyDescent="0.35">
      <c r="D8" s="17" t="s">
        <v>53</v>
      </c>
      <c r="E8" s="22">
        <f>(141408.486*2)/30</f>
        <v>9427.2324000000008</v>
      </c>
      <c r="F8" s="22">
        <f>(181.602*2)/30</f>
        <v>12.1068</v>
      </c>
      <c r="G8" s="23">
        <f t="shared" si="0"/>
        <v>9415.1256000000012</v>
      </c>
      <c r="H8" s="43">
        <f>141226.884*2/30</f>
        <v>9415.1255999999994</v>
      </c>
    </row>
    <row r="9" spans="4:8" x14ac:dyDescent="0.35">
      <c r="D9" s="21" t="s">
        <v>35</v>
      </c>
      <c r="E9" s="21">
        <f>SUM(E5:E8)</f>
        <v>349903.66553</v>
      </c>
      <c r="F9" s="21">
        <f>SUM(F5:F8)</f>
        <v>644.57506000000001</v>
      </c>
      <c r="G9" s="21">
        <f>SUM(G5:G8)</f>
        <v>349259.09047000005</v>
      </c>
      <c r="H9" s="21">
        <f>SUM(H5:H8)</f>
        <v>349259.09047000005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D4:H9"/>
  <sheetViews>
    <sheetView workbookViewId="0">
      <selection activeCell="H9" sqref="H9"/>
    </sheetView>
  </sheetViews>
  <sheetFormatPr defaultRowHeight="14.5" x14ac:dyDescent="0.35"/>
  <cols>
    <col min="4" max="4" width="19.453125" customWidth="1"/>
    <col min="5" max="5" width="12.453125" bestFit="1" customWidth="1"/>
    <col min="6" max="6" width="12.54296875" bestFit="1" customWidth="1"/>
    <col min="7" max="8" width="15.453125" bestFit="1" customWidth="1"/>
    <col min="9" max="9" width="12.54296875" bestFit="1" customWidth="1"/>
  </cols>
  <sheetData>
    <row r="4" spans="4:8" x14ac:dyDescent="0.35">
      <c r="D4" s="21" t="s">
        <v>45</v>
      </c>
      <c r="E4" s="21" t="s">
        <v>46</v>
      </c>
      <c r="F4" s="21" t="s">
        <v>47</v>
      </c>
      <c r="G4" s="21" t="s">
        <v>48</v>
      </c>
      <c r="H4" s="21" t="s">
        <v>49</v>
      </c>
    </row>
    <row r="5" spans="4:8" x14ac:dyDescent="0.35">
      <c r="D5" s="17">
        <v>44927</v>
      </c>
      <c r="E5" s="22">
        <v>95953.106249999997</v>
      </c>
      <c r="F5" s="22">
        <v>349.3125</v>
      </c>
      <c r="G5" s="22">
        <f>E5-F5</f>
        <v>95603.793749999997</v>
      </c>
      <c r="H5" s="50">
        <v>95603.793749999997</v>
      </c>
    </row>
    <row r="6" spans="4:8" x14ac:dyDescent="0.35">
      <c r="D6" s="17">
        <v>44958</v>
      </c>
      <c r="E6" s="22">
        <v>79582.882500000007</v>
      </c>
      <c r="F6" s="22">
        <v>165.08250000000001</v>
      </c>
      <c r="G6" s="22">
        <f>E6-F6</f>
        <v>79417.8</v>
      </c>
      <c r="H6" s="22">
        <v>79417.8</v>
      </c>
    </row>
    <row r="7" spans="4:8" x14ac:dyDescent="0.35">
      <c r="D7" s="17">
        <v>44986</v>
      </c>
      <c r="E7" s="22">
        <v>152729.49825</v>
      </c>
      <c r="F7" s="22">
        <v>90.407629999999997</v>
      </c>
      <c r="G7" s="22">
        <f t="shared" ref="G7" si="0">E7-F7</f>
        <v>152639.09062</v>
      </c>
      <c r="H7" s="27">
        <v>152639.09062</v>
      </c>
    </row>
    <row r="8" spans="4:8" x14ac:dyDescent="0.35">
      <c r="D8" s="17" t="s">
        <v>53</v>
      </c>
      <c r="E8" s="22">
        <f>(140609.568*2)/30</f>
        <v>9373.9712</v>
      </c>
      <c r="F8" s="22">
        <f>(180.576*2)/30</f>
        <v>12.038399999999999</v>
      </c>
      <c r="G8" s="23">
        <f>E8-F8</f>
        <v>9361.9328000000005</v>
      </c>
      <c r="H8" s="43">
        <f>140428.992*2/30</f>
        <v>9361.9328000000005</v>
      </c>
    </row>
    <row r="9" spans="4:8" x14ac:dyDescent="0.35">
      <c r="D9" s="21" t="s">
        <v>35</v>
      </c>
      <c r="E9" s="21">
        <f>SUM(E5:E8)</f>
        <v>337639.45819999999</v>
      </c>
      <c r="F9" s="21">
        <f>SUM(F5:F8)</f>
        <v>616.84103000000005</v>
      </c>
      <c r="G9" s="21">
        <f>SUM(G5:G8)</f>
        <v>337022.61717000004</v>
      </c>
      <c r="H9" s="21">
        <f>SUM(H5:H8)</f>
        <v>337022.61717000004</v>
      </c>
    </row>
  </sheetData>
  <pageMargins left="0.7" right="0.7" top="0.75" bottom="0.75" header="0.3" footer="0.3"/>
  <pageSetup orientation="portrait" horizontalDpi="300" verticalDpi="0" r:id="rId1"/>
  <legacy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D4:H9"/>
  <sheetViews>
    <sheetView topLeftCell="C1" workbookViewId="0">
      <selection activeCell="H9" sqref="H9"/>
    </sheetView>
  </sheetViews>
  <sheetFormatPr defaultRowHeight="14.5" x14ac:dyDescent="0.35"/>
  <cols>
    <col min="4" max="4" width="19.81640625" bestFit="1" customWidth="1"/>
    <col min="5" max="5" width="12.453125" bestFit="1" customWidth="1"/>
    <col min="6" max="6" width="12.54296875" bestFit="1" customWidth="1"/>
    <col min="7" max="7" width="15.81640625" customWidth="1"/>
    <col min="8" max="8" width="15.453125" bestFit="1" customWidth="1"/>
    <col min="9" max="9" width="12.54296875" bestFit="1" customWidth="1"/>
  </cols>
  <sheetData>
    <row r="4" spans="4:8" x14ac:dyDescent="0.35">
      <c r="D4" s="21" t="s">
        <v>45</v>
      </c>
      <c r="E4" s="21" t="s">
        <v>46</v>
      </c>
      <c r="F4" s="21" t="s">
        <v>47</v>
      </c>
      <c r="G4" s="21" t="s">
        <v>48</v>
      </c>
      <c r="H4" s="21" t="s">
        <v>49</v>
      </c>
    </row>
    <row r="5" spans="4:8" x14ac:dyDescent="0.35">
      <c r="D5" s="17">
        <v>44927</v>
      </c>
      <c r="E5" s="22">
        <v>96095.259000000005</v>
      </c>
      <c r="F5" s="22">
        <v>349.83</v>
      </c>
      <c r="G5" s="22">
        <f>E5-F5</f>
        <v>95745.429000000004</v>
      </c>
      <c r="H5" s="22">
        <v>95745.429000000004</v>
      </c>
    </row>
    <row r="6" spans="4:8" x14ac:dyDescent="0.35">
      <c r="D6" s="17">
        <v>44958</v>
      </c>
      <c r="E6" s="22">
        <v>74639.097380000007</v>
      </c>
      <c r="F6" s="22">
        <v>154.82738000000001</v>
      </c>
      <c r="G6" s="22">
        <f t="shared" ref="G6:G8" si="0">E6-F6</f>
        <v>74484.27</v>
      </c>
      <c r="H6" s="22">
        <v>74484.27</v>
      </c>
    </row>
    <row r="7" spans="4:8" x14ac:dyDescent="0.35">
      <c r="D7" s="17">
        <v>44986</v>
      </c>
      <c r="E7" s="22">
        <v>145816.70624999999</v>
      </c>
      <c r="F7" s="22">
        <v>86.315629999999999</v>
      </c>
      <c r="G7" s="22">
        <f t="shared" si="0"/>
        <v>145730.39061999999</v>
      </c>
      <c r="H7" s="27">
        <v>145730.39061999999</v>
      </c>
    </row>
    <row r="8" spans="4:8" x14ac:dyDescent="0.35">
      <c r="D8" s="17" t="s">
        <v>53</v>
      </c>
      <c r="E8" s="22">
        <f>(129424.716*2)/30</f>
        <v>8628.3143999999993</v>
      </c>
      <c r="F8" s="22">
        <f>(166.212*2)/30</f>
        <v>11.0808</v>
      </c>
      <c r="G8" s="23">
        <f t="shared" si="0"/>
        <v>8617.2335999999996</v>
      </c>
      <c r="H8" s="44">
        <f>129258.504*2/30</f>
        <v>8617.2335999999996</v>
      </c>
    </row>
    <row r="9" spans="4:8" x14ac:dyDescent="0.35">
      <c r="D9" s="21" t="s">
        <v>35</v>
      </c>
      <c r="E9" s="21">
        <f>SUM(E5:E8)</f>
        <v>325179.37702999997</v>
      </c>
      <c r="F9" s="21">
        <f>SUM(F5:F8)</f>
        <v>602.05380999999988</v>
      </c>
      <c r="G9" s="21">
        <f>SUM(G5:G8)</f>
        <v>324577.32321999996</v>
      </c>
      <c r="H9" s="21">
        <f>SUM(H5:H8)</f>
        <v>324577.32321999996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D4:H9"/>
  <sheetViews>
    <sheetView topLeftCell="B1" workbookViewId="0">
      <selection activeCell="H9" sqref="H9"/>
    </sheetView>
  </sheetViews>
  <sheetFormatPr defaultRowHeight="14.5" x14ac:dyDescent="0.35"/>
  <cols>
    <col min="4" max="4" width="19.81640625" bestFit="1" customWidth="1"/>
    <col min="5" max="6" width="12.54296875" bestFit="1" customWidth="1"/>
    <col min="7" max="8" width="15.453125" bestFit="1" customWidth="1"/>
    <col min="9" max="9" width="12.453125" bestFit="1" customWidth="1"/>
  </cols>
  <sheetData>
    <row r="4" spans="4:8" x14ac:dyDescent="0.35">
      <c r="D4" s="21" t="s">
        <v>45</v>
      </c>
      <c r="E4" s="21" t="s">
        <v>46</v>
      </c>
      <c r="F4" s="21" t="s">
        <v>47</v>
      </c>
      <c r="G4" s="21" t="s">
        <v>48</v>
      </c>
      <c r="H4" s="21" t="s">
        <v>49</v>
      </c>
    </row>
    <row r="5" spans="4:8" x14ac:dyDescent="0.35">
      <c r="D5" s="17">
        <v>44927</v>
      </c>
      <c r="E5" s="22">
        <v>98938.313999999998</v>
      </c>
      <c r="F5" s="22">
        <v>360.18</v>
      </c>
      <c r="G5" s="22">
        <f>E5-F5</f>
        <v>98578.134000000005</v>
      </c>
      <c r="H5" s="22">
        <v>98578.134000000005</v>
      </c>
    </row>
    <row r="6" spans="4:8" x14ac:dyDescent="0.35">
      <c r="D6" s="17">
        <v>44958</v>
      </c>
      <c r="E6" s="22">
        <v>86576.529750000002</v>
      </c>
      <c r="F6" s="22">
        <v>179.58975000000001</v>
      </c>
      <c r="G6" s="22">
        <f t="shared" ref="G6:G8" si="0">E6-F6</f>
        <v>86396.94</v>
      </c>
      <c r="H6" s="22">
        <v>86396.94</v>
      </c>
    </row>
    <row r="7" spans="4:8" x14ac:dyDescent="0.35">
      <c r="D7" s="17">
        <v>44986</v>
      </c>
      <c r="E7" s="23">
        <v>150137.20125000001</v>
      </c>
      <c r="F7" s="22">
        <v>88.873130000000003</v>
      </c>
      <c r="G7" s="23">
        <f t="shared" si="0"/>
        <v>150048.32812000002</v>
      </c>
      <c r="H7" s="22">
        <v>150048.32812000002</v>
      </c>
    </row>
    <row r="8" spans="4:8" x14ac:dyDescent="0.35">
      <c r="D8" s="17" t="s">
        <v>53</v>
      </c>
      <c r="E8" s="23">
        <f>(142606.863*2)/30</f>
        <v>9507.1242000000002</v>
      </c>
      <c r="F8" s="22">
        <f>(183.141*2)/30</f>
        <v>12.209399999999999</v>
      </c>
      <c r="G8" s="23">
        <f t="shared" si="0"/>
        <v>9494.9148000000005</v>
      </c>
      <c r="H8" s="43">
        <f>142423.722*2/30</f>
        <v>9494.9148000000005</v>
      </c>
    </row>
    <row r="9" spans="4:8" x14ac:dyDescent="0.35">
      <c r="D9" s="21" t="s">
        <v>35</v>
      </c>
      <c r="E9" s="21">
        <f>SUM(E5:E8)</f>
        <v>345159.16920000006</v>
      </c>
      <c r="F9" s="21">
        <f>SUM(F5:F8)</f>
        <v>640.85228000000006</v>
      </c>
      <c r="G9" s="21">
        <f>SUM(G5:G8)</f>
        <v>344518.31692000007</v>
      </c>
      <c r="H9" s="21">
        <f>SUM(H5:H8)</f>
        <v>344518.31692000007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D4:H9"/>
  <sheetViews>
    <sheetView topLeftCell="B1" zoomScale="98" workbookViewId="0">
      <selection activeCell="H9" sqref="H9"/>
    </sheetView>
  </sheetViews>
  <sheetFormatPr defaultRowHeight="14.5" x14ac:dyDescent="0.35"/>
  <cols>
    <col min="4" max="4" width="19.81640625" bestFit="1" customWidth="1"/>
    <col min="5" max="5" width="12.54296875" bestFit="1" customWidth="1"/>
    <col min="6" max="6" width="12" bestFit="1" customWidth="1"/>
    <col min="7" max="7" width="15.453125" bestFit="1" customWidth="1"/>
    <col min="8" max="8" width="12.453125" bestFit="1" customWidth="1"/>
  </cols>
  <sheetData>
    <row r="4" spans="4:8" x14ac:dyDescent="0.35">
      <c r="D4" s="21" t="s">
        <v>45</v>
      </c>
      <c r="E4" s="21" t="s">
        <v>46</v>
      </c>
      <c r="F4" s="21" t="s">
        <v>47</v>
      </c>
      <c r="G4" s="21" t="s">
        <v>48</v>
      </c>
      <c r="H4" s="21" t="s">
        <v>49</v>
      </c>
    </row>
    <row r="5" spans="4:8" x14ac:dyDescent="0.35">
      <c r="D5" s="17">
        <v>44927</v>
      </c>
      <c r="E5" s="22">
        <v>108239.175</v>
      </c>
      <c r="F5" s="22">
        <v>363.6</v>
      </c>
      <c r="G5" s="22">
        <f>E5-F5</f>
        <v>107875.575</v>
      </c>
      <c r="H5" s="22">
        <v>107875.575</v>
      </c>
    </row>
    <row r="6" spans="4:8" x14ac:dyDescent="0.35">
      <c r="D6" s="17">
        <v>44958</v>
      </c>
      <c r="E6" s="22">
        <v>86849.279999999999</v>
      </c>
      <c r="F6" s="22">
        <v>224.64</v>
      </c>
      <c r="G6" s="22">
        <f t="shared" ref="G6:G8" si="0">E6-F6</f>
        <v>86624.639999999999</v>
      </c>
      <c r="H6" s="22">
        <v>86624.639999999999</v>
      </c>
    </row>
    <row r="7" spans="4:8" x14ac:dyDescent="0.35">
      <c r="D7" s="17">
        <v>44986</v>
      </c>
      <c r="E7" s="22">
        <v>154918.65</v>
      </c>
      <c r="F7" s="22">
        <v>132.67500000000001</v>
      </c>
      <c r="G7" s="22">
        <f t="shared" si="0"/>
        <v>154785.97500000001</v>
      </c>
      <c r="H7" s="22">
        <v>154785.97500000001</v>
      </c>
    </row>
    <row r="8" spans="4:8" x14ac:dyDescent="0.35">
      <c r="D8" s="17" t="s">
        <v>53</v>
      </c>
      <c r="E8" s="22">
        <f>(151635.75*2)/30</f>
        <v>10109.049999999999</v>
      </c>
      <c r="F8" s="22">
        <f>(254.3625*2)/30</f>
        <v>16.9575</v>
      </c>
      <c r="G8" s="23">
        <f t="shared" si="0"/>
        <v>10092.092499999999</v>
      </c>
      <c r="H8" s="44">
        <f>151381.3875*2/30</f>
        <v>10092.092500000001</v>
      </c>
    </row>
    <row r="9" spans="4:8" x14ac:dyDescent="0.35">
      <c r="D9" s="21" t="s">
        <v>35</v>
      </c>
      <c r="E9" s="21">
        <f>SUM(E5:E8)</f>
        <v>360116.15499999997</v>
      </c>
      <c r="F9" s="21">
        <f>SUM(F5:F8)</f>
        <v>737.87249999999995</v>
      </c>
      <c r="G9" s="21">
        <f>SUM(G5:G8)</f>
        <v>359378.28249999997</v>
      </c>
      <c r="H9" s="21">
        <f>SUM(H5:H8)</f>
        <v>359378.28250000003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D4:H9"/>
  <sheetViews>
    <sheetView workbookViewId="0">
      <selection activeCell="H16" sqref="H16:H17"/>
    </sheetView>
  </sheetViews>
  <sheetFormatPr defaultRowHeight="14.5" x14ac:dyDescent="0.35"/>
  <cols>
    <col min="4" max="4" width="23.6328125" customWidth="1"/>
    <col min="5" max="5" width="13.54296875" bestFit="1" customWidth="1"/>
    <col min="6" max="6" width="12" bestFit="1" customWidth="1"/>
    <col min="7" max="7" width="15.453125" bestFit="1" customWidth="1"/>
    <col min="8" max="8" width="16.1796875" customWidth="1"/>
  </cols>
  <sheetData>
    <row r="4" spans="4:8" x14ac:dyDescent="0.35">
      <c r="D4" s="13" t="s">
        <v>45</v>
      </c>
      <c r="E4" s="13" t="s">
        <v>46</v>
      </c>
      <c r="F4" s="13" t="s">
        <v>47</v>
      </c>
      <c r="G4" s="13" t="s">
        <v>48</v>
      </c>
      <c r="H4" s="13" t="s">
        <v>49</v>
      </c>
    </row>
    <row r="5" spans="4:8" x14ac:dyDescent="0.35">
      <c r="D5" s="17">
        <v>44927</v>
      </c>
      <c r="E5" s="20">
        <v>91567.5</v>
      </c>
      <c r="F5" s="15">
        <v>261</v>
      </c>
      <c r="G5" s="15">
        <f>E5-F5</f>
        <v>91306.5</v>
      </c>
      <c r="H5" s="15">
        <v>91306.5</v>
      </c>
    </row>
    <row r="6" spans="4:8" x14ac:dyDescent="0.35">
      <c r="D6" s="17">
        <v>44958</v>
      </c>
      <c r="E6" s="15">
        <v>87347.616750000001</v>
      </c>
      <c r="F6" s="15">
        <v>175.821</v>
      </c>
      <c r="G6" s="15">
        <f t="shared" ref="G6:G8" si="0">E6-F6</f>
        <v>87171.795750000005</v>
      </c>
      <c r="H6" s="15">
        <v>87171.795750000005</v>
      </c>
    </row>
    <row r="7" spans="4:8" x14ac:dyDescent="0.35">
      <c r="D7" s="17">
        <v>44986</v>
      </c>
      <c r="E7" s="15">
        <v>141655.152</v>
      </c>
      <c r="F7" s="15">
        <v>79.394999999999996</v>
      </c>
      <c r="G7" s="15">
        <f t="shared" si="0"/>
        <v>141575.75700000001</v>
      </c>
      <c r="H7" s="15">
        <v>141575.75700000001</v>
      </c>
    </row>
    <row r="8" spans="4:8" x14ac:dyDescent="0.35">
      <c r="D8" s="17" t="s">
        <v>53</v>
      </c>
      <c r="E8" s="18">
        <f>(151660.08*2)/30</f>
        <v>10110.671999999999</v>
      </c>
      <c r="F8" s="15">
        <f>(220.194*2)/30</f>
        <v>14.679599999999999</v>
      </c>
      <c r="G8" s="18">
        <f t="shared" si="0"/>
        <v>10095.992399999999</v>
      </c>
      <c r="H8" s="51">
        <f>(151439.886*2)/30</f>
        <v>10095.992399999999</v>
      </c>
    </row>
    <row r="9" spans="4:8" x14ac:dyDescent="0.35">
      <c r="D9" s="13" t="s">
        <v>35</v>
      </c>
      <c r="E9" s="26">
        <f>SUM(E5:E8)</f>
        <v>330680.94075000001</v>
      </c>
      <c r="F9" s="26">
        <f>SUM(F5:F8)</f>
        <v>530.89560000000006</v>
      </c>
      <c r="G9" s="26">
        <f>SUM(G5:G8)</f>
        <v>330150.04515000002</v>
      </c>
      <c r="H9" s="26">
        <f>SUM(H5:H8)</f>
        <v>330150.04515000002</v>
      </c>
    </row>
  </sheetData>
  <pageMargins left="0.7" right="0.7" top="0.75" bottom="0.75" header="0.3" footer="0.3"/>
  <legacy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D4:H9"/>
  <sheetViews>
    <sheetView topLeftCell="B1" workbookViewId="0">
      <selection activeCell="H9" sqref="H9"/>
    </sheetView>
  </sheetViews>
  <sheetFormatPr defaultRowHeight="14.5" x14ac:dyDescent="0.35"/>
  <cols>
    <col min="4" max="4" width="19.81640625" bestFit="1" customWidth="1"/>
    <col min="5" max="5" width="13.453125" bestFit="1" customWidth="1"/>
    <col min="6" max="6" width="12" bestFit="1" customWidth="1"/>
    <col min="7" max="7" width="15.453125" bestFit="1" customWidth="1"/>
    <col min="8" max="8" width="12.453125" bestFit="1" customWidth="1"/>
  </cols>
  <sheetData>
    <row r="4" spans="4:8" x14ac:dyDescent="0.35">
      <c r="D4" s="21" t="s">
        <v>45</v>
      </c>
      <c r="E4" s="21" t="s">
        <v>46</v>
      </c>
      <c r="F4" s="21" t="s">
        <v>47</v>
      </c>
      <c r="G4" s="21" t="s">
        <v>48</v>
      </c>
      <c r="H4" s="21" t="s">
        <v>49</v>
      </c>
    </row>
    <row r="5" spans="4:8" x14ac:dyDescent="0.35">
      <c r="D5" s="17">
        <v>44927</v>
      </c>
      <c r="E5" s="22">
        <v>102702.1875</v>
      </c>
      <c r="F5" s="22">
        <v>345</v>
      </c>
      <c r="G5" s="22">
        <f>E5-F5</f>
        <v>102357.1875</v>
      </c>
      <c r="H5" s="22">
        <v>102357.1875</v>
      </c>
    </row>
    <row r="6" spans="4:8" x14ac:dyDescent="0.35">
      <c r="D6" s="17">
        <v>44958</v>
      </c>
      <c r="E6" s="22">
        <v>87150.84</v>
      </c>
      <c r="F6" s="22">
        <v>225.42</v>
      </c>
      <c r="G6" s="22">
        <f t="shared" ref="G6:G8" si="0">E6-F6</f>
        <v>86925.42</v>
      </c>
      <c r="H6" s="22">
        <v>86925.42</v>
      </c>
    </row>
    <row r="7" spans="4:8" x14ac:dyDescent="0.35">
      <c r="D7" s="17">
        <v>44986</v>
      </c>
      <c r="E7" s="23">
        <v>150093.315</v>
      </c>
      <c r="F7" s="22">
        <v>128.54249999999999</v>
      </c>
      <c r="G7" s="23">
        <f t="shared" si="0"/>
        <v>149964.77249999999</v>
      </c>
      <c r="H7" s="22">
        <v>149964.77249999999</v>
      </c>
    </row>
    <row r="8" spans="4:8" x14ac:dyDescent="0.35">
      <c r="D8" s="17" t="s">
        <v>53</v>
      </c>
      <c r="E8" s="23">
        <f>(147303.3*2)/30</f>
        <v>9820.2199999999993</v>
      </c>
      <c r="F8" s="22">
        <f>(247.095*2)/30</f>
        <v>16.472999999999999</v>
      </c>
      <c r="G8" s="23">
        <f t="shared" si="0"/>
        <v>9803.7469999999994</v>
      </c>
      <c r="H8" s="44">
        <f>147056.205*2/30</f>
        <v>9803.7469999999994</v>
      </c>
    </row>
    <row r="9" spans="4:8" x14ac:dyDescent="0.35">
      <c r="D9" s="21" t="s">
        <v>35</v>
      </c>
      <c r="E9" s="21">
        <f>SUM(E5:E8)</f>
        <v>349766.5625</v>
      </c>
      <c r="F9" s="21">
        <f>SUM(F5:F8)</f>
        <v>715.43549999999993</v>
      </c>
      <c r="G9" s="21">
        <f>SUM(G5:G8)</f>
        <v>349051.12699999998</v>
      </c>
      <c r="H9" s="21">
        <f>SUM(H5:H8)</f>
        <v>349051.12699999998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D4:H9"/>
  <sheetViews>
    <sheetView topLeftCell="B1" workbookViewId="0">
      <selection activeCell="H9" sqref="H9"/>
    </sheetView>
  </sheetViews>
  <sheetFormatPr defaultRowHeight="14.5" x14ac:dyDescent="0.35"/>
  <cols>
    <col min="4" max="4" width="19.81640625" bestFit="1" customWidth="1"/>
    <col min="5" max="5" width="12.54296875" bestFit="1" customWidth="1"/>
    <col min="6" max="6" width="12" bestFit="1" customWidth="1"/>
    <col min="7" max="7" width="15.453125" bestFit="1" customWidth="1"/>
    <col min="8" max="8" width="12.453125" bestFit="1" customWidth="1"/>
  </cols>
  <sheetData>
    <row r="4" spans="4:8" x14ac:dyDescent="0.35">
      <c r="D4" s="21" t="s">
        <v>45</v>
      </c>
      <c r="E4" s="21" t="s">
        <v>46</v>
      </c>
      <c r="F4" s="21" t="s">
        <v>47</v>
      </c>
      <c r="G4" s="21" t="s">
        <v>48</v>
      </c>
      <c r="H4" s="21" t="s">
        <v>49</v>
      </c>
    </row>
    <row r="5" spans="4:8" x14ac:dyDescent="0.35">
      <c r="D5" s="17">
        <v>44927</v>
      </c>
      <c r="E5" s="22">
        <v>100558.83749999999</v>
      </c>
      <c r="F5" s="22">
        <v>337.8</v>
      </c>
      <c r="G5" s="22">
        <f>E5-F5</f>
        <v>100221.03749999999</v>
      </c>
      <c r="H5" s="22">
        <v>100221.03749999999</v>
      </c>
    </row>
    <row r="6" spans="4:8" x14ac:dyDescent="0.35">
      <c r="D6" s="17">
        <v>44958</v>
      </c>
      <c r="E6" s="22">
        <v>86396.94</v>
      </c>
      <c r="F6" s="22">
        <v>223.47</v>
      </c>
      <c r="G6" s="22">
        <f t="shared" ref="G6:G8" si="0">E6-F6</f>
        <v>86173.47</v>
      </c>
      <c r="H6" s="22">
        <v>86173.47</v>
      </c>
    </row>
    <row r="7" spans="4:8" x14ac:dyDescent="0.35">
      <c r="D7" s="17">
        <v>44986</v>
      </c>
      <c r="E7" s="23">
        <v>143998.155</v>
      </c>
      <c r="F7" s="22">
        <v>123.32250000000001</v>
      </c>
      <c r="G7" s="23">
        <f t="shared" si="0"/>
        <v>143874.83249999999</v>
      </c>
      <c r="H7" s="22">
        <v>143874.83249999999</v>
      </c>
    </row>
    <row r="8" spans="4:8" x14ac:dyDescent="0.35">
      <c r="D8" s="17" t="s">
        <v>53</v>
      </c>
      <c r="E8" s="23">
        <f>(148322.7*2)/30</f>
        <v>9888.18</v>
      </c>
      <c r="F8" s="22">
        <f>(248.805*2)/30</f>
        <v>16.587</v>
      </c>
      <c r="G8" s="23">
        <f t="shared" si="0"/>
        <v>9871.5930000000008</v>
      </c>
      <c r="H8" s="43">
        <f>148073.895*2/30</f>
        <v>9871.5929999999989</v>
      </c>
    </row>
    <row r="9" spans="4:8" x14ac:dyDescent="0.35">
      <c r="D9" s="21" t="s">
        <v>35</v>
      </c>
      <c r="E9" s="21">
        <f>SUM(E5:E8)</f>
        <v>340842.11249999999</v>
      </c>
      <c r="F9" s="21">
        <f>SUM(F5:F8)</f>
        <v>701.17949999999996</v>
      </c>
      <c r="G9" s="21">
        <f>SUM(G5:G8)</f>
        <v>340140.93299999996</v>
      </c>
      <c r="H9" s="21">
        <f>SUM(H5:H8)</f>
        <v>340140.93299999996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D4:H9"/>
  <sheetViews>
    <sheetView workbookViewId="0">
      <selection activeCell="H9" sqref="H9"/>
    </sheetView>
  </sheetViews>
  <sheetFormatPr defaultRowHeight="14.5" x14ac:dyDescent="0.35"/>
  <cols>
    <col min="4" max="4" width="19.81640625" bestFit="1" customWidth="1"/>
    <col min="5" max="5" width="12.54296875" bestFit="1" customWidth="1"/>
    <col min="6" max="6" width="12" bestFit="1" customWidth="1"/>
    <col min="7" max="7" width="15.453125" bestFit="1" customWidth="1"/>
    <col min="8" max="8" width="12.453125" bestFit="1" customWidth="1"/>
  </cols>
  <sheetData>
    <row r="4" spans="4:8" x14ac:dyDescent="0.35">
      <c r="D4" s="21" t="s">
        <v>45</v>
      </c>
      <c r="E4" s="21" t="s">
        <v>46</v>
      </c>
      <c r="F4" s="21" t="s">
        <v>47</v>
      </c>
      <c r="G4" s="21" t="s">
        <v>48</v>
      </c>
      <c r="H4" s="21" t="s">
        <v>49</v>
      </c>
    </row>
    <row r="5" spans="4:8" x14ac:dyDescent="0.35">
      <c r="D5" s="17">
        <v>44927</v>
      </c>
      <c r="E5" s="22">
        <v>106810.27499999999</v>
      </c>
      <c r="F5" s="22">
        <v>358.8</v>
      </c>
      <c r="G5" s="22">
        <f>E5-F5</f>
        <v>106451.47499999999</v>
      </c>
      <c r="H5" s="22">
        <v>106451.47499999999</v>
      </c>
    </row>
    <row r="6" spans="4:8" x14ac:dyDescent="0.35">
      <c r="D6" s="17">
        <v>44958</v>
      </c>
      <c r="E6" s="22">
        <v>98007</v>
      </c>
      <c r="F6" s="22">
        <v>253.5</v>
      </c>
      <c r="G6" s="22">
        <f t="shared" ref="G6:G8" si="0">E6-F6</f>
        <v>97753.5</v>
      </c>
      <c r="H6" s="22">
        <v>97753.5</v>
      </c>
    </row>
    <row r="7" spans="4:8" x14ac:dyDescent="0.35">
      <c r="D7" s="17">
        <v>44986</v>
      </c>
      <c r="E7" s="22">
        <v>153140.89499999999</v>
      </c>
      <c r="F7" s="22">
        <v>131.1525</v>
      </c>
      <c r="G7" s="22">
        <f t="shared" si="0"/>
        <v>153009.74249999999</v>
      </c>
      <c r="H7" s="22">
        <v>153009.74249999999</v>
      </c>
    </row>
    <row r="8" spans="4:8" x14ac:dyDescent="0.35">
      <c r="D8" s="17" t="s">
        <v>53</v>
      </c>
      <c r="E8" s="22">
        <f>155968.2*2/30</f>
        <v>10397.880000000001</v>
      </c>
      <c r="F8" s="22">
        <f>261.63*2/30</f>
        <v>17.442</v>
      </c>
      <c r="G8" s="23">
        <f t="shared" si="0"/>
        <v>10380.438000000002</v>
      </c>
      <c r="H8" s="44">
        <f>155706.57*2/30</f>
        <v>10380.438</v>
      </c>
    </row>
    <row r="9" spans="4:8" x14ac:dyDescent="0.35">
      <c r="D9" s="21" t="s">
        <v>35</v>
      </c>
      <c r="E9" s="21">
        <f>SUM(E5:E8)</f>
        <v>368356.05</v>
      </c>
      <c r="F9" s="21">
        <f>SUM(F5:F8)</f>
        <v>760.89449999999999</v>
      </c>
      <c r="G9" s="21">
        <f>SUM(G5:G8)</f>
        <v>367595.15549999999</v>
      </c>
      <c r="H9" s="21">
        <f>SUM(H5:H8)</f>
        <v>367595.15549999999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D4:H9"/>
  <sheetViews>
    <sheetView topLeftCell="C1" workbookViewId="0">
      <selection activeCell="H9" sqref="H9"/>
    </sheetView>
  </sheetViews>
  <sheetFormatPr defaultRowHeight="14.5" x14ac:dyDescent="0.35"/>
  <cols>
    <col min="4" max="4" width="19" customWidth="1"/>
    <col min="5" max="5" width="12.54296875" bestFit="1" customWidth="1"/>
    <col min="6" max="6" width="12" bestFit="1" customWidth="1"/>
    <col min="7" max="7" width="15.453125" bestFit="1" customWidth="1"/>
    <col min="8" max="8" width="12.453125" bestFit="1" customWidth="1"/>
  </cols>
  <sheetData>
    <row r="4" spans="4:8" x14ac:dyDescent="0.35">
      <c r="D4" s="22" t="s">
        <v>45</v>
      </c>
      <c r="E4" s="22" t="s">
        <v>46</v>
      </c>
      <c r="F4" s="22" t="s">
        <v>47</v>
      </c>
      <c r="G4" s="22" t="s">
        <v>48</v>
      </c>
      <c r="H4" s="22" t="s">
        <v>49</v>
      </c>
    </row>
    <row r="5" spans="4:8" x14ac:dyDescent="0.35">
      <c r="D5" s="17">
        <v>44927</v>
      </c>
      <c r="E5" s="22">
        <v>101809.125</v>
      </c>
      <c r="F5" s="22">
        <v>342</v>
      </c>
      <c r="G5" s="22">
        <f>E5-F5</f>
        <v>101467.125</v>
      </c>
      <c r="H5" s="22">
        <v>101467.125</v>
      </c>
    </row>
    <row r="6" spans="4:8" x14ac:dyDescent="0.35">
      <c r="D6" s="17">
        <v>44958</v>
      </c>
      <c r="E6" s="22">
        <v>88809.42</v>
      </c>
      <c r="F6" s="22">
        <v>229.71</v>
      </c>
      <c r="G6" s="22">
        <f t="shared" ref="G6:G8" si="0">E6-F6</f>
        <v>88579.709999999992</v>
      </c>
      <c r="H6" s="22">
        <v>88579.709999999992</v>
      </c>
    </row>
    <row r="7" spans="4:8" x14ac:dyDescent="0.35">
      <c r="D7" s="17">
        <v>44986</v>
      </c>
      <c r="E7" s="22">
        <v>148061.595</v>
      </c>
      <c r="F7" s="23">
        <v>126.80249999999999</v>
      </c>
      <c r="G7" s="23">
        <f t="shared" si="0"/>
        <v>147934.79250000001</v>
      </c>
      <c r="H7" s="22">
        <v>147934.79250000001</v>
      </c>
    </row>
    <row r="8" spans="4:8" x14ac:dyDescent="0.35">
      <c r="D8" s="17" t="s">
        <v>53</v>
      </c>
      <c r="E8" s="22">
        <f>151635.75*2/30</f>
        <v>10109.049999999999</v>
      </c>
      <c r="F8" s="23">
        <f>254.3625*2/30</f>
        <v>16.9575</v>
      </c>
      <c r="G8" s="23">
        <f t="shared" si="0"/>
        <v>10092.092499999999</v>
      </c>
      <c r="H8" s="43">
        <f>151381.3875*2/30</f>
        <v>10092.092500000001</v>
      </c>
    </row>
    <row r="9" spans="4:8" x14ac:dyDescent="0.35">
      <c r="D9" s="21" t="s">
        <v>35</v>
      </c>
      <c r="E9" s="21">
        <f>SUM(E5:E8)</f>
        <v>348789.19</v>
      </c>
      <c r="F9" s="21">
        <f>SUM(F5:F8)</f>
        <v>715.47</v>
      </c>
      <c r="G9" s="21">
        <f>SUM(G5:G8)</f>
        <v>348073.72</v>
      </c>
      <c r="H9" s="21">
        <f>SUM(H5:H8)</f>
        <v>348073.72000000003</v>
      </c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D4:H9"/>
  <sheetViews>
    <sheetView topLeftCell="D1" workbookViewId="0">
      <selection activeCell="H9" sqref="H9"/>
    </sheetView>
  </sheetViews>
  <sheetFormatPr defaultRowHeight="14.5" x14ac:dyDescent="0.35"/>
  <cols>
    <col min="4" max="4" width="19.81640625" bestFit="1" customWidth="1"/>
    <col min="5" max="5" width="13.54296875" bestFit="1" customWidth="1"/>
    <col min="6" max="6" width="12" bestFit="1" customWidth="1"/>
    <col min="7" max="7" width="15.453125" bestFit="1" customWidth="1"/>
    <col min="8" max="8" width="12.453125" bestFit="1" customWidth="1"/>
  </cols>
  <sheetData>
    <row r="4" spans="4:8" x14ac:dyDescent="0.35">
      <c r="D4" s="21" t="s">
        <v>45</v>
      </c>
      <c r="E4" s="21" t="s">
        <v>46</v>
      </c>
      <c r="F4" s="21" t="s">
        <v>47</v>
      </c>
      <c r="G4" s="21" t="s">
        <v>48</v>
      </c>
      <c r="H4" s="21" t="s">
        <v>49</v>
      </c>
    </row>
    <row r="5" spans="4:8" x14ac:dyDescent="0.35">
      <c r="D5" s="17">
        <v>44927</v>
      </c>
      <c r="E5" s="22">
        <v>105381.375</v>
      </c>
      <c r="F5" s="22">
        <v>354</v>
      </c>
      <c r="G5" s="22">
        <f>E5-F5</f>
        <v>105027.375</v>
      </c>
      <c r="H5" s="22">
        <v>105027.375</v>
      </c>
    </row>
    <row r="6" spans="4:8" x14ac:dyDescent="0.35">
      <c r="D6" s="17">
        <v>44958</v>
      </c>
      <c r="E6" s="22">
        <v>90769.56</v>
      </c>
      <c r="F6" s="22">
        <v>234.78</v>
      </c>
      <c r="G6" s="22">
        <f t="shared" ref="G6:G8" si="0">E6-F6</f>
        <v>90534.78</v>
      </c>
      <c r="H6" s="22">
        <v>90534.78</v>
      </c>
    </row>
    <row r="7" spans="4:8" x14ac:dyDescent="0.35">
      <c r="D7" s="17">
        <v>44986</v>
      </c>
      <c r="E7" s="23">
        <v>148061.595</v>
      </c>
      <c r="F7" s="22">
        <v>126.80249999999999</v>
      </c>
      <c r="G7" s="23">
        <f t="shared" si="0"/>
        <v>147934.79250000001</v>
      </c>
      <c r="H7" s="22">
        <v>147934.79250000001</v>
      </c>
    </row>
    <row r="8" spans="4:8" x14ac:dyDescent="0.35">
      <c r="D8" s="17" t="s">
        <v>53</v>
      </c>
      <c r="E8" s="23">
        <f>146538.75*2/30</f>
        <v>9769.25</v>
      </c>
      <c r="F8" s="22">
        <f>245.8125*2/30</f>
        <v>16.387499999999999</v>
      </c>
      <c r="G8" s="23">
        <f t="shared" si="0"/>
        <v>9752.8624999999993</v>
      </c>
      <c r="H8" s="43">
        <f>146292.9375*2/30</f>
        <v>9752.8624999999993</v>
      </c>
    </row>
    <row r="9" spans="4:8" x14ac:dyDescent="0.35">
      <c r="D9" s="21" t="s">
        <v>35</v>
      </c>
      <c r="E9" s="21">
        <f>SUM(E5:E8)</f>
        <v>353981.78</v>
      </c>
      <c r="F9" s="21">
        <f>SUM(F5:F8)</f>
        <v>731.97</v>
      </c>
      <c r="G9" s="21">
        <f>SUM(G5:G8)</f>
        <v>353249.81</v>
      </c>
      <c r="H9" s="21">
        <f>SUM(H5:H8)</f>
        <v>353249.81</v>
      </c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D4:H10"/>
  <sheetViews>
    <sheetView topLeftCell="D1" workbookViewId="0">
      <selection activeCell="H9" sqref="H9"/>
    </sheetView>
  </sheetViews>
  <sheetFormatPr defaultRowHeight="14.5" x14ac:dyDescent="0.35"/>
  <cols>
    <col min="4" max="4" width="19.81640625" bestFit="1" customWidth="1"/>
    <col min="5" max="6" width="12.54296875" bestFit="1" customWidth="1"/>
    <col min="7" max="8" width="15.453125" bestFit="1" customWidth="1"/>
    <col min="9" max="9" width="12.453125" bestFit="1" customWidth="1"/>
  </cols>
  <sheetData>
    <row r="4" spans="4:8" x14ac:dyDescent="0.35">
      <c r="D4" s="21" t="s">
        <v>45</v>
      </c>
      <c r="E4" s="21" t="s">
        <v>46</v>
      </c>
      <c r="F4" s="21" t="s">
        <v>47</v>
      </c>
      <c r="G4" s="21" t="s">
        <v>48</v>
      </c>
      <c r="H4" s="21" t="s">
        <v>49</v>
      </c>
    </row>
    <row r="5" spans="4:8" x14ac:dyDescent="0.35">
      <c r="D5" s="17">
        <v>44927</v>
      </c>
      <c r="E5" s="22">
        <v>88949.024999999994</v>
      </c>
      <c r="F5" s="22">
        <v>298.8</v>
      </c>
      <c r="G5" s="22">
        <f>E5-F5</f>
        <v>88650.224999999991</v>
      </c>
      <c r="H5" s="22">
        <v>88650.224999999991</v>
      </c>
    </row>
    <row r="6" spans="4:8" x14ac:dyDescent="0.35">
      <c r="D6" s="17">
        <v>44958</v>
      </c>
      <c r="E6" s="22">
        <v>83381.34</v>
      </c>
      <c r="F6" s="22">
        <v>215.67</v>
      </c>
      <c r="G6" s="22">
        <f t="shared" ref="G6:G7" si="0">E6-F6</f>
        <v>83165.67</v>
      </c>
      <c r="H6" s="22">
        <v>83165.67</v>
      </c>
    </row>
    <row r="7" spans="4:8" x14ac:dyDescent="0.35">
      <c r="D7" s="17">
        <v>44986</v>
      </c>
      <c r="E7" s="22">
        <v>143490.22500000001</v>
      </c>
      <c r="F7" s="22">
        <v>122.8875</v>
      </c>
      <c r="G7" s="22">
        <f t="shared" si="0"/>
        <v>143367.33749999999</v>
      </c>
      <c r="H7" s="22">
        <v>143367.33749999999</v>
      </c>
    </row>
    <row r="8" spans="4:8" x14ac:dyDescent="0.35">
      <c r="D8" s="17" t="s">
        <v>53</v>
      </c>
      <c r="E8" s="22">
        <f>135580.2*2/30</f>
        <v>9038.68</v>
      </c>
      <c r="F8" s="22">
        <f>227.43*2/30</f>
        <v>15.162000000000001</v>
      </c>
      <c r="G8" s="23">
        <f>E8-F8</f>
        <v>9023.518</v>
      </c>
      <c r="H8" s="44">
        <f>135352.77*2/30</f>
        <v>9023.518</v>
      </c>
    </row>
    <row r="9" spans="4:8" x14ac:dyDescent="0.35">
      <c r="D9" s="21" t="s">
        <v>35</v>
      </c>
      <c r="E9" s="21">
        <f>SUM(E5:E8)</f>
        <v>324859.26999999996</v>
      </c>
      <c r="F9" s="21">
        <f>SUM(F5:F8)</f>
        <v>652.51950000000011</v>
      </c>
      <c r="G9" s="21">
        <f>SUM(G5:G8)</f>
        <v>324206.75049999997</v>
      </c>
      <c r="H9" s="21">
        <f>SUM(H5:H8)</f>
        <v>324206.75049999997</v>
      </c>
    </row>
    <row r="10" spans="4:8" x14ac:dyDescent="0.35">
      <c r="D10" s="30"/>
      <c r="E10" s="30"/>
      <c r="F10" s="30"/>
      <c r="G10" s="30"/>
      <c r="H10" s="30"/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D4:H9"/>
  <sheetViews>
    <sheetView topLeftCell="D1" workbookViewId="0">
      <selection activeCell="H9" sqref="H9"/>
    </sheetView>
  </sheetViews>
  <sheetFormatPr defaultRowHeight="14.5" x14ac:dyDescent="0.35"/>
  <cols>
    <col min="4" max="4" width="19.81640625" bestFit="1" customWidth="1"/>
    <col min="5" max="5" width="12.453125" bestFit="1" customWidth="1"/>
    <col min="6" max="6" width="12.54296875" bestFit="1" customWidth="1"/>
    <col min="7" max="8" width="15.453125" bestFit="1" customWidth="1"/>
    <col min="9" max="9" width="12.453125" bestFit="1" customWidth="1"/>
  </cols>
  <sheetData>
    <row r="4" spans="4:8" x14ac:dyDescent="0.35">
      <c r="D4" s="21" t="s">
        <v>45</v>
      </c>
      <c r="E4" s="21" t="s">
        <v>46</v>
      </c>
      <c r="F4" s="21" t="s">
        <v>47</v>
      </c>
      <c r="G4" s="21" t="s">
        <v>48</v>
      </c>
      <c r="H4" s="21" t="s">
        <v>49</v>
      </c>
    </row>
    <row r="5" spans="4:8" x14ac:dyDescent="0.35">
      <c r="D5" s="17">
        <v>44927</v>
      </c>
      <c r="E5" s="22">
        <v>108417.78750000001</v>
      </c>
      <c r="F5" s="22">
        <v>364.2</v>
      </c>
      <c r="G5" s="22">
        <f>E5-F5</f>
        <v>108053.58750000001</v>
      </c>
      <c r="H5" s="22">
        <v>108053.58750000001</v>
      </c>
    </row>
    <row r="6" spans="4:8" x14ac:dyDescent="0.35">
      <c r="D6" s="17">
        <v>44958</v>
      </c>
      <c r="E6" s="22">
        <v>88357.08</v>
      </c>
      <c r="F6" s="22">
        <v>228.54</v>
      </c>
      <c r="G6" s="22">
        <f t="shared" ref="G6:G8" si="0">E6-F6</f>
        <v>88128.540000000008</v>
      </c>
      <c r="H6" s="22">
        <v>88128.540000000008</v>
      </c>
    </row>
    <row r="7" spans="4:8" x14ac:dyDescent="0.35">
      <c r="D7" s="17">
        <v>44986</v>
      </c>
      <c r="E7" s="22">
        <v>147807.63</v>
      </c>
      <c r="F7" s="22">
        <v>126.58499999999999</v>
      </c>
      <c r="G7" s="22">
        <f t="shared" si="0"/>
        <v>147681.04500000001</v>
      </c>
      <c r="H7" s="22">
        <v>147681.04500000001</v>
      </c>
    </row>
    <row r="8" spans="4:8" x14ac:dyDescent="0.35">
      <c r="D8" s="17" t="s">
        <v>53</v>
      </c>
      <c r="E8" s="22">
        <f>133541.4*2/30</f>
        <v>8902.76</v>
      </c>
      <c r="F8" s="22">
        <f>224.01*2/30</f>
        <v>14.933999999999999</v>
      </c>
      <c r="G8" s="23">
        <f t="shared" si="0"/>
        <v>8887.8260000000009</v>
      </c>
      <c r="H8" s="44">
        <f>133317.39*2/30</f>
        <v>8887.8260000000009</v>
      </c>
    </row>
    <row r="9" spans="4:8" x14ac:dyDescent="0.35">
      <c r="D9" s="21" t="s">
        <v>35</v>
      </c>
      <c r="E9" s="21">
        <f>SUM(E5:E8)</f>
        <v>353485.25750000001</v>
      </c>
      <c r="F9" s="21">
        <f>SUM(F5:F8)</f>
        <v>734.25900000000001</v>
      </c>
      <c r="G9" s="21">
        <f>SUM(G5:G8)</f>
        <v>352750.99849999999</v>
      </c>
      <c r="H9" s="21">
        <f>SUM(H5:H8)</f>
        <v>352750.99849999999</v>
      </c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D4:H9"/>
  <sheetViews>
    <sheetView topLeftCell="B2" workbookViewId="0">
      <selection activeCell="H9" sqref="H9"/>
    </sheetView>
  </sheetViews>
  <sheetFormatPr defaultRowHeight="14.5" x14ac:dyDescent="0.35"/>
  <cols>
    <col min="4" max="4" width="19.81640625" bestFit="1" customWidth="1"/>
    <col min="5" max="5" width="16.1796875" bestFit="1" customWidth="1"/>
    <col min="6" max="6" width="11.453125" bestFit="1" customWidth="1"/>
    <col min="7" max="7" width="14.54296875" bestFit="1" customWidth="1"/>
    <col min="8" max="8" width="13.54296875" bestFit="1" customWidth="1"/>
  </cols>
  <sheetData>
    <row r="4" spans="4:8" x14ac:dyDescent="0.35">
      <c r="D4" s="21" t="s">
        <v>45</v>
      </c>
      <c r="E4" s="21" t="s">
        <v>46</v>
      </c>
      <c r="F4" s="21" t="s">
        <v>47</v>
      </c>
      <c r="G4" s="21" t="s">
        <v>48</v>
      </c>
      <c r="H4" s="21" t="s">
        <v>49</v>
      </c>
    </row>
    <row r="5" spans="4:8" x14ac:dyDescent="0.35">
      <c r="D5" s="17">
        <v>44927</v>
      </c>
      <c r="E5" s="31">
        <v>110025.3</v>
      </c>
      <c r="F5" s="31">
        <v>369.6</v>
      </c>
      <c r="G5" s="31">
        <f t="shared" ref="G5:G8" si="0">E5-F5</f>
        <v>109655.7</v>
      </c>
      <c r="H5" s="31">
        <v>109655.7</v>
      </c>
    </row>
    <row r="6" spans="4:8" x14ac:dyDescent="0.35">
      <c r="D6" s="17">
        <v>44958</v>
      </c>
      <c r="E6" s="31">
        <v>91674.240000000005</v>
      </c>
      <c r="F6" s="31">
        <v>237.12</v>
      </c>
      <c r="G6" s="31">
        <f t="shared" si="0"/>
        <v>91437.12000000001</v>
      </c>
      <c r="H6" s="31">
        <v>91437.12000000001</v>
      </c>
    </row>
    <row r="7" spans="4:8" x14ac:dyDescent="0.35">
      <c r="D7" s="17">
        <v>44986</v>
      </c>
      <c r="E7" s="31">
        <v>162537.60000000001</v>
      </c>
      <c r="F7" s="31">
        <v>139.19999999999999</v>
      </c>
      <c r="G7" s="31">
        <f t="shared" si="0"/>
        <v>162398.39999999999</v>
      </c>
      <c r="H7" s="31">
        <v>162398.39999999999</v>
      </c>
    </row>
    <row r="8" spans="4:8" x14ac:dyDescent="0.35">
      <c r="D8" s="17" t="s">
        <v>53</v>
      </c>
      <c r="E8" s="31">
        <f>155203.65*2/30</f>
        <v>10346.91</v>
      </c>
      <c r="F8" s="31">
        <f>260.3475*2/30</f>
        <v>17.3565</v>
      </c>
      <c r="G8" s="31">
        <f t="shared" si="0"/>
        <v>10329.5535</v>
      </c>
      <c r="H8" s="45">
        <f>154943.3025*2/30</f>
        <v>10329.5535</v>
      </c>
    </row>
    <row r="9" spans="4:8" x14ac:dyDescent="0.35">
      <c r="D9" s="21" t="s">
        <v>35</v>
      </c>
      <c r="E9" s="32">
        <f>SUM(E5:E8)</f>
        <v>374584.05</v>
      </c>
      <c r="F9" s="32">
        <f>SUM(F5:F8)</f>
        <v>763.27650000000006</v>
      </c>
      <c r="G9" s="32">
        <f>SUM(G5:G8)</f>
        <v>373820.77349999995</v>
      </c>
      <c r="H9" s="32">
        <f>SUM(H5:H8)</f>
        <v>373820.77349999995</v>
      </c>
    </row>
  </sheetData>
  <pageMargins left="0.7" right="0.7" top="0.75" bottom="0.75" header="0.3" footer="0.3"/>
  <pageSetup paperSize="9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D4:H9"/>
  <sheetViews>
    <sheetView topLeftCell="B1" workbookViewId="0">
      <selection activeCell="H9" sqref="H9"/>
    </sheetView>
  </sheetViews>
  <sheetFormatPr defaultRowHeight="14.5" x14ac:dyDescent="0.35"/>
  <cols>
    <col min="4" max="4" width="19.81640625" bestFit="1" customWidth="1"/>
    <col min="5" max="6" width="12.54296875" bestFit="1" customWidth="1"/>
    <col min="7" max="8" width="15.453125" bestFit="1" customWidth="1"/>
    <col min="9" max="9" width="12.453125" bestFit="1" customWidth="1"/>
  </cols>
  <sheetData>
    <row r="4" spans="4:8" x14ac:dyDescent="0.35">
      <c r="D4" s="21" t="s">
        <v>45</v>
      </c>
      <c r="E4" s="21" t="s">
        <v>46</v>
      </c>
      <c r="F4" s="21" t="s">
        <v>47</v>
      </c>
      <c r="G4" s="21" t="s">
        <v>48</v>
      </c>
      <c r="H4" s="21" t="s">
        <v>49</v>
      </c>
    </row>
    <row r="5" spans="4:8" x14ac:dyDescent="0.35">
      <c r="D5" s="17">
        <v>44927</v>
      </c>
      <c r="E5" s="22">
        <v>120563.4375</v>
      </c>
      <c r="F5" s="22">
        <v>405</v>
      </c>
      <c r="G5" s="22">
        <f>E5-F5</f>
        <v>120158.4375</v>
      </c>
      <c r="H5" s="50">
        <v>120158.4375</v>
      </c>
    </row>
    <row r="6" spans="4:8" x14ac:dyDescent="0.35">
      <c r="D6" s="17">
        <v>44958</v>
      </c>
      <c r="E6" s="22">
        <v>97403.88</v>
      </c>
      <c r="F6" s="22">
        <v>251.94</v>
      </c>
      <c r="G6" s="22">
        <f t="shared" ref="G6:G8" si="0">E6-F6</f>
        <v>97151.94</v>
      </c>
      <c r="H6" s="22">
        <v>97151.94</v>
      </c>
    </row>
    <row r="7" spans="4:8" x14ac:dyDescent="0.35">
      <c r="D7" s="17">
        <v>44986</v>
      </c>
      <c r="E7" s="22">
        <v>157966.23000000001</v>
      </c>
      <c r="F7" s="22">
        <v>135.285</v>
      </c>
      <c r="G7" s="22">
        <f t="shared" si="0"/>
        <v>157830.94500000001</v>
      </c>
      <c r="H7" s="22">
        <v>157830.94500000001</v>
      </c>
    </row>
    <row r="8" spans="4:8" x14ac:dyDescent="0.35">
      <c r="D8" s="17" t="s">
        <v>53</v>
      </c>
      <c r="E8" s="22">
        <f>152655.15*2/30</f>
        <v>10177.01</v>
      </c>
      <c r="F8" s="22">
        <f>256.0725*2/30</f>
        <v>17.0715</v>
      </c>
      <c r="G8" s="23">
        <f t="shared" si="0"/>
        <v>10159.9385</v>
      </c>
      <c r="H8" s="44">
        <f>152399.0775*2/30</f>
        <v>10159.9385</v>
      </c>
    </row>
    <row r="9" spans="4:8" x14ac:dyDescent="0.35">
      <c r="D9" s="21" t="s">
        <v>35</v>
      </c>
      <c r="E9" s="21">
        <f>SUM(E5:E8)</f>
        <v>386110.5575</v>
      </c>
      <c r="F9" s="21">
        <f>SUM(F5:F8)</f>
        <v>809.29650000000004</v>
      </c>
      <c r="G9" s="21">
        <f>SUM(G5:G8)</f>
        <v>385301.261</v>
      </c>
      <c r="H9" s="21">
        <f>SUM(H5:H8)</f>
        <v>385301.261</v>
      </c>
    </row>
  </sheetData>
  <pageMargins left="0.7" right="0.7" top="0.75" bottom="0.75" header="0.3" footer="0.3"/>
  <legacy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D4:H9"/>
  <sheetViews>
    <sheetView topLeftCell="D1" workbookViewId="0">
      <selection activeCell="H9" sqref="H9"/>
    </sheetView>
  </sheetViews>
  <sheetFormatPr defaultRowHeight="14.5" x14ac:dyDescent="0.35"/>
  <cols>
    <col min="4" max="4" width="19.81640625" bestFit="1" customWidth="1"/>
    <col min="5" max="5" width="12.54296875" bestFit="1" customWidth="1"/>
    <col min="6" max="6" width="12" bestFit="1" customWidth="1"/>
    <col min="7" max="7" width="15.453125" bestFit="1" customWidth="1"/>
    <col min="8" max="8" width="12.453125" bestFit="1" customWidth="1"/>
  </cols>
  <sheetData>
    <row r="4" spans="4:8" x14ac:dyDescent="0.35">
      <c r="D4" s="21" t="s">
        <v>45</v>
      </c>
      <c r="E4" s="21" t="s">
        <v>46</v>
      </c>
      <c r="F4" s="21" t="s">
        <v>47</v>
      </c>
      <c r="G4" s="21" t="s">
        <v>48</v>
      </c>
      <c r="H4" s="21" t="s">
        <v>49</v>
      </c>
    </row>
    <row r="5" spans="4:8" x14ac:dyDescent="0.35">
      <c r="D5" s="17">
        <v>44927</v>
      </c>
      <c r="E5" s="34">
        <v>113061.71249999999</v>
      </c>
      <c r="F5" s="25">
        <v>379.8</v>
      </c>
      <c r="G5" s="25">
        <f>E5-F5</f>
        <v>112681.91249999999</v>
      </c>
      <c r="H5" s="25">
        <v>112681.91249999999</v>
      </c>
    </row>
    <row r="6" spans="4:8" x14ac:dyDescent="0.35">
      <c r="D6" s="17">
        <v>44958</v>
      </c>
      <c r="E6" s="25">
        <v>89714.1</v>
      </c>
      <c r="F6" s="25">
        <v>232.05</v>
      </c>
      <c r="G6" s="25">
        <f>E6-F6</f>
        <v>89482.05</v>
      </c>
      <c r="H6" s="25">
        <v>89482.05</v>
      </c>
    </row>
    <row r="7" spans="4:8" x14ac:dyDescent="0.35">
      <c r="D7" s="17">
        <v>44986</v>
      </c>
      <c r="E7" s="25">
        <v>150601.245</v>
      </c>
      <c r="F7" s="25">
        <v>128.97749999999999</v>
      </c>
      <c r="G7" s="25">
        <f>E7-F7</f>
        <v>150472.26749999999</v>
      </c>
      <c r="H7" s="25">
        <v>150472.26749999999</v>
      </c>
    </row>
    <row r="8" spans="4:8" x14ac:dyDescent="0.35">
      <c r="D8" s="17" t="s">
        <v>53</v>
      </c>
      <c r="E8" s="25">
        <f>137364.15*2/30</f>
        <v>9157.6099999999988</v>
      </c>
      <c r="F8" s="25">
        <f>230.4225*2/30</f>
        <v>15.361500000000001</v>
      </c>
      <c r="G8" s="25">
        <f>E8-F8</f>
        <v>9142.2484999999979</v>
      </c>
      <c r="H8" s="46">
        <f>137133.7275*2/30</f>
        <v>9142.2484999999997</v>
      </c>
    </row>
    <row r="9" spans="4:8" x14ac:dyDescent="0.35">
      <c r="D9" s="21" t="s">
        <v>35</v>
      </c>
      <c r="E9" s="33">
        <f>SUM(E5:E8)</f>
        <v>362534.66749999998</v>
      </c>
      <c r="F9" s="33">
        <f>SUM(F5:F8)</f>
        <v>756.18899999999996</v>
      </c>
      <c r="G9" s="33">
        <f>SUM(G5:G8)</f>
        <v>361778.47849999997</v>
      </c>
      <c r="H9" s="33">
        <f>SUM(H5:H8)</f>
        <v>361778.47849999997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D4:H9"/>
  <sheetViews>
    <sheetView topLeftCell="C1" workbookViewId="0">
      <selection activeCell="H8" sqref="H8"/>
    </sheetView>
  </sheetViews>
  <sheetFormatPr defaultRowHeight="14.5" x14ac:dyDescent="0.35"/>
  <cols>
    <col min="4" max="4" width="24.81640625" customWidth="1"/>
    <col min="5" max="5" width="12.54296875" bestFit="1" customWidth="1"/>
    <col min="6" max="6" width="12" bestFit="1" customWidth="1"/>
    <col min="7" max="7" width="15.453125" bestFit="1" customWidth="1"/>
    <col min="8" max="9" width="12.453125" bestFit="1" customWidth="1"/>
  </cols>
  <sheetData>
    <row r="4" spans="4:8" x14ac:dyDescent="0.35">
      <c r="D4" s="21" t="s">
        <v>45</v>
      </c>
      <c r="E4" s="21" t="s">
        <v>46</v>
      </c>
      <c r="F4" s="21" t="s">
        <v>47</v>
      </c>
      <c r="G4" s="21" t="s">
        <v>48</v>
      </c>
      <c r="H4" s="21" t="s">
        <v>49</v>
      </c>
    </row>
    <row r="5" spans="4:8" x14ac:dyDescent="0.35">
      <c r="D5" s="17">
        <v>44927</v>
      </c>
      <c r="E5" s="22">
        <v>103013.4375</v>
      </c>
      <c r="F5" s="22">
        <v>293.625</v>
      </c>
      <c r="G5" s="22">
        <f>E5-F5</f>
        <v>102719.8125</v>
      </c>
      <c r="H5" s="22">
        <v>102719.8125</v>
      </c>
    </row>
    <row r="6" spans="4:8" x14ac:dyDescent="0.35">
      <c r="D6" s="17">
        <v>44958</v>
      </c>
      <c r="E6" s="22">
        <v>92874.003750000003</v>
      </c>
      <c r="F6" s="22">
        <v>186.94499999999999</v>
      </c>
      <c r="G6" s="22">
        <f t="shared" ref="G6:G8" si="0">E6-F6</f>
        <v>92687.058749999997</v>
      </c>
      <c r="H6" s="22">
        <v>92687.058749999997</v>
      </c>
    </row>
    <row r="7" spans="4:8" x14ac:dyDescent="0.35">
      <c r="D7" s="17">
        <v>44986</v>
      </c>
      <c r="E7" s="22">
        <v>150905.022</v>
      </c>
      <c r="F7" s="22">
        <v>84.57938</v>
      </c>
      <c r="G7" s="22">
        <f t="shared" si="0"/>
        <v>150820.44261999999</v>
      </c>
      <c r="H7" s="22">
        <v>150820.44261999999</v>
      </c>
    </row>
    <row r="8" spans="4:8" x14ac:dyDescent="0.35">
      <c r="D8" s="17" t="s">
        <v>53</v>
      </c>
      <c r="E8" s="23">
        <f>(157736.205*2)/30</f>
        <v>10515.746999999999</v>
      </c>
      <c r="F8" s="22">
        <f>(229.01588*2)/30</f>
        <v>15.267725333333335</v>
      </c>
      <c r="G8" s="23">
        <f t="shared" si="0"/>
        <v>10500.479274666666</v>
      </c>
      <c r="H8" s="42">
        <f>(157507.18912*2)/30</f>
        <v>10500.479274666666</v>
      </c>
    </row>
    <row r="9" spans="4:8" x14ac:dyDescent="0.35">
      <c r="D9" s="21" t="s">
        <v>35</v>
      </c>
      <c r="E9" s="21">
        <f>SUM(E5:E8)</f>
        <v>357308.21025</v>
      </c>
      <c r="F9" s="21">
        <f>SUM(F5:F8)</f>
        <v>580.41710533333332</v>
      </c>
      <c r="G9" s="21">
        <f>SUM(G5:G8)</f>
        <v>356727.79314466665</v>
      </c>
      <c r="H9" s="21">
        <f>SUM(H5:H8)</f>
        <v>356727.79314466665</v>
      </c>
    </row>
  </sheetData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D4:H9"/>
  <sheetViews>
    <sheetView topLeftCell="C2" workbookViewId="0">
      <selection activeCell="H9" sqref="H9"/>
    </sheetView>
  </sheetViews>
  <sheetFormatPr defaultRowHeight="14.5" x14ac:dyDescent="0.35"/>
  <cols>
    <col min="4" max="4" width="19.81640625" bestFit="1" customWidth="1"/>
    <col min="5" max="5" width="12.453125" bestFit="1" customWidth="1"/>
    <col min="6" max="6" width="12" bestFit="1" customWidth="1"/>
    <col min="7" max="7" width="15.453125" bestFit="1" customWidth="1"/>
    <col min="8" max="9" width="12.453125" bestFit="1" customWidth="1"/>
  </cols>
  <sheetData>
    <row r="4" spans="4:8" x14ac:dyDescent="0.35">
      <c r="D4" s="13" t="s">
        <v>45</v>
      </c>
      <c r="E4" s="13" t="s">
        <v>46</v>
      </c>
      <c r="F4" s="13" t="s">
        <v>47</v>
      </c>
      <c r="G4" s="13" t="s">
        <v>48</v>
      </c>
      <c r="H4" s="13" t="s">
        <v>49</v>
      </c>
    </row>
    <row r="5" spans="4:8" x14ac:dyDescent="0.35">
      <c r="D5" s="14">
        <v>44927</v>
      </c>
      <c r="E5" s="15">
        <v>93057.112500000003</v>
      </c>
      <c r="F5" s="15">
        <v>312.60000000000002</v>
      </c>
      <c r="G5" s="15">
        <f>E5-F5</f>
        <v>92744.512499999997</v>
      </c>
      <c r="H5" s="15">
        <v>92744.512499999997</v>
      </c>
    </row>
    <row r="6" spans="4:8" x14ac:dyDescent="0.35">
      <c r="D6" s="14">
        <v>44958</v>
      </c>
      <c r="E6" s="15">
        <v>82929</v>
      </c>
      <c r="F6" s="15">
        <v>214.5</v>
      </c>
      <c r="G6" s="15">
        <f t="shared" ref="G6:G8" si="0">E6-F6</f>
        <v>82714.5</v>
      </c>
      <c r="H6" s="15">
        <v>82714.5</v>
      </c>
    </row>
    <row r="7" spans="4:8" x14ac:dyDescent="0.35">
      <c r="D7" s="14">
        <v>44986</v>
      </c>
      <c r="E7" s="15">
        <v>142982.29500000001</v>
      </c>
      <c r="F7" s="15">
        <v>122.4525</v>
      </c>
      <c r="G7" s="15">
        <f t="shared" si="0"/>
        <v>142859.8425</v>
      </c>
      <c r="H7" s="16">
        <v>142859.8425</v>
      </c>
    </row>
    <row r="8" spans="4:8" x14ac:dyDescent="0.35">
      <c r="D8" s="17" t="s">
        <v>53</v>
      </c>
      <c r="E8" s="15">
        <f>135835.05*2/30</f>
        <v>9055.67</v>
      </c>
      <c r="F8" s="15">
        <f>227.8575*2/30</f>
        <v>15.190499999999998</v>
      </c>
      <c r="G8" s="18">
        <f t="shared" si="0"/>
        <v>9040.4794999999995</v>
      </c>
      <c r="H8" s="47">
        <f>135607.1925*2/30</f>
        <v>9040.4794999999995</v>
      </c>
    </row>
    <row r="9" spans="4:8" x14ac:dyDescent="0.35">
      <c r="D9" s="13" t="s">
        <v>35</v>
      </c>
      <c r="E9" s="13">
        <f>SUM(E5:E8)</f>
        <v>328024.07749999996</v>
      </c>
      <c r="F9" s="13">
        <f>SUM(F5:F8)</f>
        <v>664.74300000000005</v>
      </c>
      <c r="G9" s="13">
        <f>SUM(G5:G8)</f>
        <v>327359.3345</v>
      </c>
      <c r="H9" s="13">
        <f>SUM(H5:H8)</f>
        <v>327359.3345</v>
      </c>
    </row>
  </sheetData>
  <pageMargins left="0.7" right="0.7" top="0.75" bottom="0.75" header="0.3" footer="0.3"/>
  <pageSetup orientation="portrait" horizontalDpi="300" verticalDpi="0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D4:H9"/>
  <sheetViews>
    <sheetView topLeftCell="C1" workbookViewId="0">
      <selection activeCell="H9" sqref="H9"/>
    </sheetView>
  </sheetViews>
  <sheetFormatPr defaultRowHeight="14.5" x14ac:dyDescent="0.35"/>
  <cols>
    <col min="4" max="4" width="19.81640625" bestFit="1" customWidth="1"/>
    <col min="5" max="5" width="12.453125" bestFit="1" customWidth="1"/>
    <col min="6" max="6" width="12" bestFit="1" customWidth="1"/>
    <col min="7" max="7" width="15.453125" bestFit="1" customWidth="1"/>
    <col min="8" max="9" width="12.453125" bestFit="1" customWidth="1"/>
  </cols>
  <sheetData>
    <row r="4" spans="4:8" x14ac:dyDescent="0.35">
      <c r="D4" s="21" t="s">
        <v>45</v>
      </c>
      <c r="E4" s="21" t="s">
        <v>46</v>
      </c>
      <c r="F4" s="21" t="s">
        <v>47</v>
      </c>
      <c r="G4" s="21" t="s">
        <v>48</v>
      </c>
      <c r="H4" s="21" t="s">
        <v>49</v>
      </c>
    </row>
    <row r="5" spans="4:8" x14ac:dyDescent="0.35">
      <c r="D5" s="17">
        <v>44927</v>
      </c>
      <c r="E5" s="22">
        <v>97522.425000000003</v>
      </c>
      <c r="F5" s="22">
        <v>327.60000000000002</v>
      </c>
      <c r="G5" s="22">
        <f>E5-F5</f>
        <v>97194.824999999997</v>
      </c>
      <c r="H5" s="22">
        <v>97194.824999999997</v>
      </c>
    </row>
    <row r="6" spans="4:8" x14ac:dyDescent="0.35">
      <c r="D6" s="17">
        <v>44958</v>
      </c>
      <c r="E6" s="22">
        <v>78556.38</v>
      </c>
      <c r="F6" s="22">
        <v>203.19</v>
      </c>
      <c r="G6" s="22">
        <f t="shared" ref="G6:G8" si="0">E6-F6</f>
        <v>78353.19</v>
      </c>
      <c r="H6" s="22">
        <v>78353.19</v>
      </c>
    </row>
    <row r="7" spans="4:8" x14ac:dyDescent="0.35">
      <c r="D7" s="17">
        <v>44986</v>
      </c>
      <c r="E7" s="22">
        <v>139172.82</v>
      </c>
      <c r="F7" s="22">
        <v>119.19</v>
      </c>
      <c r="G7" s="22">
        <f t="shared" si="0"/>
        <v>139053.63</v>
      </c>
      <c r="H7" s="22">
        <v>139053.63</v>
      </c>
    </row>
    <row r="8" spans="4:8" x14ac:dyDescent="0.35">
      <c r="D8" s="17" t="s">
        <v>53</v>
      </c>
      <c r="E8" s="22">
        <f>142461.15*2/30</f>
        <v>9497.41</v>
      </c>
      <c r="F8" s="22">
        <f>238.9725*2/30</f>
        <v>15.9315</v>
      </c>
      <c r="G8" s="23">
        <f t="shared" si="0"/>
        <v>9481.4784999999993</v>
      </c>
      <c r="H8" s="44">
        <f>142222.1775*2/30</f>
        <v>9481.4784999999993</v>
      </c>
    </row>
    <row r="9" spans="4:8" x14ac:dyDescent="0.35">
      <c r="D9" s="21" t="s">
        <v>35</v>
      </c>
      <c r="E9" s="21">
        <f>SUM(E5:E8)</f>
        <v>324749.03499999997</v>
      </c>
      <c r="F9" s="21">
        <f>SUM(F5:F8)</f>
        <v>665.91150000000005</v>
      </c>
      <c r="G9" s="21">
        <f>SUM(G5:G8)</f>
        <v>324083.12350000005</v>
      </c>
      <c r="H9" s="21">
        <f>SUM(H5:H8)</f>
        <v>324083.12350000005</v>
      </c>
    </row>
  </sheetData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D4:H9"/>
  <sheetViews>
    <sheetView topLeftCell="C1" workbookViewId="0">
      <selection activeCell="H9" sqref="H9"/>
    </sheetView>
  </sheetViews>
  <sheetFormatPr defaultRowHeight="14.5" x14ac:dyDescent="0.35"/>
  <cols>
    <col min="4" max="4" width="19.81640625" bestFit="1" customWidth="1"/>
    <col min="5" max="5" width="12.453125" bestFit="1" customWidth="1"/>
    <col min="6" max="6" width="12" bestFit="1" customWidth="1"/>
    <col min="7" max="7" width="15.453125" bestFit="1" customWidth="1"/>
    <col min="8" max="9" width="12.453125" bestFit="1" customWidth="1"/>
  </cols>
  <sheetData>
    <row r="4" spans="4:8" x14ac:dyDescent="0.35">
      <c r="D4" s="21" t="s">
        <v>45</v>
      </c>
      <c r="E4" s="21" t="s">
        <v>46</v>
      </c>
      <c r="F4" s="21" t="s">
        <v>47</v>
      </c>
      <c r="G4" s="21" t="s">
        <v>48</v>
      </c>
      <c r="H4" s="21" t="s">
        <v>49</v>
      </c>
    </row>
    <row r="5" spans="4:8" x14ac:dyDescent="0.35">
      <c r="D5" s="17">
        <v>44927</v>
      </c>
      <c r="E5" s="22">
        <v>102523.575</v>
      </c>
      <c r="F5" s="22">
        <v>344.4</v>
      </c>
      <c r="G5" s="22">
        <f>E5-F5</f>
        <v>102179.175</v>
      </c>
      <c r="H5" s="22">
        <v>102179.175</v>
      </c>
    </row>
    <row r="6" spans="4:8" x14ac:dyDescent="0.35">
      <c r="D6" s="17">
        <v>44958</v>
      </c>
      <c r="E6" s="22">
        <v>82024.320000000007</v>
      </c>
      <c r="F6" s="22">
        <v>212.16</v>
      </c>
      <c r="G6" s="22">
        <f t="shared" ref="G6:G8" si="0">E6-F6</f>
        <v>81812.160000000003</v>
      </c>
      <c r="H6" s="22">
        <v>81812.160000000003</v>
      </c>
    </row>
    <row r="7" spans="4:8" x14ac:dyDescent="0.35">
      <c r="D7" s="17">
        <v>44986</v>
      </c>
      <c r="E7" s="22">
        <v>150601.245</v>
      </c>
      <c r="F7" s="22">
        <v>128.97749999999999</v>
      </c>
      <c r="G7" s="22">
        <f t="shared" si="0"/>
        <v>150472.26749999999</v>
      </c>
      <c r="H7" s="22">
        <v>150472.26749999999</v>
      </c>
    </row>
    <row r="8" spans="4:8" x14ac:dyDescent="0.35">
      <c r="D8" s="17" t="s">
        <v>53</v>
      </c>
      <c r="E8" s="22">
        <f>155458.5*2/30</f>
        <v>10363.9</v>
      </c>
      <c r="F8" s="22">
        <f>260.775*2/30</f>
        <v>17.384999999999998</v>
      </c>
      <c r="G8" s="24">
        <f t="shared" si="0"/>
        <v>10346.514999999999</v>
      </c>
      <c r="H8" s="43">
        <f>155197.725*2/30</f>
        <v>10346.515000000001</v>
      </c>
    </row>
    <row r="9" spans="4:8" x14ac:dyDescent="0.35">
      <c r="D9" s="21" t="s">
        <v>35</v>
      </c>
      <c r="E9" s="21">
        <f>SUM(E5:E8)</f>
        <v>345513.04000000004</v>
      </c>
      <c r="F9" s="21">
        <f>SUM(F5:F8)</f>
        <v>702.9224999999999</v>
      </c>
      <c r="G9" s="21">
        <f>SUM(G5:G8)</f>
        <v>344810.11750000005</v>
      </c>
      <c r="H9" s="21">
        <f>SUM(H5:H8)</f>
        <v>344810.11750000005</v>
      </c>
    </row>
  </sheetData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D4:H9"/>
  <sheetViews>
    <sheetView topLeftCell="B3" workbookViewId="0">
      <selection activeCell="H9" sqref="H9"/>
    </sheetView>
  </sheetViews>
  <sheetFormatPr defaultRowHeight="14.5" x14ac:dyDescent="0.35"/>
  <cols>
    <col min="4" max="4" width="19.81640625" bestFit="1" customWidth="1"/>
    <col min="5" max="5" width="13.453125" bestFit="1" customWidth="1"/>
    <col min="6" max="6" width="12.54296875" bestFit="1" customWidth="1"/>
    <col min="7" max="7" width="15" customWidth="1"/>
    <col min="8" max="8" width="15.453125" bestFit="1" customWidth="1"/>
    <col min="9" max="9" width="12.453125" bestFit="1" customWidth="1"/>
  </cols>
  <sheetData>
    <row r="4" spans="4:8" x14ac:dyDescent="0.35">
      <c r="D4" s="21" t="s">
        <v>45</v>
      </c>
      <c r="E4" s="21" t="s">
        <v>46</v>
      </c>
      <c r="F4" s="21" t="s">
        <v>47</v>
      </c>
      <c r="G4" s="21" t="s">
        <v>48</v>
      </c>
      <c r="H4" s="21" t="s">
        <v>49</v>
      </c>
    </row>
    <row r="5" spans="4:8" x14ac:dyDescent="0.35">
      <c r="D5" s="17">
        <v>44927</v>
      </c>
      <c r="E5" s="22">
        <v>101273.28750000001</v>
      </c>
      <c r="F5" s="22">
        <v>340.2</v>
      </c>
      <c r="G5" s="22">
        <f>E5-F5</f>
        <v>100933.08750000001</v>
      </c>
      <c r="H5" s="22">
        <v>100933.08750000001</v>
      </c>
    </row>
    <row r="6" spans="4:8" x14ac:dyDescent="0.35">
      <c r="D6" s="17">
        <v>44958</v>
      </c>
      <c r="E6" s="22">
        <v>86849.279999999999</v>
      </c>
      <c r="F6" s="22">
        <v>224.64</v>
      </c>
      <c r="G6" s="22">
        <f t="shared" ref="G6:G7" si="0">E6-F6</f>
        <v>86624.639999999999</v>
      </c>
      <c r="H6" s="22">
        <v>86624.639999999999</v>
      </c>
    </row>
    <row r="7" spans="4:8" x14ac:dyDescent="0.35">
      <c r="D7" s="17">
        <v>44986</v>
      </c>
      <c r="E7" s="22">
        <v>151109.17499999999</v>
      </c>
      <c r="F7" s="22">
        <v>129.41249999999999</v>
      </c>
      <c r="G7" s="22">
        <f t="shared" si="0"/>
        <v>150979.76249999998</v>
      </c>
      <c r="H7" s="22">
        <v>150979.76249999998</v>
      </c>
    </row>
    <row r="8" spans="4:8" x14ac:dyDescent="0.35">
      <c r="D8" s="17" t="s">
        <v>53</v>
      </c>
      <c r="E8" s="22">
        <f>142970.85*2/30</f>
        <v>9531.3900000000012</v>
      </c>
      <c r="F8" s="22">
        <f>239.8275*2/30</f>
        <v>15.988499999999998</v>
      </c>
      <c r="G8" s="24">
        <f>E8-F8</f>
        <v>9515.4015000000018</v>
      </c>
      <c r="H8" s="44">
        <f>142731.0225*2/30</f>
        <v>9515.4014999999999</v>
      </c>
    </row>
    <row r="9" spans="4:8" x14ac:dyDescent="0.35">
      <c r="D9" s="21" t="s">
        <v>35</v>
      </c>
      <c r="E9" s="21">
        <f>SUM(E5:E8)</f>
        <v>348763.13250000001</v>
      </c>
      <c r="F9" s="21">
        <f>SUM(F5:F8)</f>
        <v>710.24099999999999</v>
      </c>
      <c r="G9" s="21">
        <f>SUM(G5:G8)</f>
        <v>348052.89149999997</v>
      </c>
      <c r="H9" s="21">
        <f>SUM(H5:H8)</f>
        <v>348052.89149999997</v>
      </c>
    </row>
  </sheetData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D4:H9"/>
  <sheetViews>
    <sheetView workbookViewId="0">
      <selection activeCell="G12" sqref="G12"/>
    </sheetView>
  </sheetViews>
  <sheetFormatPr defaultRowHeight="14.5" x14ac:dyDescent="0.35"/>
  <cols>
    <col min="4" max="4" width="19.81640625" bestFit="1" customWidth="1"/>
    <col min="5" max="6" width="12.54296875" bestFit="1" customWidth="1"/>
    <col min="7" max="8" width="15.453125" bestFit="1" customWidth="1"/>
    <col min="9" max="9" width="12.453125" bestFit="1" customWidth="1"/>
  </cols>
  <sheetData>
    <row r="4" spans="4:8" x14ac:dyDescent="0.35">
      <c r="D4" s="13" t="s">
        <v>45</v>
      </c>
      <c r="E4" s="13" t="s">
        <v>46</v>
      </c>
      <c r="F4" s="13" t="s">
        <v>47</v>
      </c>
      <c r="G4" s="13" t="s">
        <v>48</v>
      </c>
      <c r="H4" s="13" t="s">
        <v>49</v>
      </c>
    </row>
    <row r="5" spans="4:8" x14ac:dyDescent="0.35">
      <c r="D5" s="14">
        <v>44927</v>
      </c>
      <c r="E5" s="15">
        <v>121992.33749999999</v>
      </c>
      <c r="F5" s="15">
        <v>409.8</v>
      </c>
      <c r="G5" s="15">
        <f>E5-F5</f>
        <v>121582.53749999999</v>
      </c>
      <c r="H5" s="15">
        <v>121582.53749999999</v>
      </c>
    </row>
    <row r="6" spans="4:8" x14ac:dyDescent="0.35">
      <c r="D6" s="14">
        <v>44958</v>
      </c>
      <c r="E6" s="18">
        <v>101474.94</v>
      </c>
      <c r="F6" s="15">
        <v>262.47000000000003</v>
      </c>
      <c r="G6" s="15">
        <f t="shared" ref="G6:G8" si="0">E6-F6</f>
        <v>101212.47</v>
      </c>
      <c r="H6" s="15">
        <v>101212.47</v>
      </c>
    </row>
    <row r="7" spans="4:8" x14ac:dyDescent="0.35">
      <c r="D7" s="14">
        <v>44986</v>
      </c>
      <c r="E7" s="18">
        <v>174219.99</v>
      </c>
      <c r="F7" s="15">
        <v>149.20500000000001</v>
      </c>
      <c r="G7" s="18">
        <f t="shared" si="0"/>
        <v>174070.785</v>
      </c>
      <c r="H7" s="15">
        <v>174070.785</v>
      </c>
    </row>
    <row r="8" spans="4:8" x14ac:dyDescent="0.35">
      <c r="D8" s="17" t="s">
        <v>53</v>
      </c>
      <c r="E8" s="18">
        <f>179669.25*2/30</f>
        <v>11977.95</v>
      </c>
      <c r="F8" s="15">
        <f>301.3875*2/30</f>
        <v>20.092499999999998</v>
      </c>
      <c r="G8" s="19">
        <f t="shared" si="0"/>
        <v>11957.8575</v>
      </c>
      <c r="H8" s="48">
        <f>179367.8625*2/30</f>
        <v>11957.8575</v>
      </c>
    </row>
    <row r="9" spans="4:8" x14ac:dyDescent="0.35">
      <c r="D9" s="13" t="s">
        <v>35</v>
      </c>
      <c r="E9" s="13">
        <f>SUM(E5:E8)</f>
        <v>409665.21749999997</v>
      </c>
      <c r="F9" s="13">
        <f>SUM(F5:F8)</f>
        <v>841.5675</v>
      </c>
      <c r="G9" s="13">
        <f>SUM(G5:G8)</f>
        <v>408823.64999999997</v>
      </c>
      <c r="H9" s="13">
        <f>SUM(H5:H8)</f>
        <v>408823.64999999997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D4:H9"/>
  <sheetViews>
    <sheetView topLeftCell="B1" workbookViewId="0">
      <selection activeCell="H9" sqref="H9"/>
    </sheetView>
  </sheetViews>
  <sheetFormatPr defaultRowHeight="14.5" x14ac:dyDescent="0.35"/>
  <cols>
    <col min="4" max="4" width="23.81640625" customWidth="1"/>
    <col min="5" max="6" width="12.54296875" bestFit="1" customWidth="1"/>
    <col min="7" max="8" width="15.453125" bestFit="1" customWidth="1"/>
    <col min="9" max="9" width="12.453125" bestFit="1" customWidth="1"/>
  </cols>
  <sheetData>
    <row r="4" spans="4:8" x14ac:dyDescent="0.35">
      <c r="D4" s="13" t="s">
        <v>45</v>
      </c>
      <c r="E4" s="13" t="s">
        <v>46</v>
      </c>
      <c r="F4" s="13" t="s">
        <v>47</v>
      </c>
      <c r="G4" s="13" t="s">
        <v>48</v>
      </c>
      <c r="H4" s="13" t="s">
        <v>49</v>
      </c>
    </row>
    <row r="5" spans="4:8" x14ac:dyDescent="0.35">
      <c r="D5" s="17">
        <v>44927</v>
      </c>
      <c r="E5" s="22">
        <v>109000.07137999999</v>
      </c>
      <c r="F5" s="22">
        <v>260.89724999999999</v>
      </c>
      <c r="G5" s="22">
        <f>E5-F5</f>
        <v>108739.17413</v>
      </c>
      <c r="H5" s="22">
        <v>108739.17413</v>
      </c>
    </row>
    <row r="6" spans="4:8" x14ac:dyDescent="0.35">
      <c r="D6" s="17">
        <v>44958</v>
      </c>
      <c r="E6" s="22">
        <v>78776.828999999998</v>
      </c>
      <c r="F6" s="22">
        <v>138.87413000000001</v>
      </c>
      <c r="G6" s="22">
        <f t="shared" ref="G6:G8" si="0">E6-F6</f>
        <v>78637.954870000001</v>
      </c>
      <c r="H6" s="22">
        <v>78637.954870000001</v>
      </c>
    </row>
    <row r="7" spans="4:8" x14ac:dyDescent="0.35">
      <c r="D7" s="17">
        <v>44986</v>
      </c>
      <c r="E7" s="22">
        <v>153355.74374999999</v>
      </c>
      <c r="F7" s="22">
        <v>83.53125</v>
      </c>
      <c r="G7" s="22">
        <f t="shared" si="0"/>
        <v>153272.21249999999</v>
      </c>
      <c r="H7" s="22">
        <v>153272.21249999999</v>
      </c>
    </row>
    <row r="8" spans="4:8" x14ac:dyDescent="0.35">
      <c r="D8" s="17" t="s">
        <v>53</v>
      </c>
      <c r="E8" s="23">
        <f>(159781.17*2)/30</f>
        <v>10652.078000000001</v>
      </c>
      <c r="F8" s="22">
        <f>(218.004*2)/30</f>
        <v>14.5336</v>
      </c>
      <c r="G8" s="23">
        <f t="shared" si="0"/>
        <v>10637.544400000001</v>
      </c>
      <c r="H8" s="42">
        <f>159563.166*2/30</f>
        <v>10637.544400000001</v>
      </c>
    </row>
    <row r="9" spans="4:8" x14ac:dyDescent="0.35">
      <c r="D9" s="21" t="s">
        <v>35</v>
      </c>
      <c r="E9" s="21">
        <f>SUM(E5:E8)</f>
        <v>351784.72213000001</v>
      </c>
      <c r="F9" s="21">
        <f>SUM(F5:F8)</f>
        <v>497.83623</v>
      </c>
      <c r="G9" s="21">
        <f>SUM(G5:G8)</f>
        <v>351286.88589999999</v>
      </c>
      <c r="H9" s="21">
        <f>SUM(H5:H8)</f>
        <v>351286.88589999999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D4:H9"/>
  <sheetViews>
    <sheetView topLeftCell="C1" workbookViewId="0">
      <selection activeCell="H9" sqref="H9"/>
    </sheetView>
  </sheetViews>
  <sheetFormatPr defaultRowHeight="14.5" x14ac:dyDescent="0.35"/>
  <cols>
    <col min="4" max="4" width="20.1796875" customWidth="1"/>
    <col min="5" max="5" width="13.54296875" bestFit="1" customWidth="1"/>
    <col min="6" max="6" width="12" bestFit="1" customWidth="1"/>
    <col min="7" max="7" width="15.453125" bestFit="1" customWidth="1"/>
    <col min="8" max="8" width="12.453125" bestFit="1" customWidth="1"/>
  </cols>
  <sheetData>
    <row r="4" spans="4:8" x14ac:dyDescent="0.35">
      <c r="D4" s="21" t="s">
        <v>45</v>
      </c>
      <c r="E4" s="21" t="s">
        <v>46</v>
      </c>
      <c r="F4" s="21" t="s">
        <v>47</v>
      </c>
      <c r="G4" s="21" t="s">
        <v>48</v>
      </c>
      <c r="H4" s="21" t="s">
        <v>49</v>
      </c>
    </row>
    <row r="5" spans="4:8" x14ac:dyDescent="0.35">
      <c r="D5" s="17">
        <v>44927</v>
      </c>
      <c r="E5" s="22">
        <v>106330.257</v>
      </c>
      <c r="F5" s="22">
        <v>387.09</v>
      </c>
      <c r="G5" s="23">
        <f t="shared" ref="G5:G8" si="0">E5-F5</f>
        <v>105943.167</v>
      </c>
      <c r="H5" s="22">
        <v>105943.167</v>
      </c>
    </row>
    <row r="6" spans="4:8" x14ac:dyDescent="0.35">
      <c r="D6" s="17">
        <v>44958</v>
      </c>
      <c r="E6" s="22">
        <v>85732.46888</v>
      </c>
      <c r="F6" s="22">
        <v>177.83887999999999</v>
      </c>
      <c r="G6" s="23">
        <f t="shared" si="0"/>
        <v>85554.63</v>
      </c>
      <c r="H6" s="22">
        <v>85554.63</v>
      </c>
    </row>
    <row r="7" spans="4:8" x14ac:dyDescent="0.35">
      <c r="D7" s="17">
        <v>44986</v>
      </c>
      <c r="E7" s="22">
        <v>152513.47349999999</v>
      </c>
      <c r="F7" s="22">
        <v>90.279750000000007</v>
      </c>
      <c r="G7" s="23">
        <f t="shared" si="0"/>
        <v>152423.19375000001</v>
      </c>
      <c r="H7" s="22">
        <v>152423.19375000001</v>
      </c>
    </row>
    <row r="8" spans="4:8" x14ac:dyDescent="0.35">
      <c r="D8" s="17" t="s">
        <v>53</v>
      </c>
      <c r="E8" s="24">
        <f>(143405.781*2)/30</f>
        <v>9560.3853999999992</v>
      </c>
      <c r="F8" s="22">
        <f>(184.167*2)/30</f>
        <v>12.277800000000001</v>
      </c>
      <c r="G8" s="23">
        <f t="shared" si="0"/>
        <v>9548.1075999999994</v>
      </c>
      <c r="H8" s="42">
        <f>143221.614*2/30</f>
        <v>9548.1075999999994</v>
      </c>
    </row>
    <row r="9" spans="4:8" x14ac:dyDescent="0.35">
      <c r="D9" s="21" t="s">
        <v>35</v>
      </c>
      <c r="E9" s="21">
        <f>SUM(E5:E8)</f>
        <v>354136.58478000003</v>
      </c>
      <c r="F9" s="21">
        <f>SUM(F5:F8)</f>
        <v>667.48642999999993</v>
      </c>
      <c r="G9" s="28">
        <f>SUM(G5:G8)</f>
        <v>353469.09834999999</v>
      </c>
      <c r="H9" s="21">
        <f>SUM(H5:H8)</f>
        <v>353469.09834999999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D4:H9"/>
  <sheetViews>
    <sheetView topLeftCell="B1" workbookViewId="0">
      <selection activeCell="H9" sqref="H9"/>
    </sheetView>
  </sheetViews>
  <sheetFormatPr defaultRowHeight="14.5" x14ac:dyDescent="0.35"/>
  <cols>
    <col min="4" max="4" width="20.81640625" customWidth="1"/>
    <col min="5" max="5" width="12.54296875" bestFit="1" customWidth="1"/>
    <col min="6" max="6" width="12" bestFit="1" customWidth="1"/>
    <col min="7" max="7" width="15.453125" bestFit="1" customWidth="1"/>
    <col min="8" max="8" width="13.81640625" customWidth="1"/>
  </cols>
  <sheetData>
    <row r="4" spans="4:8" x14ac:dyDescent="0.35">
      <c r="D4" s="13" t="s">
        <v>45</v>
      </c>
      <c r="E4" s="13" t="s">
        <v>46</v>
      </c>
      <c r="F4" s="13" t="s">
        <v>47</v>
      </c>
      <c r="G4" s="13" t="s">
        <v>48</v>
      </c>
      <c r="H4" s="13" t="s">
        <v>49</v>
      </c>
    </row>
    <row r="5" spans="4:8" x14ac:dyDescent="0.35">
      <c r="D5" s="17">
        <v>44927</v>
      </c>
      <c r="E5" s="22">
        <v>95953.106249999997</v>
      </c>
      <c r="F5" s="22">
        <v>349.3125</v>
      </c>
      <c r="G5" s="22">
        <f>E5-F5</f>
        <v>95603.793749999997</v>
      </c>
      <c r="H5" s="15">
        <v>95603.793749999997</v>
      </c>
    </row>
    <row r="6" spans="4:8" x14ac:dyDescent="0.35">
      <c r="D6" s="17">
        <v>44958</v>
      </c>
      <c r="E6" s="22">
        <v>74156.776880000005</v>
      </c>
      <c r="F6" s="22">
        <v>153.82687999999999</v>
      </c>
      <c r="G6" s="22">
        <f>E6-F6</f>
        <v>74002.950000000012</v>
      </c>
      <c r="H6" s="15">
        <v>74002.950000000012</v>
      </c>
    </row>
    <row r="7" spans="4:8" x14ac:dyDescent="0.35">
      <c r="D7" s="17">
        <v>44986</v>
      </c>
      <c r="E7" s="23">
        <v>144520.55775000001</v>
      </c>
      <c r="F7" s="22">
        <v>85.548379999999995</v>
      </c>
      <c r="G7" s="23">
        <f t="shared" ref="G7" si="0">E7-F7</f>
        <v>144435.00937000001</v>
      </c>
      <c r="H7" s="15">
        <v>144435.00937000001</v>
      </c>
    </row>
    <row r="8" spans="4:8" x14ac:dyDescent="0.35">
      <c r="D8" s="17" t="s">
        <v>53</v>
      </c>
      <c r="E8" s="23">
        <f>(123233.1015*2)/30</f>
        <v>8215.5401000000002</v>
      </c>
      <c r="F8" s="22">
        <f>(158.2605*2)/30</f>
        <v>10.550700000000001</v>
      </c>
      <c r="G8" s="23">
        <f>E8-F8</f>
        <v>8204.9894000000004</v>
      </c>
      <c r="H8" s="41">
        <f>123074.841*2/30</f>
        <v>8204.9894000000004</v>
      </c>
    </row>
    <row r="9" spans="4:8" x14ac:dyDescent="0.35">
      <c r="D9" s="13" t="s">
        <v>35</v>
      </c>
      <c r="E9" s="13">
        <f>SUM(E5:E8)</f>
        <v>322845.98097999999</v>
      </c>
      <c r="F9" s="13">
        <f>SUM(F5:F8)</f>
        <v>599.23845999999992</v>
      </c>
      <c r="G9" s="13">
        <f>SUM(G5:G8)</f>
        <v>322246.74252000003</v>
      </c>
      <c r="H9" s="13">
        <f>SUM(H5:H8)</f>
        <v>322246.74252000003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D4:H9"/>
  <sheetViews>
    <sheetView topLeftCell="B1" workbookViewId="0">
      <selection activeCell="H9" sqref="H9"/>
    </sheetView>
  </sheetViews>
  <sheetFormatPr defaultRowHeight="14.5" x14ac:dyDescent="0.35"/>
  <cols>
    <col min="4" max="4" width="20.453125" customWidth="1"/>
    <col min="5" max="5" width="15.54296875" customWidth="1"/>
    <col min="6" max="6" width="12" bestFit="1" customWidth="1"/>
    <col min="7" max="7" width="15.453125" bestFit="1" customWidth="1"/>
    <col min="8" max="8" width="12.453125" bestFit="1" customWidth="1"/>
  </cols>
  <sheetData>
    <row r="4" spans="4:8" x14ac:dyDescent="0.35">
      <c r="D4" s="21" t="s">
        <v>45</v>
      </c>
      <c r="E4" s="21" t="s">
        <v>46</v>
      </c>
      <c r="F4" s="21" t="s">
        <v>47</v>
      </c>
      <c r="G4" s="21" t="s">
        <v>48</v>
      </c>
      <c r="H4" s="21" t="s">
        <v>49</v>
      </c>
    </row>
    <row r="5" spans="4:8" x14ac:dyDescent="0.35">
      <c r="D5" s="17">
        <v>44927</v>
      </c>
      <c r="E5" s="22">
        <v>104482.27125000001</v>
      </c>
      <c r="F5" s="22">
        <v>380.36250000000001</v>
      </c>
      <c r="G5" s="22">
        <f>E5-F5</f>
        <v>104101.90875</v>
      </c>
      <c r="H5" s="22">
        <v>104101.90875</v>
      </c>
    </row>
    <row r="6" spans="4:8" x14ac:dyDescent="0.35">
      <c r="D6" s="17">
        <v>44958</v>
      </c>
      <c r="E6" s="22">
        <v>88023.491250000006</v>
      </c>
      <c r="F6" s="22">
        <v>182.59125</v>
      </c>
      <c r="G6" s="22">
        <f>E6-F6</f>
        <v>87840.900000000009</v>
      </c>
      <c r="H6" s="22">
        <v>87840.900000000009</v>
      </c>
    </row>
    <row r="7" spans="4:8" x14ac:dyDescent="0.35">
      <c r="D7" s="17">
        <v>44986</v>
      </c>
      <c r="E7" s="23">
        <v>154025.64675000001</v>
      </c>
      <c r="F7" s="22">
        <v>91.174880000000002</v>
      </c>
      <c r="G7" s="23">
        <f>E7-F7</f>
        <v>153934.47187000001</v>
      </c>
      <c r="H7" s="22">
        <v>153934.47187000001</v>
      </c>
    </row>
    <row r="8" spans="4:8" x14ac:dyDescent="0.35">
      <c r="D8" s="17" t="s">
        <v>53</v>
      </c>
      <c r="E8" s="23">
        <f>(141408.486*2)/30</f>
        <v>9427.2324000000008</v>
      </c>
      <c r="F8" s="22">
        <f>(181.602*2)/30</f>
        <v>12.1068</v>
      </c>
      <c r="G8" s="23">
        <f t="shared" ref="G8" si="0">E8-F8</f>
        <v>9415.1256000000012</v>
      </c>
      <c r="H8" s="42">
        <f>141226.884*2/30</f>
        <v>9415.1255999999994</v>
      </c>
    </row>
    <row r="9" spans="4:8" x14ac:dyDescent="0.35">
      <c r="D9" s="21" t="s">
        <v>35</v>
      </c>
      <c r="E9" s="21">
        <f>SUM(E5:E8)</f>
        <v>355958.64165000001</v>
      </c>
      <c r="F9" s="21">
        <f>SUM(F5:F8)</f>
        <v>666.23543000000006</v>
      </c>
      <c r="G9" s="21">
        <f>SUM(G5:G8)</f>
        <v>355292.40622000006</v>
      </c>
      <c r="H9" s="21">
        <f>SUM(H5:H8)</f>
        <v>355292.40622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D4:H9"/>
  <sheetViews>
    <sheetView topLeftCell="C1" workbookViewId="0">
      <selection activeCell="H9" sqref="H9"/>
    </sheetView>
  </sheetViews>
  <sheetFormatPr defaultRowHeight="14.5" x14ac:dyDescent="0.35"/>
  <cols>
    <col min="4" max="4" width="24.1796875" customWidth="1"/>
    <col min="5" max="5" width="14.1796875" customWidth="1"/>
    <col min="6" max="6" width="12" bestFit="1" customWidth="1"/>
    <col min="7" max="7" width="15.453125" bestFit="1" customWidth="1"/>
    <col min="8" max="8" width="12.453125" bestFit="1" customWidth="1"/>
  </cols>
  <sheetData>
    <row r="4" spans="4:8" x14ac:dyDescent="0.35">
      <c r="D4" s="21" t="s">
        <v>45</v>
      </c>
      <c r="E4" s="21" t="s">
        <v>46</v>
      </c>
      <c r="F4" s="21" t="s">
        <v>47</v>
      </c>
      <c r="G4" s="21" t="s">
        <v>48</v>
      </c>
      <c r="H4" s="21" t="s">
        <v>49</v>
      </c>
    </row>
    <row r="5" spans="4:8" x14ac:dyDescent="0.35">
      <c r="D5" s="17">
        <v>44927</v>
      </c>
      <c r="E5" s="22">
        <v>100786.29975000001</v>
      </c>
      <c r="F5" s="22">
        <v>366.90750000000003</v>
      </c>
      <c r="G5" s="22">
        <f>E5-F5</f>
        <v>100419.39225</v>
      </c>
      <c r="H5" s="22">
        <v>100419.39225</v>
      </c>
    </row>
    <row r="6" spans="4:8" x14ac:dyDescent="0.35">
      <c r="D6" s="17">
        <v>44958</v>
      </c>
      <c r="E6" s="22">
        <v>84767.827879999997</v>
      </c>
      <c r="F6" s="22">
        <v>175.83788000000001</v>
      </c>
      <c r="G6" s="22">
        <f t="shared" ref="G6:G7" si="0">E6-F6</f>
        <v>84591.989999999991</v>
      </c>
      <c r="H6" s="22">
        <v>84591.989999999991</v>
      </c>
    </row>
    <row r="7" spans="4:8" x14ac:dyDescent="0.35">
      <c r="D7" s="17">
        <v>44986</v>
      </c>
      <c r="E7" s="23">
        <v>153809.622</v>
      </c>
      <c r="F7" s="22">
        <v>91.046999999999997</v>
      </c>
      <c r="G7" s="23">
        <f t="shared" si="0"/>
        <v>153718.57500000001</v>
      </c>
      <c r="H7" s="22">
        <v>153718.57500000001</v>
      </c>
    </row>
    <row r="8" spans="4:8" x14ac:dyDescent="0.35">
      <c r="D8" s="17" t="s">
        <v>53</v>
      </c>
      <c r="E8" s="23">
        <f>(144004.9695*2)/30</f>
        <v>9600.3312999999998</v>
      </c>
      <c r="F8" s="22">
        <f>(184.9365*2)/30</f>
        <v>12.3291</v>
      </c>
      <c r="G8" s="23">
        <f>E8-F8</f>
        <v>9588.002199999999</v>
      </c>
      <c r="H8" s="42">
        <f>143820.033*2/30</f>
        <v>9588.002199999999</v>
      </c>
    </row>
    <row r="9" spans="4:8" x14ac:dyDescent="0.35">
      <c r="D9" s="21" t="s">
        <v>35</v>
      </c>
      <c r="E9" s="21">
        <f>SUM(E5:E8)</f>
        <v>348964.08093</v>
      </c>
      <c r="F9" s="21">
        <f>SUM(F5:F8)</f>
        <v>646.12148000000013</v>
      </c>
      <c r="G9" s="21">
        <f>SUM(G5:G8)</f>
        <v>348317.95944999997</v>
      </c>
      <c r="H9" s="21">
        <f>SUM(H5:H8)</f>
        <v>348317.95944999997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D4:H9"/>
  <sheetViews>
    <sheetView workbookViewId="0">
      <selection activeCell="H9" sqref="H9"/>
    </sheetView>
  </sheetViews>
  <sheetFormatPr defaultRowHeight="14.5" x14ac:dyDescent="0.35"/>
  <cols>
    <col min="4" max="4" width="22.54296875" customWidth="1"/>
    <col min="5" max="5" width="12.54296875" bestFit="1" customWidth="1"/>
    <col min="6" max="6" width="12" bestFit="1" customWidth="1"/>
    <col min="7" max="7" width="15.453125" bestFit="1" customWidth="1"/>
    <col min="8" max="8" width="12.453125" bestFit="1" customWidth="1"/>
  </cols>
  <sheetData>
    <row r="4" spans="4:8" x14ac:dyDescent="0.35">
      <c r="D4" s="21" t="s">
        <v>45</v>
      </c>
      <c r="E4" s="21" t="s">
        <v>46</v>
      </c>
      <c r="F4" s="21" t="s">
        <v>47</v>
      </c>
      <c r="G4" s="21" t="s">
        <v>48</v>
      </c>
      <c r="H4" s="21" t="s">
        <v>49</v>
      </c>
    </row>
    <row r="5" spans="4:8" x14ac:dyDescent="0.35">
      <c r="D5" s="17">
        <v>44927</v>
      </c>
      <c r="E5" s="22">
        <v>92114.982000000004</v>
      </c>
      <c r="F5" s="22">
        <v>335.34</v>
      </c>
      <c r="G5" s="22">
        <f>E5-F5</f>
        <v>91779.642000000007</v>
      </c>
      <c r="H5" s="22">
        <v>91779.642000000007</v>
      </c>
    </row>
    <row r="6" spans="4:8" x14ac:dyDescent="0.35">
      <c r="D6" s="17">
        <v>44958</v>
      </c>
      <c r="E6" s="22">
        <v>84647.247749999995</v>
      </c>
      <c r="F6" s="22">
        <v>175.58775</v>
      </c>
      <c r="G6" s="22">
        <f>E6-F6</f>
        <v>84471.659999999989</v>
      </c>
      <c r="H6" s="22">
        <v>84471.659999999989</v>
      </c>
    </row>
    <row r="7" spans="4:8" x14ac:dyDescent="0.35">
      <c r="D7" s="17">
        <v>44986</v>
      </c>
      <c r="E7" s="23">
        <v>159858.315</v>
      </c>
      <c r="F7" s="22">
        <v>94.627499999999998</v>
      </c>
      <c r="G7" s="22">
        <f t="shared" ref="G7:G8" si="0">E7-F7</f>
        <v>159763.6875</v>
      </c>
      <c r="H7" s="22">
        <v>159763.6875</v>
      </c>
    </row>
    <row r="8" spans="4:8" x14ac:dyDescent="0.35">
      <c r="D8" s="17" t="s">
        <v>53</v>
      </c>
      <c r="E8" s="23">
        <f>(147200.6415*2)/30</f>
        <v>9813.3760999999995</v>
      </c>
      <c r="F8" s="22">
        <f>(189.0405*2)/30</f>
        <v>12.6027</v>
      </c>
      <c r="G8" s="23">
        <f t="shared" si="0"/>
        <v>9800.7734</v>
      </c>
      <c r="H8" s="42">
        <f>147011.601*2/30</f>
        <v>9800.7734</v>
      </c>
    </row>
    <row r="9" spans="4:8" x14ac:dyDescent="0.35">
      <c r="D9" s="21" t="s">
        <v>35</v>
      </c>
      <c r="E9" s="21">
        <f>SUM(E5:E8)</f>
        <v>346433.92084999999</v>
      </c>
      <c r="F9" s="21">
        <f>SUM(F5:F8)</f>
        <v>618.15794999999991</v>
      </c>
      <c r="G9" s="21">
        <f>SUM(G5:G8)</f>
        <v>345815.76290000003</v>
      </c>
      <c r="H9" s="21">
        <f>SUM(H5:H8)</f>
        <v>345815.76290000003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b84f3dbf-cec3-400b-b9b9-59e76ca99127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3F29E3C9C5AEC4F96EB8FC3F7D79EF0" ma:contentTypeVersion="14" ma:contentTypeDescription="Create a new document." ma:contentTypeScope="" ma:versionID="393d54ec588e0eb0be0cb94b07a64238">
  <xsd:schema xmlns:xsd="http://www.w3.org/2001/XMLSchema" xmlns:xs="http://www.w3.org/2001/XMLSchema" xmlns:p="http://schemas.microsoft.com/office/2006/metadata/properties" xmlns:ns3="b84f3dbf-cec3-400b-b9b9-59e76ca99127" xmlns:ns4="fee99f23-f5c5-422f-a6f7-218bb9010ac0" targetNamespace="http://schemas.microsoft.com/office/2006/metadata/properties" ma:root="true" ma:fieldsID="90f176ac4d36264991d40df5983ef733" ns3:_="" ns4:_="">
    <xsd:import namespace="b84f3dbf-cec3-400b-b9b9-59e76ca99127"/>
    <xsd:import namespace="fee99f23-f5c5-422f-a6f7-218bb9010ac0"/>
    <xsd:element name="properties">
      <xsd:complexType>
        <xsd:sequence>
          <xsd:element name="documentManagement">
            <xsd:complexType>
              <xsd:all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SystemTags" minOccurs="0"/>
                <xsd:element ref="ns3:MediaServiceDateTaken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4f3dbf-cec3-400b-b9b9-59e76ca99127" elementFormDefault="qualified">
    <xsd:import namespace="http://schemas.microsoft.com/office/2006/documentManagement/types"/>
    <xsd:import namespace="http://schemas.microsoft.com/office/infopath/2007/PartnerControls"/>
    <xsd:element name="_activity" ma:index="8" nillable="true" ma:displayName="_activity" ma:hidden="true" ma:internalName="_activity">
      <xsd:simpleType>
        <xsd:restriction base="dms:Note"/>
      </xsd:simpleType>
    </xsd:element>
    <xsd:element name="MediaServiceMetadata" ma:index="12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ystemTags" ma:index="19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e99f23-f5c5-422f-a6f7-218bb9010ac0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1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C39C1C5-CB28-4DFB-B318-4E117E168ED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7ACE4E1-E45F-4B78-8294-A43837886435}">
  <ds:schemaRefs>
    <ds:schemaRef ds:uri="http://purl.org/dc/dcmitype/"/>
    <ds:schemaRef ds:uri="http://schemas.microsoft.com/office/2006/documentManagement/types"/>
    <ds:schemaRef ds:uri="fee99f23-f5c5-422f-a6f7-218bb9010ac0"/>
    <ds:schemaRef ds:uri="http://schemas.microsoft.com/office/2006/metadata/properties"/>
    <ds:schemaRef ds:uri="http://schemas.openxmlformats.org/package/2006/metadata/core-properties"/>
    <ds:schemaRef ds:uri="http://purl.org/dc/terms/"/>
    <ds:schemaRef ds:uri="http://purl.org/dc/elements/1.1/"/>
    <ds:schemaRef ds:uri="http://www.w3.org/XML/1998/namespace"/>
    <ds:schemaRef ds:uri="http://schemas.microsoft.com/office/infopath/2007/PartnerControls"/>
    <ds:schemaRef ds:uri="b84f3dbf-cec3-400b-b9b9-59e76ca99127"/>
  </ds:schemaRefs>
</ds:datastoreItem>
</file>

<file path=customXml/itemProps3.xml><?xml version="1.0" encoding="utf-8"?>
<ds:datastoreItem xmlns:ds="http://schemas.openxmlformats.org/officeDocument/2006/customXml" ds:itemID="{FC7DACD3-F0A3-4178-8C4C-2ACD040A1D1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4f3dbf-cec3-400b-b9b9-59e76ca99127"/>
    <ds:schemaRef ds:uri="fee99f23-f5c5-422f-a6f7-218bb9010ac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34</vt:i4>
      </vt:variant>
    </vt:vector>
  </HeadingPairs>
  <TitlesOfParts>
    <vt:vector size="34" baseType="lpstr">
      <vt:lpstr>Summary</vt:lpstr>
      <vt:lpstr>VASP-564 </vt:lpstr>
      <vt:lpstr>VASP III 525</vt:lpstr>
      <vt:lpstr>VASP III 689 </vt:lpstr>
      <vt:lpstr>VASP-15</vt:lpstr>
      <vt:lpstr>VASP-29 </vt:lpstr>
      <vt:lpstr>VASP-09</vt:lpstr>
      <vt:lpstr>VASP-64</vt:lpstr>
      <vt:lpstr>VASP-35 </vt:lpstr>
      <vt:lpstr>VASP-49 </vt:lpstr>
      <vt:lpstr>VASP-394</vt:lpstr>
      <vt:lpstr>VASP-450 </vt:lpstr>
      <vt:lpstr>VASP III 26</vt:lpstr>
      <vt:lpstr>VASP III 397 </vt:lpstr>
      <vt:lpstr>VASP III 58 </vt:lpstr>
      <vt:lpstr>VASP III 108</vt:lpstr>
      <vt:lpstr>VASP III 424 </vt:lpstr>
      <vt:lpstr>VASP-21 </vt:lpstr>
      <vt:lpstr>VASP-72 </vt:lpstr>
      <vt:lpstr>VASP-142</vt:lpstr>
      <vt:lpstr>VASP-510 </vt:lpstr>
      <vt:lpstr>VASP-637</vt:lpstr>
      <vt:lpstr>VASP-696 </vt:lpstr>
      <vt:lpstr>VASP III 384V </vt:lpstr>
      <vt:lpstr>VASP III 440</vt:lpstr>
      <vt:lpstr>VASP III 698</vt:lpstr>
      <vt:lpstr>VASP 237</vt:lpstr>
      <vt:lpstr>VASP III 388</vt:lpstr>
      <vt:lpstr>VASP III 387 </vt:lpstr>
      <vt:lpstr>VAPS III 463 </vt:lpstr>
      <vt:lpstr>VAPS III 700_1 </vt:lpstr>
      <vt:lpstr>VAPS III 105</vt:lpstr>
      <vt:lpstr>VASP III 355</vt:lpstr>
      <vt:lpstr>VASP-92 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hp</dc:creator>
  <cp:keywords/>
  <dc:description/>
  <cp:lastModifiedBy>GauravKu Singh</cp:lastModifiedBy>
  <cp:revision/>
  <dcterms:created xsi:type="dcterms:W3CDTF">2022-07-27T08:58:42Z</dcterms:created>
  <dcterms:modified xsi:type="dcterms:W3CDTF">2024-08-06T12:49:16Z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0x01010013F29E3C9C5AEC4F96EB8FC3F7D79EF0</vt:lpwstr>
  </property>
</Properties>
</file>