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3.xml" ContentType="application/vnd.openxmlformats-officedocument.drawing+xml"/>
  <Override PartName="/xl/comments8.xml" ContentType="application/vnd.openxmlformats-officedocument.spreadsheetml.comments+xml"/>
  <Override PartName="/xl/drawings/drawing4.xml" ContentType="application/vnd.openxmlformats-officedocument.drawing+xml"/>
  <Override PartName="/xl/comments9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0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tul Takarkhede\01 Applus Work\04 VCS VERIFICATIONS\Essel Mining-1497_A+45522\5. Technical Review\"/>
    </mc:Choice>
  </mc:AlternateContent>
  <xr:revisionPtr revIDLastSave="0" documentId="13_ncr:1_{5F446AA2-5518-4CA0-A850-01BDBB3FD68B}" xr6:coauthVersionLast="47" xr6:coauthVersionMax="47" xr10:uidLastSave="{00000000-0000-0000-0000-000000000000}"/>
  <bookViews>
    <workbookView xWindow="-108" yWindow="-108" windowWidth="23256" windowHeight="12456" firstSheet="12" activeTab="12" xr2:uid="{00000000-000D-0000-FFFF-FFFF00000000}"/>
  </bookViews>
  <sheets>
    <sheet name="Pending" sheetId="25" state="hidden" r:id="rId1"/>
    <sheet name="Instance - 1 _Bhadla_" sheetId="1" r:id="rId2"/>
    <sheet name="Instance - 2 _Achempet_" sheetId="3" r:id="rId3"/>
    <sheet name="Instance - 3 _Kalwakurthy_" sheetId="4" r:id="rId4"/>
    <sheet name="Instance - 4 _Salakpur_mutsyal" sheetId="5" r:id="rId5"/>
    <sheet name="Instance - 5 _Alladurg_" sheetId="7" r:id="rId6"/>
    <sheet name="Instance - 6 _Karnataka_" sheetId="8" r:id="rId7"/>
    <sheet name="Instance - 7 _Bijapur_ 6_8 MW" sheetId="10" r:id="rId8"/>
    <sheet name="Instance - 8 _Hotgi_" sheetId="12" r:id="rId9"/>
    <sheet name="Instance - 9 _Gotan_" sheetId="14" r:id="rId10"/>
    <sheet name="Instance - 10 _Sevagram" sheetId="16" r:id="rId11"/>
    <sheet name="Instance - 11 _Pune_" sheetId="18" r:id="rId12"/>
    <sheet name="ER Calculation" sheetId="20" r:id="rId13"/>
    <sheet name="Calibration" sheetId="26" r:id="rId14"/>
    <sheet name="Sheet1" sheetId="2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27" l="1"/>
  <c r="G17" i="27"/>
  <c r="E18" i="27"/>
  <c r="E17" i="27"/>
  <c r="E22" i="27"/>
  <c r="E21" i="27"/>
  <c r="C19" i="27"/>
  <c r="K15" i="20"/>
  <c r="D42" i="20"/>
  <c r="S40" i="14" l="1"/>
  <c r="Q37" i="14"/>
  <c r="S39" i="14" s="1"/>
  <c r="S41" i="14" l="1"/>
  <c r="E20" i="14" s="1"/>
  <c r="W40" i="4" l="1"/>
  <c r="E20" i="4"/>
  <c r="U37" i="3"/>
  <c r="E20" i="3"/>
  <c r="F19" i="1" l="1"/>
  <c r="E19" i="1"/>
  <c r="H27" i="5" l="1"/>
  <c r="U37" i="4"/>
  <c r="R40" i="4"/>
  <c r="P37" i="4"/>
  <c r="H22" i="3"/>
  <c r="U37" i="16" l="1"/>
  <c r="W39" i="16" s="1"/>
  <c r="W41" i="16" s="1"/>
  <c r="W40" i="16"/>
  <c r="R40" i="18"/>
  <c r="P37" i="18"/>
  <c r="R39" i="18" s="1"/>
  <c r="R40" i="16"/>
  <c r="R41" i="16" s="1"/>
  <c r="P37" i="16"/>
  <c r="R39" i="16" s="1"/>
  <c r="R40" i="12"/>
  <c r="P37" i="12"/>
  <c r="R39" i="12" s="1"/>
  <c r="V40" i="7"/>
  <c r="T37" i="7"/>
  <c r="Q40" i="7"/>
  <c r="O37" i="7"/>
  <c r="W40" i="3"/>
  <c r="R40" i="3"/>
  <c r="P37" i="3"/>
  <c r="R41" i="12" l="1"/>
  <c r="E4" i="12"/>
  <c r="R41" i="18"/>
  <c r="E4" i="18" s="1"/>
  <c r="E4" i="16"/>
  <c r="Q39" i="7" l="1"/>
  <c r="Q41" i="7" s="1"/>
  <c r="E4" i="7" s="1"/>
  <c r="V39" i="7"/>
  <c r="V41" i="7" s="1"/>
  <c r="H22" i="5"/>
  <c r="G21" i="5"/>
  <c r="Q39" i="5"/>
  <c r="Q40" i="5" s="1"/>
  <c r="E4" i="5" s="1"/>
  <c r="O36" i="5"/>
  <c r="Q38" i="5" s="1"/>
  <c r="R39" i="4"/>
  <c r="W39" i="4"/>
  <c r="W41" i="4" s="1"/>
  <c r="E21" i="4" s="1"/>
  <c r="G21" i="4" s="1"/>
  <c r="I21" i="4" s="1"/>
  <c r="K21" i="4" s="1"/>
  <c r="R39" i="3"/>
  <c r="R41" i="3" s="1"/>
  <c r="E4" i="3" s="1"/>
  <c r="W39" i="3"/>
  <c r="W41" i="3" s="1"/>
  <c r="E21" i="3" s="1"/>
  <c r="G21" i="3" s="1"/>
  <c r="I21" i="3" s="1"/>
  <c r="K21" i="3" s="1"/>
  <c r="E20" i="7" l="1"/>
  <c r="E21" i="7"/>
  <c r="G21" i="7" s="1"/>
  <c r="I21" i="7" s="1"/>
  <c r="K21" i="7" s="1"/>
  <c r="R41" i="4"/>
  <c r="E4" i="4" s="1"/>
  <c r="I21" i="5"/>
  <c r="G20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I4" i="3"/>
  <c r="G12" i="7"/>
  <c r="E9" i="5"/>
  <c r="F8" i="4"/>
  <c r="G8" i="4" s="1"/>
  <c r="I8" i="4" s="1"/>
  <c r="K8" i="4" s="1"/>
  <c r="G22" i="3" l="1"/>
  <c r="G18" i="1"/>
  <c r="G19" i="1"/>
  <c r="G89" i="8"/>
  <c r="H89" i="8" s="1"/>
  <c r="J89" i="8" s="1"/>
  <c r="L89" i="8" s="1"/>
  <c r="G90" i="8"/>
  <c r="H90" i="8" s="1"/>
  <c r="J90" i="8" s="1"/>
  <c r="L90" i="8" s="1"/>
  <c r="G18" i="5"/>
  <c r="I18" i="5" s="1"/>
  <c r="K18" i="5" s="1"/>
  <c r="G19" i="5"/>
  <c r="I19" i="5" s="1"/>
  <c r="K19" i="5" s="1"/>
  <c r="I19" i="1" l="1"/>
  <c r="K19" i="1" s="1"/>
  <c r="I18" i="1"/>
  <c r="K18" i="1" s="1"/>
  <c r="I4" i="14"/>
  <c r="H4" i="14"/>
  <c r="M7" i="20"/>
  <c r="J4" i="14" l="1"/>
  <c r="I14" i="18"/>
  <c r="I15" i="18"/>
  <c r="I16" i="18"/>
  <c r="I17" i="18"/>
  <c r="I18" i="18"/>
  <c r="I19" i="18"/>
  <c r="I20" i="18"/>
  <c r="H14" i="18"/>
  <c r="J14" i="18" s="1"/>
  <c r="L14" i="18" s="1"/>
  <c r="H15" i="18"/>
  <c r="J15" i="18" s="1"/>
  <c r="L15" i="18" s="1"/>
  <c r="H16" i="18"/>
  <c r="J16" i="18" s="1"/>
  <c r="L16" i="18" s="1"/>
  <c r="H17" i="18"/>
  <c r="J17" i="18" s="1"/>
  <c r="L17" i="18" s="1"/>
  <c r="H18" i="18"/>
  <c r="J18" i="18" s="1"/>
  <c r="L18" i="18" s="1"/>
  <c r="H19" i="18"/>
  <c r="J19" i="18" s="1"/>
  <c r="L19" i="18" s="1"/>
  <c r="H20" i="18"/>
  <c r="J20" i="18" s="1"/>
  <c r="L20" i="18" s="1"/>
  <c r="I16" i="16"/>
  <c r="I17" i="16"/>
  <c r="I18" i="16"/>
  <c r="I19" i="16"/>
  <c r="I20" i="16"/>
  <c r="H16" i="16"/>
  <c r="J16" i="16" s="1"/>
  <c r="L16" i="16" s="1"/>
  <c r="H17" i="16"/>
  <c r="J17" i="16" s="1"/>
  <c r="L17" i="16" s="1"/>
  <c r="H18" i="16"/>
  <c r="J18" i="16" s="1"/>
  <c r="L18" i="16" s="1"/>
  <c r="H19" i="16"/>
  <c r="J19" i="16" s="1"/>
  <c r="L19" i="16" s="1"/>
  <c r="H20" i="16"/>
  <c r="J20" i="16" s="1"/>
  <c r="L20" i="16" s="1"/>
  <c r="I10" i="14" l="1"/>
  <c r="I11" i="14"/>
  <c r="I12" i="14"/>
  <c r="I13" i="14"/>
  <c r="I14" i="14"/>
  <c r="I15" i="14"/>
  <c r="I16" i="14"/>
  <c r="I17" i="14"/>
  <c r="I18" i="14"/>
  <c r="I19" i="14"/>
  <c r="I20" i="14"/>
  <c r="H10" i="14"/>
  <c r="H11" i="14"/>
  <c r="H12" i="14"/>
  <c r="H13" i="14"/>
  <c r="H14" i="14"/>
  <c r="H15" i="14"/>
  <c r="H16" i="14"/>
  <c r="H17" i="14"/>
  <c r="H18" i="14"/>
  <c r="H19" i="14"/>
  <c r="H20" i="14"/>
  <c r="I7" i="12"/>
  <c r="I15" i="12"/>
  <c r="I16" i="12"/>
  <c r="I17" i="12"/>
  <c r="I18" i="12"/>
  <c r="I19" i="12"/>
  <c r="H15" i="12"/>
  <c r="J15" i="12" s="1"/>
  <c r="L15" i="12" s="1"/>
  <c r="H16" i="12"/>
  <c r="J16" i="12" s="1"/>
  <c r="L16" i="12" s="1"/>
  <c r="H17" i="12"/>
  <c r="J17" i="12" s="1"/>
  <c r="L17" i="12" s="1"/>
  <c r="H18" i="12"/>
  <c r="J18" i="12" s="1"/>
  <c r="L18" i="12" s="1"/>
  <c r="H19" i="12"/>
  <c r="J19" i="12" s="1"/>
  <c r="L19" i="12" s="1"/>
  <c r="H20" i="12"/>
  <c r="G19" i="10"/>
  <c r="H19" i="10" s="1"/>
  <c r="J19" i="10" s="1"/>
  <c r="L19" i="10" s="1"/>
  <c r="G20" i="10"/>
  <c r="H20" i="10" s="1"/>
  <c r="J20" i="10" s="1"/>
  <c r="L20" i="10" s="1"/>
  <c r="G21" i="10"/>
  <c r="H21" i="10" s="1"/>
  <c r="J21" i="10" s="1"/>
  <c r="L21" i="10" s="1"/>
  <c r="G84" i="8"/>
  <c r="H84" i="8" s="1"/>
  <c r="J84" i="8" s="1"/>
  <c r="G85" i="8"/>
  <c r="H85" i="8" s="1"/>
  <c r="J85" i="8" s="1"/>
  <c r="L85" i="8" s="1"/>
  <c r="G86" i="8"/>
  <c r="H86" i="8" s="1"/>
  <c r="J86" i="8" s="1"/>
  <c r="L86" i="8" s="1"/>
  <c r="G87" i="8"/>
  <c r="H87" i="8" s="1"/>
  <c r="J87" i="8" s="1"/>
  <c r="L87" i="8" s="1"/>
  <c r="G88" i="8"/>
  <c r="H88" i="8" s="1"/>
  <c r="J88" i="8" s="1"/>
  <c r="L88" i="8" s="1"/>
  <c r="G91" i="8"/>
  <c r="G19" i="8"/>
  <c r="H19" i="8" s="1"/>
  <c r="J19" i="8" s="1"/>
  <c r="L19" i="8" s="1"/>
  <c r="G20" i="8"/>
  <c r="H20" i="8" s="1"/>
  <c r="J20" i="8" s="1"/>
  <c r="L20" i="8" s="1"/>
  <c r="G21" i="8"/>
  <c r="H21" i="8" s="1"/>
  <c r="J21" i="8" s="1"/>
  <c r="L21" i="8" s="1"/>
  <c r="G42" i="8"/>
  <c r="H42" i="8" s="1"/>
  <c r="J42" i="8" s="1"/>
  <c r="L42" i="8" s="1"/>
  <c r="G43" i="8"/>
  <c r="H43" i="8" s="1"/>
  <c r="J43" i="8" s="1"/>
  <c r="L43" i="8" s="1"/>
  <c r="G44" i="8"/>
  <c r="H44" i="8" s="1"/>
  <c r="J44" i="8" s="1"/>
  <c r="L44" i="8" s="1"/>
  <c r="G19" i="7"/>
  <c r="I19" i="7" s="1"/>
  <c r="K19" i="7" s="1"/>
  <c r="G20" i="7"/>
  <c r="I20" i="7" s="1"/>
  <c r="K20" i="7" s="1"/>
  <c r="G65" i="8"/>
  <c r="H65" i="8" s="1"/>
  <c r="J65" i="8" s="1"/>
  <c r="L65" i="8" s="1"/>
  <c r="G66" i="8"/>
  <c r="H66" i="8" s="1"/>
  <c r="J66" i="8" s="1"/>
  <c r="L66" i="8" s="1"/>
  <c r="G67" i="8"/>
  <c r="H67" i="8" s="1"/>
  <c r="J67" i="8" s="1"/>
  <c r="L67" i="8" s="1"/>
  <c r="G18" i="7"/>
  <c r="I18" i="7" s="1"/>
  <c r="K18" i="7" s="1"/>
  <c r="G17" i="7"/>
  <c r="I17" i="7" s="1"/>
  <c r="K17" i="7" s="1"/>
  <c r="J14" i="14" l="1"/>
  <c r="L14" i="14" s="1"/>
  <c r="J17" i="14"/>
  <c r="L17" i="14" s="1"/>
  <c r="J13" i="14"/>
  <c r="L13" i="14" s="1"/>
  <c r="J20" i="14"/>
  <c r="L20" i="14" s="1"/>
  <c r="J16" i="14"/>
  <c r="L16" i="14" s="1"/>
  <c r="J12" i="14"/>
  <c r="L12" i="14" s="1"/>
  <c r="J18" i="14"/>
  <c r="L18" i="14" s="1"/>
  <c r="J10" i="14"/>
  <c r="L10" i="14" s="1"/>
  <c r="J19" i="14"/>
  <c r="L19" i="14" s="1"/>
  <c r="J15" i="14"/>
  <c r="L15" i="14" s="1"/>
  <c r="J11" i="14"/>
  <c r="L11" i="14" s="1"/>
  <c r="H13" i="4"/>
  <c r="H22" i="4" s="1"/>
  <c r="G18" i="4"/>
  <c r="I18" i="4" s="1"/>
  <c r="K18" i="4" s="1"/>
  <c r="G19" i="4"/>
  <c r="I19" i="4" s="1"/>
  <c r="K19" i="4" s="1"/>
  <c r="G20" i="4"/>
  <c r="G17" i="1"/>
  <c r="M13" i="14" l="1"/>
  <c r="N13" i="14" s="1"/>
  <c r="I20" i="4"/>
  <c r="I17" i="1"/>
  <c r="K17" i="1" s="1"/>
  <c r="I19" i="3"/>
  <c r="K19" i="3" s="1"/>
  <c r="I18" i="3"/>
  <c r="K18" i="3" s="1"/>
  <c r="E24" i="1"/>
  <c r="G13" i="20"/>
  <c r="G15" i="20"/>
  <c r="K20" i="4" l="1"/>
  <c r="G4" i="5"/>
  <c r="I4" i="5" l="1"/>
  <c r="K4" i="5" s="1"/>
  <c r="I92" i="8"/>
  <c r="I69" i="8"/>
  <c r="I46" i="8"/>
  <c r="I23" i="8"/>
  <c r="H22" i="7" l="1"/>
  <c r="H21" i="1"/>
  <c r="I5" i="18"/>
  <c r="I6" i="18"/>
  <c r="I7" i="18"/>
  <c r="I8" i="18"/>
  <c r="I9" i="18"/>
  <c r="I10" i="18"/>
  <c r="I11" i="18"/>
  <c r="I12" i="18"/>
  <c r="I13" i="18"/>
  <c r="H4" i="18"/>
  <c r="I4" i="18"/>
  <c r="I5" i="16"/>
  <c r="I6" i="16"/>
  <c r="I7" i="16"/>
  <c r="I8" i="16"/>
  <c r="I9" i="16"/>
  <c r="I10" i="16"/>
  <c r="I11" i="16"/>
  <c r="I12" i="16"/>
  <c r="I13" i="16"/>
  <c r="I14" i="16"/>
  <c r="I15" i="16"/>
  <c r="H5" i="16"/>
  <c r="I4" i="16"/>
  <c r="I5" i="14"/>
  <c r="I6" i="14"/>
  <c r="I7" i="14"/>
  <c r="I8" i="14"/>
  <c r="I9" i="14"/>
  <c r="L4" i="14"/>
  <c r="I5" i="12"/>
  <c r="I6" i="12"/>
  <c r="I8" i="12"/>
  <c r="I9" i="12"/>
  <c r="I10" i="12"/>
  <c r="I11" i="12"/>
  <c r="I12" i="12"/>
  <c r="I13" i="12"/>
  <c r="I14" i="12"/>
  <c r="I20" i="12"/>
  <c r="I4" i="12"/>
  <c r="H5" i="12"/>
  <c r="H4" i="12"/>
  <c r="I23" i="10"/>
  <c r="G7" i="10"/>
  <c r="H7" i="10" s="1"/>
  <c r="G8" i="10"/>
  <c r="G9" i="10"/>
  <c r="G10" i="10"/>
  <c r="G11" i="10"/>
  <c r="G12" i="10"/>
  <c r="G13" i="10"/>
  <c r="G14" i="10"/>
  <c r="G15" i="10"/>
  <c r="G16" i="10"/>
  <c r="G17" i="10"/>
  <c r="G18" i="10"/>
  <c r="G22" i="10"/>
  <c r="I21" i="16" l="1"/>
  <c r="I21" i="14"/>
  <c r="I21" i="12"/>
  <c r="I21" i="18"/>
  <c r="G5" i="7" l="1"/>
  <c r="G6" i="7"/>
  <c r="I6" i="7" s="1"/>
  <c r="K6" i="7" s="1"/>
  <c r="G7" i="7"/>
  <c r="G8" i="7"/>
  <c r="G9" i="7"/>
  <c r="G10" i="7"/>
  <c r="G11" i="7"/>
  <c r="G13" i="7"/>
  <c r="G14" i="7"/>
  <c r="G15" i="7"/>
  <c r="G16" i="7"/>
  <c r="G6" i="4"/>
  <c r="I6" i="4" s="1"/>
  <c r="K6" i="4" s="1"/>
  <c r="G7" i="4"/>
  <c r="I7" i="4" s="1"/>
  <c r="K7" i="4" s="1"/>
  <c r="G9" i="4"/>
  <c r="G10" i="4"/>
  <c r="G11" i="4"/>
  <c r="G12" i="4"/>
  <c r="G13" i="4"/>
  <c r="G14" i="4"/>
  <c r="G15" i="4"/>
  <c r="G16" i="4"/>
  <c r="G17" i="4"/>
  <c r="I5" i="3"/>
  <c r="I8" i="3"/>
  <c r="I9" i="3"/>
  <c r="I10" i="3"/>
  <c r="I11" i="3"/>
  <c r="I12" i="3"/>
  <c r="I13" i="3"/>
  <c r="I14" i="3"/>
  <c r="I15" i="3"/>
  <c r="I16" i="3"/>
  <c r="I17" i="3"/>
  <c r="I20" i="3"/>
  <c r="I7" i="3" l="1"/>
  <c r="K7" i="3" s="1"/>
  <c r="I6" i="3"/>
  <c r="K6" i="3" s="1"/>
  <c r="H5" i="18"/>
  <c r="H6" i="18"/>
  <c r="J6" i="18" s="1"/>
  <c r="L6" i="18" s="1"/>
  <c r="H7" i="18"/>
  <c r="J7" i="18" s="1"/>
  <c r="L7" i="18" s="1"/>
  <c r="H8" i="18"/>
  <c r="J8" i="18" s="1"/>
  <c r="L8" i="18" s="1"/>
  <c r="H9" i="18"/>
  <c r="J9" i="18" s="1"/>
  <c r="L9" i="18" s="1"/>
  <c r="H10" i="18"/>
  <c r="J10" i="18" s="1"/>
  <c r="L10" i="18" s="1"/>
  <c r="H11" i="18"/>
  <c r="J11" i="18" s="1"/>
  <c r="L11" i="18" s="1"/>
  <c r="H12" i="18"/>
  <c r="J12" i="18" s="1"/>
  <c r="L12" i="18" s="1"/>
  <c r="H13" i="18"/>
  <c r="J13" i="18" s="1"/>
  <c r="L13" i="18" s="1"/>
  <c r="M13" i="18" s="1"/>
  <c r="N13" i="18" s="1"/>
  <c r="J5" i="16"/>
  <c r="L5" i="16" s="1"/>
  <c r="H6" i="16"/>
  <c r="J6" i="16" s="1"/>
  <c r="L6" i="16" s="1"/>
  <c r="H7" i="16"/>
  <c r="H8" i="16"/>
  <c r="J8" i="16" s="1"/>
  <c r="L8" i="16" s="1"/>
  <c r="H9" i="16"/>
  <c r="J9" i="16" s="1"/>
  <c r="L9" i="16" s="1"/>
  <c r="H10" i="16"/>
  <c r="J10" i="16" s="1"/>
  <c r="L10" i="16" s="1"/>
  <c r="H11" i="16"/>
  <c r="J11" i="16" s="1"/>
  <c r="L11" i="16" s="1"/>
  <c r="H12" i="16"/>
  <c r="J12" i="16" s="1"/>
  <c r="L12" i="16" s="1"/>
  <c r="H13" i="16"/>
  <c r="J13" i="16" s="1"/>
  <c r="L13" i="16" s="1"/>
  <c r="H14" i="16"/>
  <c r="J14" i="16" s="1"/>
  <c r="L14" i="16" s="1"/>
  <c r="H15" i="16"/>
  <c r="J15" i="16" s="1"/>
  <c r="L15" i="16" s="1"/>
  <c r="H5" i="14"/>
  <c r="H6" i="14"/>
  <c r="J6" i="14" s="1"/>
  <c r="L6" i="14" s="1"/>
  <c r="H7" i="14"/>
  <c r="H8" i="14"/>
  <c r="H9" i="14"/>
  <c r="J5" i="12"/>
  <c r="L5" i="12" s="1"/>
  <c r="H6" i="12"/>
  <c r="H7" i="12"/>
  <c r="J7" i="12" s="1"/>
  <c r="L7" i="12" s="1"/>
  <c r="H8" i="12"/>
  <c r="J8" i="12" s="1"/>
  <c r="L8" i="12" s="1"/>
  <c r="H9" i="12"/>
  <c r="J9" i="12" s="1"/>
  <c r="L9" i="12" s="1"/>
  <c r="H10" i="12"/>
  <c r="J10" i="12" s="1"/>
  <c r="L10" i="12" s="1"/>
  <c r="H11" i="12"/>
  <c r="J11" i="12" s="1"/>
  <c r="L11" i="12" s="1"/>
  <c r="H12" i="12"/>
  <c r="J12" i="12" s="1"/>
  <c r="L12" i="12" s="1"/>
  <c r="H13" i="12"/>
  <c r="J13" i="12" s="1"/>
  <c r="L13" i="12" s="1"/>
  <c r="H14" i="12"/>
  <c r="J14" i="12" s="1"/>
  <c r="L14" i="12" s="1"/>
  <c r="J20" i="12"/>
  <c r="L20" i="12" s="1"/>
  <c r="G26" i="20"/>
  <c r="G25" i="20"/>
  <c r="G24" i="20"/>
  <c r="G23" i="20"/>
  <c r="G22" i="20"/>
  <c r="G21" i="20"/>
  <c r="G20" i="20"/>
  <c r="G19" i="20"/>
  <c r="G18" i="20"/>
  <c r="G17" i="20"/>
  <c r="G16" i="20"/>
  <c r="G14" i="20"/>
  <c r="J5" i="18"/>
  <c r="L5" i="18" s="1"/>
  <c r="J7" i="16"/>
  <c r="L7" i="16" s="1"/>
  <c r="H4" i="16"/>
  <c r="H22" i="10"/>
  <c r="H18" i="10"/>
  <c r="J18" i="10" s="1"/>
  <c r="L18" i="10" s="1"/>
  <c r="H17" i="10"/>
  <c r="J17" i="10" s="1"/>
  <c r="L17" i="10" s="1"/>
  <c r="H16" i="10"/>
  <c r="J16" i="10" s="1"/>
  <c r="L16" i="10" s="1"/>
  <c r="H15" i="10"/>
  <c r="J15" i="10" s="1"/>
  <c r="L15" i="10" s="1"/>
  <c r="H14" i="10"/>
  <c r="J14" i="10" s="1"/>
  <c r="L14" i="10" s="1"/>
  <c r="H13" i="10"/>
  <c r="J13" i="10" s="1"/>
  <c r="L13" i="10" s="1"/>
  <c r="H12" i="10"/>
  <c r="J12" i="10" s="1"/>
  <c r="L12" i="10" s="1"/>
  <c r="H11" i="10"/>
  <c r="J11" i="10" s="1"/>
  <c r="L11" i="10" s="1"/>
  <c r="H10" i="10"/>
  <c r="J10" i="10" s="1"/>
  <c r="L10" i="10" s="1"/>
  <c r="H9" i="10"/>
  <c r="J9" i="10" s="1"/>
  <c r="L9" i="10" s="1"/>
  <c r="H8" i="10"/>
  <c r="J8" i="10" s="1"/>
  <c r="L8" i="10" s="1"/>
  <c r="J7" i="10"/>
  <c r="L7" i="10" s="1"/>
  <c r="G6" i="10"/>
  <c r="H91" i="8"/>
  <c r="J91" i="8" s="1"/>
  <c r="L91" i="8" s="1"/>
  <c r="L84" i="8"/>
  <c r="G83" i="8"/>
  <c r="H83" i="8" s="1"/>
  <c r="G82" i="8"/>
  <c r="H82" i="8" s="1"/>
  <c r="G81" i="8"/>
  <c r="H81" i="8" s="1"/>
  <c r="G80" i="8"/>
  <c r="H80" i="8" s="1"/>
  <c r="G79" i="8"/>
  <c r="H79" i="8" s="1"/>
  <c r="G78" i="8"/>
  <c r="H78" i="8" s="1"/>
  <c r="G77" i="8"/>
  <c r="H77" i="8" s="1"/>
  <c r="G76" i="8"/>
  <c r="H76" i="8" s="1"/>
  <c r="G75" i="8"/>
  <c r="G68" i="8"/>
  <c r="H68" i="8" s="1"/>
  <c r="J68" i="8" s="1"/>
  <c r="L68" i="8" s="1"/>
  <c r="G64" i="8"/>
  <c r="H64" i="8" s="1"/>
  <c r="J64" i="8" s="1"/>
  <c r="L64" i="8" s="1"/>
  <c r="G63" i="8"/>
  <c r="H63" i="8" s="1"/>
  <c r="J63" i="8" s="1"/>
  <c r="L63" i="8" s="1"/>
  <c r="G62" i="8"/>
  <c r="H62" i="8" s="1"/>
  <c r="J62" i="8" s="1"/>
  <c r="L62" i="8" s="1"/>
  <c r="G61" i="8"/>
  <c r="H61" i="8" s="1"/>
  <c r="J61" i="8" s="1"/>
  <c r="L61" i="8" s="1"/>
  <c r="G60" i="8"/>
  <c r="H60" i="8" s="1"/>
  <c r="J60" i="8" s="1"/>
  <c r="L60" i="8" s="1"/>
  <c r="G59" i="8"/>
  <c r="H59" i="8" s="1"/>
  <c r="J59" i="8" s="1"/>
  <c r="L59" i="8" s="1"/>
  <c r="G58" i="8"/>
  <c r="H58" i="8" s="1"/>
  <c r="J58" i="8" s="1"/>
  <c r="L58" i="8" s="1"/>
  <c r="G57" i="8"/>
  <c r="H57" i="8" s="1"/>
  <c r="J57" i="8" s="1"/>
  <c r="L57" i="8" s="1"/>
  <c r="G56" i="8"/>
  <c r="H56" i="8" s="1"/>
  <c r="J56" i="8" s="1"/>
  <c r="L56" i="8" s="1"/>
  <c r="G55" i="8"/>
  <c r="H55" i="8" s="1"/>
  <c r="J55" i="8" s="1"/>
  <c r="L55" i="8" s="1"/>
  <c r="G54" i="8"/>
  <c r="H54" i="8" s="1"/>
  <c r="J54" i="8" s="1"/>
  <c r="L54" i="8" s="1"/>
  <c r="G53" i="8"/>
  <c r="H53" i="8" s="1"/>
  <c r="J53" i="8" s="1"/>
  <c r="L53" i="8" s="1"/>
  <c r="G52" i="8"/>
  <c r="G45" i="8"/>
  <c r="H45" i="8" s="1"/>
  <c r="J45" i="8" s="1"/>
  <c r="L45" i="8" s="1"/>
  <c r="G41" i="8"/>
  <c r="H41" i="8" s="1"/>
  <c r="J41" i="8" s="1"/>
  <c r="L41" i="8" s="1"/>
  <c r="G40" i="8"/>
  <c r="H40" i="8" s="1"/>
  <c r="J40" i="8" s="1"/>
  <c r="L40" i="8" s="1"/>
  <c r="G39" i="8"/>
  <c r="H39" i="8" s="1"/>
  <c r="J39" i="8" s="1"/>
  <c r="L39" i="8" s="1"/>
  <c r="G38" i="8"/>
  <c r="H38" i="8" s="1"/>
  <c r="J38" i="8" s="1"/>
  <c r="L38" i="8" s="1"/>
  <c r="G37" i="8"/>
  <c r="H37" i="8" s="1"/>
  <c r="J37" i="8" s="1"/>
  <c r="L37" i="8" s="1"/>
  <c r="G36" i="8"/>
  <c r="H36" i="8" s="1"/>
  <c r="J36" i="8" s="1"/>
  <c r="L36" i="8" s="1"/>
  <c r="G35" i="8"/>
  <c r="H35" i="8" s="1"/>
  <c r="J35" i="8" s="1"/>
  <c r="L35" i="8" s="1"/>
  <c r="G34" i="8"/>
  <c r="H34" i="8" s="1"/>
  <c r="J34" i="8" s="1"/>
  <c r="L34" i="8" s="1"/>
  <c r="G33" i="8"/>
  <c r="H33" i="8" s="1"/>
  <c r="J33" i="8" s="1"/>
  <c r="L33" i="8" s="1"/>
  <c r="G32" i="8"/>
  <c r="H32" i="8" s="1"/>
  <c r="J32" i="8" s="1"/>
  <c r="L32" i="8" s="1"/>
  <c r="G31" i="8"/>
  <c r="H31" i="8" s="1"/>
  <c r="J31" i="8" s="1"/>
  <c r="L31" i="8" s="1"/>
  <c r="G30" i="8"/>
  <c r="H30" i="8" s="1"/>
  <c r="J30" i="8" s="1"/>
  <c r="L30" i="8" s="1"/>
  <c r="G29" i="8"/>
  <c r="G22" i="8"/>
  <c r="H22" i="8" s="1"/>
  <c r="J22" i="8" s="1"/>
  <c r="L22" i="8" s="1"/>
  <c r="G18" i="8"/>
  <c r="H18" i="8" s="1"/>
  <c r="J18" i="8" s="1"/>
  <c r="L18" i="8" s="1"/>
  <c r="G17" i="8"/>
  <c r="H17" i="8" s="1"/>
  <c r="J17" i="8" s="1"/>
  <c r="L17" i="8" s="1"/>
  <c r="G16" i="8"/>
  <c r="H16" i="8" s="1"/>
  <c r="J16" i="8" s="1"/>
  <c r="L16" i="8" s="1"/>
  <c r="G15" i="8"/>
  <c r="H15" i="8" s="1"/>
  <c r="J15" i="8" s="1"/>
  <c r="L15" i="8" s="1"/>
  <c r="G14" i="8"/>
  <c r="H14" i="8" s="1"/>
  <c r="J14" i="8" s="1"/>
  <c r="L14" i="8" s="1"/>
  <c r="G13" i="8"/>
  <c r="H13" i="8" s="1"/>
  <c r="J13" i="8" s="1"/>
  <c r="L13" i="8" s="1"/>
  <c r="G12" i="8"/>
  <c r="H12" i="8" s="1"/>
  <c r="J12" i="8" s="1"/>
  <c r="L12" i="8" s="1"/>
  <c r="G11" i="8"/>
  <c r="H11" i="8" s="1"/>
  <c r="J11" i="8" s="1"/>
  <c r="L11" i="8" s="1"/>
  <c r="G10" i="8"/>
  <c r="H10" i="8" s="1"/>
  <c r="J10" i="8" s="1"/>
  <c r="L10" i="8" s="1"/>
  <c r="G9" i="8"/>
  <c r="H9" i="8" s="1"/>
  <c r="J9" i="8" s="1"/>
  <c r="L9" i="8" s="1"/>
  <c r="G8" i="8"/>
  <c r="H8" i="8" s="1"/>
  <c r="J8" i="8" s="1"/>
  <c r="L8" i="8" s="1"/>
  <c r="G7" i="8"/>
  <c r="H7" i="8" s="1"/>
  <c r="J7" i="8" s="1"/>
  <c r="L7" i="8" s="1"/>
  <c r="G6" i="8"/>
  <c r="I16" i="7"/>
  <c r="K16" i="7" s="1"/>
  <c r="I15" i="7"/>
  <c r="K15" i="7" s="1"/>
  <c r="I14" i="7"/>
  <c r="K14" i="7" s="1"/>
  <c r="I13" i="7"/>
  <c r="K13" i="7" s="1"/>
  <c r="I12" i="7"/>
  <c r="K12" i="7" s="1"/>
  <c r="I11" i="7"/>
  <c r="K11" i="7" s="1"/>
  <c r="I10" i="7"/>
  <c r="K10" i="7" s="1"/>
  <c r="I9" i="7"/>
  <c r="K9" i="7" s="1"/>
  <c r="I8" i="7"/>
  <c r="K8" i="7" s="1"/>
  <c r="I7" i="7"/>
  <c r="K7" i="7" s="1"/>
  <c r="I5" i="7"/>
  <c r="K5" i="7" s="1"/>
  <c r="G4" i="7"/>
  <c r="G22" i="7" s="1"/>
  <c r="G5" i="5"/>
  <c r="G20" i="5"/>
  <c r="G17" i="5"/>
  <c r="I17" i="5" s="1"/>
  <c r="K17" i="5" s="1"/>
  <c r="G16" i="5"/>
  <c r="I16" i="5" s="1"/>
  <c r="K16" i="5" s="1"/>
  <c r="G15" i="5"/>
  <c r="I15" i="5" s="1"/>
  <c r="K15" i="5" s="1"/>
  <c r="G14" i="5"/>
  <c r="I14" i="5" s="1"/>
  <c r="K14" i="5" s="1"/>
  <c r="G13" i="5"/>
  <c r="I13" i="5" s="1"/>
  <c r="K13" i="5" s="1"/>
  <c r="G12" i="5"/>
  <c r="I12" i="5" s="1"/>
  <c r="K12" i="5" s="1"/>
  <c r="G11" i="5"/>
  <c r="I11" i="5" s="1"/>
  <c r="K11" i="5" s="1"/>
  <c r="G10" i="5"/>
  <c r="I10" i="5" s="1"/>
  <c r="K10" i="5" s="1"/>
  <c r="G9" i="5"/>
  <c r="I9" i="5" s="1"/>
  <c r="K9" i="5" s="1"/>
  <c r="G8" i="5"/>
  <c r="I8" i="5" s="1"/>
  <c r="K8" i="5" s="1"/>
  <c r="G7" i="5"/>
  <c r="I7" i="5" s="1"/>
  <c r="K7" i="5" s="1"/>
  <c r="G6" i="5"/>
  <c r="I6" i="5" s="1"/>
  <c r="K6" i="5" s="1"/>
  <c r="I17" i="4"/>
  <c r="K17" i="4" s="1"/>
  <c r="I16" i="4"/>
  <c r="I15" i="4"/>
  <c r="K15" i="4" s="1"/>
  <c r="I14" i="4"/>
  <c r="K14" i="4" s="1"/>
  <c r="I13" i="4"/>
  <c r="K13" i="4" s="1"/>
  <c r="I12" i="4"/>
  <c r="K12" i="4" s="1"/>
  <c r="I11" i="4"/>
  <c r="K11" i="4" s="1"/>
  <c r="I10" i="4"/>
  <c r="K10" i="4" s="1"/>
  <c r="G5" i="4"/>
  <c r="I5" i="4" s="1"/>
  <c r="K5" i="4" s="1"/>
  <c r="G4" i="4"/>
  <c r="K20" i="3"/>
  <c r="K16" i="3"/>
  <c r="K15" i="3"/>
  <c r="K14" i="3"/>
  <c r="K13" i="3"/>
  <c r="K12" i="3"/>
  <c r="K11" i="3"/>
  <c r="K10" i="3"/>
  <c r="K9" i="3"/>
  <c r="K8" i="3"/>
  <c r="K5" i="3"/>
  <c r="G4" i="1"/>
  <c r="G20" i="1"/>
  <c r="G16" i="1"/>
  <c r="G15" i="1"/>
  <c r="G14" i="1"/>
  <c r="G13" i="1"/>
  <c r="G12" i="1"/>
  <c r="G11" i="1"/>
  <c r="G10" i="1"/>
  <c r="G9" i="1"/>
  <c r="G8" i="1"/>
  <c r="G7" i="1"/>
  <c r="G6" i="1"/>
  <c r="G5" i="1"/>
  <c r="L14" i="3" l="1"/>
  <c r="I4" i="1"/>
  <c r="J5" i="14"/>
  <c r="L5" i="14" s="1"/>
  <c r="J76" i="8"/>
  <c r="L76" i="8" s="1"/>
  <c r="J80" i="8"/>
  <c r="L80" i="8" s="1"/>
  <c r="J79" i="8"/>
  <c r="L79" i="8" s="1"/>
  <c r="I4" i="4"/>
  <c r="G22" i="4"/>
  <c r="J77" i="8"/>
  <c r="L77" i="8" s="1"/>
  <c r="J81" i="8"/>
  <c r="L81" i="8" s="1"/>
  <c r="J7" i="14"/>
  <c r="L7" i="14" s="1"/>
  <c r="J83" i="8"/>
  <c r="L83" i="8" s="1"/>
  <c r="J9" i="14"/>
  <c r="L9" i="14" s="1"/>
  <c r="J78" i="8"/>
  <c r="L78" i="8" s="1"/>
  <c r="J82" i="8"/>
  <c r="L82" i="8" s="1"/>
  <c r="I22" i="3"/>
  <c r="K14" i="20" s="1"/>
  <c r="G22" i="5"/>
  <c r="J8" i="14"/>
  <c r="L8" i="14" s="1"/>
  <c r="I7" i="1"/>
  <c r="K7" i="1" s="1"/>
  <c r="I11" i="1"/>
  <c r="K11" i="1" s="1"/>
  <c r="I15" i="1"/>
  <c r="K15" i="1" s="1"/>
  <c r="I6" i="1"/>
  <c r="K6" i="1" s="1"/>
  <c r="I10" i="1"/>
  <c r="K10" i="1" s="1"/>
  <c r="I14" i="1"/>
  <c r="K14" i="1" s="1"/>
  <c r="M38" i="8"/>
  <c r="N38" i="8" s="1"/>
  <c r="I8" i="1"/>
  <c r="I12" i="1"/>
  <c r="K12" i="1" s="1"/>
  <c r="I16" i="1"/>
  <c r="K16" i="1" s="1"/>
  <c r="I5" i="1"/>
  <c r="K5" i="1" s="1"/>
  <c r="I9" i="1"/>
  <c r="K9" i="1" s="1"/>
  <c r="I13" i="1"/>
  <c r="K13" i="1" s="1"/>
  <c r="I20" i="1"/>
  <c r="K20" i="1" s="1"/>
  <c r="M84" i="8"/>
  <c r="N84" i="8" s="1"/>
  <c r="L14" i="7"/>
  <c r="M14" i="7" s="1"/>
  <c r="M13" i="12"/>
  <c r="N13" i="12" s="1"/>
  <c r="M13" i="16"/>
  <c r="N13" i="16" s="1"/>
  <c r="M15" i="8"/>
  <c r="N15" i="8" s="1"/>
  <c r="M61" i="8"/>
  <c r="N61" i="8" s="1"/>
  <c r="J22" i="10"/>
  <c r="L22" i="10" s="1"/>
  <c r="M15" i="10" s="1"/>
  <c r="H21" i="16"/>
  <c r="H21" i="14"/>
  <c r="J6" i="12"/>
  <c r="L6" i="12" s="1"/>
  <c r="H21" i="12"/>
  <c r="G21" i="1"/>
  <c r="I20" i="5"/>
  <c r="K16" i="4"/>
  <c r="K17" i="3"/>
  <c r="H21" i="18"/>
  <c r="H52" i="8"/>
  <c r="H75" i="8"/>
  <c r="J75" i="8" s="1"/>
  <c r="H6" i="8"/>
  <c r="H6" i="10"/>
  <c r="H23" i="10" s="1"/>
  <c r="H29" i="8"/>
  <c r="H46" i="8" s="1"/>
  <c r="G27" i="20"/>
  <c r="I5" i="5"/>
  <c r="J4" i="12"/>
  <c r="J4" i="16"/>
  <c r="J21" i="16" s="1"/>
  <c r="K25" i="20" s="1"/>
  <c r="J4" i="18"/>
  <c r="K4" i="3"/>
  <c r="I9" i="4"/>
  <c r="I4" i="7"/>
  <c r="I22" i="7" s="1"/>
  <c r="K17" i="20" s="1"/>
  <c r="M14" i="3" l="1"/>
  <c r="L14" i="4"/>
  <c r="M14" i="4" s="1"/>
  <c r="K22" i="3"/>
  <c r="L4" i="3"/>
  <c r="K9" i="4"/>
  <c r="J21" i="14"/>
  <c r="K24" i="20" s="1"/>
  <c r="L21" i="14"/>
  <c r="K4" i="4"/>
  <c r="I22" i="4"/>
  <c r="L13" i="1"/>
  <c r="M13" i="1" s="1"/>
  <c r="I21" i="1"/>
  <c r="K13" i="20" s="1"/>
  <c r="E32" i="20" s="1"/>
  <c r="E36" i="20" s="1"/>
  <c r="K8" i="1"/>
  <c r="J21" i="12"/>
  <c r="K23" i="20" s="1"/>
  <c r="L4" i="12"/>
  <c r="M4" i="12" s="1"/>
  <c r="N16" i="10"/>
  <c r="J6" i="8"/>
  <c r="J23" i="8" s="1"/>
  <c r="K18" i="20" s="1"/>
  <c r="H23" i="8"/>
  <c r="J92" i="8"/>
  <c r="K21" i="20" s="1"/>
  <c r="F32" i="20" s="1"/>
  <c r="F36" i="20" s="1"/>
  <c r="E42" i="20" s="1"/>
  <c r="H92" i="8"/>
  <c r="J52" i="8"/>
  <c r="J69" i="8" s="1"/>
  <c r="K20" i="20" s="1"/>
  <c r="H69" i="8"/>
  <c r="K20" i="5"/>
  <c r="I22" i="5"/>
  <c r="K16" i="20" s="1"/>
  <c r="K22" i="4"/>
  <c r="J21" i="18"/>
  <c r="K26" i="20" s="1"/>
  <c r="L4" i="18"/>
  <c r="J6" i="10"/>
  <c r="J23" i="10" s="1"/>
  <c r="K22" i="20" s="1"/>
  <c r="J29" i="8"/>
  <c r="J46" i="8" s="1"/>
  <c r="K19" i="20" s="1"/>
  <c r="M4" i="14"/>
  <c r="K4" i="1"/>
  <c r="K4" i="7"/>
  <c r="L4" i="7" s="1"/>
  <c r="L4" i="16"/>
  <c r="M4" i="16" s="1"/>
  <c r="N4" i="16" s="1"/>
  <c r="K5" i="5"/>
  <c r="L4" i="5" s="1"/>
  <c r="M4" i="5" s="1"/>
  <c r="L13" i="5" l="1"/>
  <c r="M13" i="5" s="1"/>
  <c r="F3" i="20" s="1"/>
  <c r="L4" i="4"/>
  <c r="M5" i="3"/>
  <c r="L22" i="3"/>
  <c r="L14" i="20" s="1"/>
  <c r="L6" i="10"/>
  <c r="M6" i="10" s="1"/>
  <c r="N6" i="10" s="1"/>
  <c r="M23" i="10"/>
  <c r="L22" i="20" s="1"/>
  <c r="M21" i="14"/>
  <c r="L24" i="20" s="1"/>
  <c r="N4" i="14"/>
  <c r="M21" i="16"/>
  <c r="L22" i="7"/>
  <c r="M5" i="7"/>
  <c r="M21" i="12"/>
  <c r="N4" i="12"/>
  <c r="L21" i="18"/>
  <c r="M4" i="18"/>
  <c r="N6" i="18" s="1"/>
  <c r="K21" i="1"/>
  <c r="L4" i="1"/>
  <c r="L22" i="5"/>
  <c r="L16" i="20" s="1"/>
  <c r="K27" i="20"/>
  <c r="L6" i="8"/>
  <c r="L52" i="8"/>
  <c r="L75" i="8"/>
  <c r="K22" i="7"/>
  <c r="K22" i="5"/>
  <c r="L21" i="16"/>
  <c r="L21" i="12"/>
  <c r="L23" i="10"/>
  <c r="L29" i="8"/>
  <c r="H22" i="20" l="1"/>
  <c r="I22" i="20" s="1"/>
  <c r="M5" i="4"/>
  <c r="L22" i="4"/>
  <c r="H14" i="20"/>
  <c r="I14" i="20" s="1"/>
  <c r="H17" i="20"/>
  <c r="I17" i="20" s="1"/>
  <c r="L17" i="20"/>
  <c r="H25" i="20"/>
  <c r="I25" i="20" s="1"/>
  <c r="L25" i="20"/>
  <c r="H23" i="20"/>
  <c r="I23" i="20" s="1"/>
  <c r="L23" i="20"/>
  <c r="H24" i="20"/>
  <c r="I24" i="20" s="1"/>
  <c r="M21" i="18"/>
  <c r="L21" i="1"/>
  <c r="M4" i="1"/>
  <c r="L23" i="8"/>
  <c r="M6" i="8"/>
  <c r="N6" i="8" s="1"/>
  <c r="M75" i="8"/>
  <c r="L46" i="8"/>
  <c r="M29" i="8"/>
  <c r="L69" i="8"/>
  <c r="M52" i="8"/>
  <c r="L92" i="8"/>
  <c r="H16" i="20"/>
  <c r="I16" i="20" s="1"/>
  <c r="H15" i="20" l="1"/>
  <c r="I15" i="20" s="1"/>
  <c r="L15" i="20"/>
  <c r="H26" i="20"/>
  <c r="I26" i="20" s="1"/>
  <c r="L26" i="20"/>
  <c r="H13" i="20"/>
  <c r="I13" i="20" s="1"/>
  <c r="L13" i="20"/>
  <c r="E31" i="20" s="1"/>
  <c r="M69" i="8"/>
  <c r="N52" i="8"/>
  <c r="M92" i="8"/>
  <c r="N75" i="8"/>
  <c r="E3" i="20"/>
  <c r="G3" i="20" s="1"/>
  <c r="M46" i="8"/>
  <c r="N29" i="8"/>
  <c r="M23" i="8"/>
  <c r="H18" i="20" l="1"/>
  <c r="I18" i="20" s="1"/>
  <c r="L18" i="20"/>
  <c r="H19" i="20"/>
  <c r="I19" i="20" s="1"/>
  <c r="L19" i="20"/>
  <c r="D9" i="20"/>
  <c r="J9" i="20" s="1"/>
  <c r="H21" i="20"/>
  <c r="I21" i="20" s="1"/>
  <c r="L21" i="20"/>
  <c r="F31" i="20" s="1"/>
  <c r="H20" i="20"/>
  <c r="I20" i="20" s="1"/>
  <c r="L20" i="20"/>
  <c r="L27" i="20" l="1"/>
  <c r="H27" i="20"/>
  <c r="I27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 01</author>
  </authors>
  <commentList>
    <comment ref="C19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Admin 01:</t>
        </r>
        <r>
          <rPr>
            <sz val="9"/>
            <color indexed="81"/>
            <rFont val="Tahoma"/>
            <charset val="1"/>
          </rPr>
          <t xml:space="preserve">
as per JMR its value from </t>
        </r>
      </text>
    </comment>
    <comment ref="E19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>Admin 01:</t>
        </r>
        <r>
          <rPr>
            <sz val="9"/>
            <color indexed="81"/>
            <rFont val="Tahoma"/>
            <charset val="1"/>
          </rPr>
          <t xml:space="preserve">
As per JMR its value from 15/07/2022 to 1/08/2022, plz clarify
PP- Now the correct value
As per JMR this month genration devided in two part,1st part is taken from meter no 13194946
 and 2nd part is taken from meter no 13194944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 01</author>
  </authors>
  <commentList>
    <comment ref="F2" authorId="0" shapeId="0" xr:uid="{00000000-0006-0000-0B00-000001000000}">
      <text>
        <r>
          <rPr>
            <b/>
            <sz val="9"/>
            <color indexed="81"/>
            <rFont val="Tahoma"/>
            <charset val="1"/>
          </rPr>
          <t>Admin 01:</t>
        </r>
        <r>
          <rPr>
            <sz val="9"/>
            <color indexed="81"/>
            <rFont val="Tahoma"/>
            <charset val="1"/>
          </rPr>
          <t xml:space="preserve">
what is deemed generation here.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 01</author>
  </authors>
  <commentList>
    <comment ref="O2" authorId="0" shapeId="0" xr:uid="{00000000-0006-0000-0200-000001000000}">
      <text>
        <r>
          <rPr>
            <b/>
            <sz val="9"/>
            <color indexed="81"/>
            <rFont val="Tahoma"/>
            <charset val="1"/>
          </rPr>
          <t>Admin 01:</t>
        </r>
        <r>
          <rPr>
            <sz val="9"/>
            <color indexed="81"/>
            <rFont val="Tahoma"/>
            <charset val="1"/>
          </rPr>
          <t xml:space="preserve">
Please submit the </t>
        </r>
      </text>
    </comment>
    <comment ref="B4" authorId="0" shapeId="0" xr:uid="{00000000-0006-0000-0200-000002000000}">
      <text>
        <r>
          <rPr>
            <b/>
            <sz val="9"/>
            <color indexed="81"/>
            <rFont val="Tahoma"/>
            <charset val="1"/>
          </rPr>
          <t>Admin 01:</t>
        </r>
        <r>
          <rPr>
            <sz val="9"/>
            <color indexed="81"/>
            <rFont val="Tahoma"/>
            <charset val="1"/>
          </rPr>
          <t xml:space="preserve">
MP start from 01/04/2021 pl clarify.</t>
        </r>
      </text>
    </comment>
    <comment ref="E4" authorId="0" shapeId="0" xr:uid="{00000000-0006-0000-0200-000003000000}">
      <text>
        <r>
          <rPr>
            <b/>
            <sz val="9"/>
            <color indexed="81"/>
            <rFont val="Tahoma"/>
            <charset val="1"/>
          </rPr>
          <t>Admin 01:</t>
        </r>
        <r>
          <rPr>
            <sz val="9"/>
            <color indexed="81"/>
            <rFont val="Tahoma"/>
            <charset val="1"/>
          </rPr>
          <t xml:space="preserve">
not inline with JMR as per mentioned billing period .</t>
        </r>
      </text>
    </comment>
    <comment ref="E5" authorId="0" shapeId="0" xr:uid="{00000000-0006-0000-0200-000004000000}">
      <text>
        <r>
          <rPr>
            <b/>
            <sz val="9"/>
            <color indexed="81"/>
            <rFont val="Tahoma"/>
            <charset val="1"/>
          </rPr>
          <t>Admin 01:</t>
        </r>
        <r>
          <rPr>
            <sz val="9"/>
            <color indexed="81"/>
            <rFont val="Tahoma"/>
            <charset val="1"/>
          </rPr>
          <t xml:space="preserve">
Incorrect value.
Given values are observed as reading data.
Pp- now corrected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 01</author>
  </authors>
  <commentList>
    <comment ref="E2" authorId="0" shapeId="0" xr:uid="{00000000-0006-0000-0300-000001000000}">
      <text>
        <r>
          <rPr>
            <b/>
            <sz val="9"/>
            <color indexed="81"/>
            <rFont val="Tahoma"/>
            <charset val="1"/>
          </rPr>
          <t>Admin 01:</t>
        </r>
        <r>
          <rPr>
            <sz val="9"/>
            <color indexed="81"/>
            <rFont val="Tahoma"/>
            <charset val="1"/>
          </rPr>
          <t xml:space="preserve">
Not correct vlaues as per JMR .pl check </t>
        </r>
      </text>
    </comment>
    <comment ref="F4" authorId="0" shapeId="0" xr:uid="{00000000-0006-0000-0300-000002000000}">
      <text>
        <r>
          <rPr>
            <b/>
            <sz val="9"/>
            <color indexed="81"/>
            <rFont val="Tahoma"/>
            <charset val="1"/>
          </rPr>
          <t>Admin 01:</t>
        </r>
        <r>
          <rPr>
            <sz val="9"/>
            <color indexed="81"/>
            <rFont val="Tahoma"/>
            <charset val="1"/>
          </rPr>
          <t xml:space="preserve">
Not inline with JMR . Check through out not inline with JMR for given billing period.
PP- Now correct value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E21" authorId="0" shapeId="0" xr:uid="{00000000-0006-0000-0400-000001000000}">
      <text>
        <r>
          <rPr>
            <b/>
            <sz val="10"/>
            <color indexed="81"/>
            <rFont val="Tahoma"/>
            <family val="2"/>
          </rPr>
          <t>HP:</t>
        </r>
        <r>
          <rPr>
            <sz val="10"/>
            <color indexed="81"/>
            <rFont val="Tahoma"/>
            <family val="2"/>
          </rPr>
          <t xml:space="preserve">
Generation is zero for the perticuler period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 01</author>
  </authors>
  <commentList>
    <comment ref="E2" authorId="0" shapeId="0" xr:uid="{00000000-0006-0000-0500-000001000000}">
      <text>
        <r>
          <rPr>
            <b/>
            <sz val="9"/>
            <color indexed="81"/>
            <rFont val="Tahoma"/>
            <charset val="1"/>
          </rPr>
          <t>Admin 01:</t>
        </r>
        <r>
          <rPr>
            <sz val="9"/>
            <color indexed="81"/>
            <rFont val="Tahoma"/>
            <charset val="1"/>
          </rPr>
          <t xml:space="preserve">
Admin 01:
Incorrect value.
Given values are observed  reading data</t>
        </r>
      </text>
    </comment>
    <comment ref="C4" authorId="0" shapeId="0" xr:uid="{00000000-0006-0000-0500-000002000000}">
      <text>
        <r>
          <rPr>
            <b/>
            <sz val="9"/>
            <color indexed="81"/>
            <rFont val="Tahoma"/>
            <charset val="1"/>
          </rPr>
          <t>Admin 01:</t>
        </r>
        <r>
          <rPr>
            <sz val="9"/>
            <color indexed="81"/>
            <rFont val="Tahoma"/>
            <charset val="1"/>
          </rPr>
          <t xml:space="preserve">
MP start from 01/04/2021</t>
        </r>
      </text>
    </comment>
    <comment ref="F4" authorId="0" shapeId="0" xr:uid="{00000000-0006-0000-0500-000003000000}">
      <text>
        <r>
          <rPr>
            <b/>
            <sz val="9"/>
            <color indexed="81"/>
            <rFont val="Tahoma"/>
            <charset val="1"/>
          </rPr>
          <t>Admin 01:</t>
        </r>
        <r>
          <rPr>
            <sz val="9"/>
            <color indexed="81"/>
            <rFont val="Tahoma"/>
            <charset val="1"/>
          </rPr>
          <t xml:space="preserve">
Please check throughout the period not inline with the JMR reading period 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 01</author>
  </authors>
  <commentList>
    <comment ref="E73" authorId="0" shapeId="0" xr:uid="{00000000-0006-0000-0600-000001000000}">
      <text>
        <r>
          <rPr>
            <b/>
            <sz val="9"/>
            <color indexed="81"/>
            <rFont val="Tahoma"/>
            <charset val="1"/>
          </rPr>
          <t>Admin 01:</t>
        </r>
        <r>
          <rPr>
            <sz val="9"/>
            <color indexed="81"/>
            <rFont val="Tahoma"/>
            <charset val="1"/>
          </rPr>
          <t xml:space="preserve">
given value not inline with JMR. Write JMR value and Invoice balue take conservative value for further ER calculation.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 01</author>
  </authors>
  <commentList>
    <comment ref="E4" authorId="0" shapeId="0" xr:uid="{00000000-0006-0000-0700-000001000000}">
      <text>
        <r>
          <rPr>
            <b/>
            <sz val="9"/>
            <color indexed="81"/>
            <rFont val="Tahoma"/>
            <charset val="1"/>
          </rPr>
          <t>Admin 01:</t>
        </r>
        <r>
          <rPr>
            <sz val="9"/>
            <color indexed="81"/>
            <rFont val="Tahoma"/>
            <charset val="1"/>
          </rPr>
          <t xml:space="preserve">
Please check all values found not inline with JMR data.
NOW INLINE WITH JMR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 01</author>
  </authors>
  <commentList>
    <comment ref="C4" authorId="0" shapeId="0" xr:uid="{00000000-0006-0000-0800-000001000000}">
      <text>
        <r>
          <rPr>
            <b/>
            <sz val="9"/>
            <color indexed="81"/>
            <rFont val="Tahoma"/>
            <charset val="1"/>
          </rPr>
          <t>Admin 01:</t>
        </r>
        <r>
          <rPr>
            <sz val="9"/>
            <color indexed="81"/>
            <rFont val="Tahoma"/>
            <charset val="1"/>
          </rPr>
          <t xml:space="preserve">
MP start 01/04/2021
Now updated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 01</author>
  </authors>
  <commentList>
    <comment ref="H2" authorId="0" shapeId="0" xr:uid="{00000000-0006-0000-0900-000001000000}">
      <text>
        <r>
          <rPr>
            <b/>
            <sz val="9"/>
            <color indexed="81"/>
            <rFont val="Tahoma"/>
            <charset val="1"/>
          </rPr>
          <t>Admin 01:</t>
        </r>
        <r>
          <rPr>
            <sz val="9"/>
            <color indexed="81"/>
            <rFont val="Tahoma"/>
            <charset val="1"/>
          </rPr>
          <t xml:space="preserve">
why there is gap b/w net of JMR and Invoice data.</t>
        </r>
      </text>
    </comment>
  </commentList>
</comments>
</file>

<file path=xl/sharedStrings.xml><?xml version="1.0" encoding="utf-8"?>
<sst xmlns="http://schemas.openxmlformats.org/spreadsheetml/2006/main" count="466" uniqueCount="179">
  <si>
    <t>Month</t>
  </si>
  <si>
    <t xml:space="preserve">Duration </t>
  </si>
  <si>
    <t>Export (KWh)</t>
  </si>
  <si>
    <t>Import (KWh)</t>
  </si>
  <si>
    <t>Net Electricity Generated (KWh)</t>
  </si>
  <si>
    <t>Net Electricity as per Invoice (KWh)</t>
  </si>
  <si>
    <t>Net Electricity Generated (MWh)</t>
  </si>
  <si>
    <t>Emission Factor</t>
  </si>
  <si>
    <t>Emission Reductions</t>
  </si>
  <si>
    <t>Vintage Wise VCU Breakup</t>
  </si>
  <si>
    <t>From</t>
  </si>
  <si>
    <t>To</t>
  </si>
  <si>
    <t>Total</t>
  </si>
  <si>
    <t>SITE: SHIRAHATTI 20 MW</t>
  </si>
  <si>
    <t>Import with 115% (KWh)</t>
  </si>
  <si>
    <t>SITE: RAMADURG 20 MW</t>
  </si>
  <si>
    <t>SITE: MULBAGAL 20 MW</t>
  </si>
  <si>
    <t>SITE: VIJAYPURA 17 MW</t>
  </si>
  <si>
    <t>Transmission Losses</t>
  </si>
  <si>
    <t>Deemed Generation (KWh)</t>
  </si>
  <si>
    <t>Year</t>
  </si>
  <si>
    <r>
      <rPr>
        <b/>
        <i/>
        <sz val="10"/>
        <color rgb="FF000000"/>
        <rFont val="Trebuchet MS"/>
        <family val="2"/>
      </rPr>
      <t>BE</t>
    </r>
    <r>
      <rPr>
        <b/>
        <i/>
        <vertAlign val="subscript"/>
        <sz val="10"/>
        <color rgb="FF000000"/>
        <rFont val="Trebuchet MS"/>
        <family val="2"/>
      </rPr>
      <t>y</t>
    </r>
  </si>
  <si>
    <r>
      <rPr>
        <sz val="10"/>
        <color rgb="FF000000"/>
        <rFont val="Trebuchet MS"/>
        <family val="2"/>
      </rPr>
      <t>(in tCO</t>
    </r>
    <r>
      <rPr>
        <vertAlign val="subscript"/>
        <sz val="10"/>
        <color rgb="FF000000"/>
        <rFont val="Trebuchet MS"/>
        <family val="2"/>
      </rPr>
      <t>2</t>
    </r>
    <r>
      <rPr>
        <sz val="10"/>
        <color rgb="FF000000"/>
        <rFont val="Trebuchet MS"/>
        <family val="2"/>
      </rPr>
      <t>e)</t>
    </r>
  </si>
  <si>
    <t>Summary of calculation of emission reductions or net anthropogenic GHG removals by sinks</t>
  </si>
  <si>
    <t>Baseline emissions</t>
  </si>
  <si>
    <t>Project Emissions</t>
  </si>
  <si>
    <t>Leakage Emissions</t>
  </si>
  <si>
    <r>
      <rPr>
        <b/>
        <sz val="10"/>
        <color rgb="FF000000"/>
        <rFont val="Trebuchet MS"/>
        <family val="2"/>
      </rPr>
      <t>tCO</t>
    </r>
    <r>
      <rPr>
        <b/>
        <vertAlign val="subscript"/>
        <sz val="10"/>
        <color rgb="FF000000"/>
        <rFont val="Trebuchet MS"/>
        <family val="2"/>
      </rPr>
      <t>2</t>
    </r>
    <r>
      <rPr>
        <b/>
        <sz val="10"/>
        <color rgb="FF000000"/>
        <rFont val="Trebuchet MS"/>
        <family val="2"/>
      </rPr>
      <t>e</t>
    </r>
  </si>
  <si>
    <t>Comparision between actual and estimated Emission Reductions</t>
  </si>
  <si>
    <t xml:space="preserve">Project activity instances </t>
  </si>
  <si>
    <t xml:space="preserve">Title of the project activity </t>
  </si>
  <si>
    <t>Opertaional days in current MP</t>
  </si>
  <si>
    <t>Annual Estimation for 365 days</t>
  </si>
  <si>
    <t>ER estimation for actual days</t>
  </si>
  <si>
    <t xml:space="preserve">Actual ER </t>
  </si>
  <si>
    <t>% Variation between Actual ER and estimated ER</t>
  </si>
  <si>
    <t>Instance – 1  Bhadla</t>
  </si>
  <si>
    <t xml:space="preserve">VCS Project for Solar Power Plant at Bhadla, Rajasthan </t>
  </si>
  <si>
    <t>Instance – 2  Achampet</t>
  </si>
  <si>
    <t xml:space="preserve">VCS Project for Solar Power plant at Achampet, Telagana </t>
  </si>
  <si>
    <t>Instance – 3  Kalwakurthy</t>
  </si>
  <si>
    <t xml:space="preserve">VCS Project for Solar Power Plant at Kalwakurthy, Dist. Mehabubnagar, Telangana </t>
  </si>
  <si>
    <t xml:space="preserve">VCS Project for Solar Power Plant at Salakpur, Telangana </t>
  </si>
  <si>
    <t>Instance – 5  Alladurg</t>
  </si>
  <si>
    <t xml:space="preserve">VCS Project for Solar Power Plant at Alladurg, Telangana </t>
  </si>
  <si>
    <t>Instance 6  Karnataka</t>
  </si>
  <si>
    <t xml:space="preserve">VCS Project for Solar Power Plant at Karnataka </t>
  </si>
  <si>
    <t>Instance – 7  Bijapur</t>
  </si>
  <si>
    <t>VCS Project for Solar Power Plant at Vijaypur</t>
  </si>
  <si>
    <t>Instance – 8  Hotgi</t>
  </si>
  <si>
    <t xml:space="preserve">VCS Project for Solar Power Plant at Hotgi, Maharastra </t>
  </si>
  <si>
    <t>Instance – 9  Gotan</t>
  </si>
  <si>
    <t>VCS Project for Solar Power Plant at Gotan, Rajasthan, India</t>
  </si>
  <si>
    <t>Instance – 10  Gujarat</t>
  </si>
  <si>
    <t>VCS Project for Solar Power Plant at Sevagram, Gujrat</t>
  </si>
  <si>
    <t>Instance – 11  Pune</t>
  </si>
  <si>
    <t xml:space="preserve">VCS Project for Solar Power Plant at Pune, Maharastra </t>
  </si>
  <si>
    <t>Overall</t>
  </si>
  <si>
    <t>JMR</t>
  </si>
  <si>
    <t>Invoice</t>
  </si>
  <si>
    <t>Sites</t>
  </si>
  <si>
    <t>Bhadla</t>
  </si>
  <si>
    <t>Jun 22 To Aug 22</t>
  </si>
  <si>
    <t>Achempet</t>
  </si>
  <si>
    <t>Kalwakurthy</t>
  </si>
  <si>
    <t>Jul 22 &amp; Aug 22</t>
  </si>
  <si>
    <t>Alladurg</t>
  </si>
  <si>
    <t>April 22,Jul 22 &amp; Aug 22</t>
  </si>
  <si>
    <t>0/31/2022</t>
  </si>
  <si>
    <t>Salakpur</t>
  </si>
  <si>
    <t>April 21 To Aug 22</t>
  </si>
  <si>
    <t>Karnataka (Ramadurg)</t>
  </si>
  <si>
    <t>Karnataka (Shirahatti)</t>
  </si>
  <si>
    <t>Karnataka (Mulbagal)</t>
  </si>
  <si>
    <t>April 21, Dec 21,Feb 22 &amp;Jun 22 To Aug 22</t>
  </si>
  <si>
    <t>Karnataka (Vijaypura) 6.8</t>
  </si>
  <si>
    <t>Karnataka (Vijaypura) 17</t>
  </si>
  <si>
    <t>Hotogi</t>
  </si>
  <si>
    <t>Gotan</t>
  </si>
  <si>
    <t>Sevagram</t>
  </si>
  <si>
    <t>Pune</t>
  </si>
  <si>
    <t>total</t>
  </si>
  <si>
    <t xml:space="preserve"> </t>
  </si>
  <si>
    <t>Instance – 4  Mutsyal/Salakpur</t>
  </si>
  <si>
    <t>Project activity instances</t>
  </si>
  <si>
    <t>Project site</t>
  </si>
  <si>
    <t>Main Meter</t>
  </si>
  <si>
    <t>Check Meter</t>
  </si>
  <si>
    <t>Make</t>
  </si>
  <si>
    <t>Accuracy
class</t>
  </si>
  <si>
    <r>
      <t>Calibration Date</t>
    </r>
    <r>
      <rPr>
        <sz val="8"/>
        <rFont val="Franklin Gothic Book"/>
        <family val="2"/>
      </rPr>
      <t>  </t>
    </r>
  </si>
  <si>
    <t>Validity</t>
  </si>
  <si>
    <t>Instance – 1: Bhadla</t>
  </si>
  <si>
    <t>Bhadla, Rajasthan</t>
  </si>
  <si>
    <t>L&amp;T</t>
  </si>
  <si>
    <t>0.2s</t>
  </si>
  <si>
    <t>Instance – 2: Achampet</t>
  </si>
  <si>
    <t>Achampet</t>
  </si>
  <si>
    <t>Elster</t>
  </si>
  <si>
    <t>Telangana</t>
  </si>
  <si>
    <t>Instance – 3: Kalwakurthy</t>
  </si>
  <si>
    <t>Kalwakurthy, Telangana</t>
  </si>
  <si>
    <t>Instance – 4: Salakpur/ mtsyal</t>
  </si>
  <si>
    <t>Mutsyal, Telangana</t>
  </si>
  <si>
    <t>Instance – 5: Alladurg</t>
  </si>
  <si>
    <t>Aladurg, Telangana</t>
  </si>
  <si>
    <t>Instance – 6: Karnataka</t>
  </si>
  <si>
    <t>Shirahatti, Karnataka</t>
  </si>
  <si>
    <t>Ramadurg</t>
  </si>
  <si>
    <t>Karnataka</t>
  </si>
  <si>
    <t>Mulbangal</t>
  </si>
  <si>
    <t>Vijaypur, Karnataka</t>
  </si>
  <si>
    <t>X0488422</t>
  </si>
  <si>
    <t>X0488423</t>
  </si>
  <si>
    <t>Secure</t>
  </si>
  <si>
    <t>Instance – 7: Vijaypur</t>
  </si>
  <si>
    <t>X0488419</t>
  </si>
  <si>
    <t>X0488421</t>
  </si>
  <si>
    <t>Instance – 8: Hotgi</t>
  </si>
  <si>
    <t>Hotgi, Maharastra</t>
  </si>
  <si>
    <t>XD434209</t>
  </si>
  <si>
    <t>XD434210</t>
  </si>
  <si>
    <t>Instance – 9: Gotan</t>
  </si>
  <si>
    <t>Gotan,</t>
  </si>
  <si>
    <t>RJB 90318</t>
  </si>
  <si>
    <t>RJB 90317</t>
  </si>
  <si>
    <t>Jodhpur</t>
  </si>
  <si>
    <t>Instance – 10: Sevagram</t>
  </si>
  <si>
    <t>HT 01180175</t>
  </si>
  <si>
    <t>HT 01180176</t>
  </si>
  <si>
    <t>EDMI</t>
  </si>
  <si>
    <t>Gujarat</t>
  </si>
  <si>
    <t>Instance – 11: Pune</t>
  </si>
  <si>
    <t>Pune, Maharastra</t>
  </si>
  <si>
    <t>Y 0355612</t>
  </si>
  <si>
    <t>Y 0355568</t>
  </si>
  <si>
    <r>
      <t> </t>
    </r>
    <r>
      <rPr>
        <sz val="10.5"/>
        <rFont val="Franklin Gothic Book"/>
        <family val="2"/>
      </rPr>
      <t>Submit records</t>
    </r>
  </si>
  <si>
    <r>
      <t> </t>
    </r>
    <r>
      <rPr>
        <sz val="10.5"/>
        <rFont val="Franklin Gothic Book"/>
        <family val="2"/>
      </rPr>
      <t>The Calibration frequency is once in five years. Calibration certificates have now been submitted to assessment team.</t>
    </r>
  </si>
  <si>
    <t>Date</t>
  </si>
  <si>
    <t>EB Exp. (kwh)</t>
  </si>
  <si>
    <t xml:space="preserve">Grand Total </t>
  </si>
  <si>
    <t>Generation Ratio (KWh)</t>
  </si>
  <si>
    <t>Controller data from 01-08-2021 to 31-08-2021 (KWh)</t>
  </si>
  <si>
    <t>Controller Data from 20-08-2021 to 31-08-2022 (KWh)</t>
  </si>
  <si>
    <t>Controller data from 25-03-2021 to 25-04-2021 (KWh)</t>
  </si>
  <si>
    <t>Controller Data from 01-04-2021 to 25-04-2022 (KWh)</t>
  </si>
  <si>
    <t>Controller data from 20-03-2021 to 20-04-2021 (KWh)</t>
  </si>
  <si>
    <t>Controller Data from 01-04-2021 to 20-04-2022 (KWh)</t>
  </si>
  <si>
    <t>Controller data from 20-08-2021 to 20-09-2021 (KWh)</t>
  </si>
  <si>
    <t>Controller data from 19-03-2021 to 19-04-2021 (KWh)</t>
  </si>
  <si>
    <t>Controller Data from 01-04-2021 to 19-04-2022 (KWh)</t>
  </si>
  <si>
    <t>Controller data from 19-08-2021 to 19-08-2021 (KWh)</t>
  </si>
  <si>
    <t>Controller Data from 19-08-2021 to 31-08-2022 (KWh)</t>
  </si>
  <si>
    <t>Controller data from 31-03-2021 to 30-04-2021 (KWh)</t>
  </si>
  <si>
    <t>Controller Data from 01-04-2021 to 30-04-2022 (KWh)</t>
  </si>
  <si>
    <t>Controller data from 01-08-2021 to 01-09-2021 (KWh)</t>
  </si>
  <si>
    <t>Controller Data from 01-08-2021 to 31-08-2022 (KWh)</t>
  </si>
  <si>
    <t>Total Emission Reductions from the current monitoring period</t>
  </si>
  <si>
    <r>
      <t>tCO</t>
    </r>
    <r>
      <rPr>
        <b/>
        <vertAlign val="subscript"/>
        <sz val="11"/>
        <color indexed="8"/>
        <rFont val="Calibri"/>
        <family val="2"/>
      </rPr>
      <t>2</t>
    </r>
  </si>
  <si>
    <t>Total power generation</t>
  </si>
  <si>
    <t>MWh</t>
  </si>
  <si>
    <t>No of days</t>
  </si>
  <si>
    <t>No of hours a day</t>
  </si>
  <si>
    <t>% of PLF achived for current monitoring period</t>
  </si>
  <si>
    <t>PLF % at the time of project registration</t>
  </si>
  <si>
    <t>PLF At the time of Registration</t>
  </si>
  <si>
    <t>PLF of current montoring period</t>
  </si>
  <si>
    <t>Equity IRR with respect to current MP</t>
  </si>
  <si>
    <t>Benchmark</t>
  </si>
  <si>
    <t>Result</t>
  </si>
  <si>
    <t>Not breaching</t>
  </si>
  <si>
    <t>Bijapur</t>
  </si>
  <si>
    <t>capacity</t>
  </si>
  <si>
    <t>location</t>
  </si>
  <si>
    <t>Instances</t>
  </si>
  <si>
    <t>Note: for Insatnce1 Bhadla site  project is auto additional as per registered VCS PD . Thus, no requirement to demostrate additionality.</t>
  </si>
  <si>
    <t>Bijapur 17 MW</t>
  </si>
  <si>
    <t>Instance</t>
  </si>
  <si>
    <t>Instance No.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</si>
</sst>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&quot;$&quot;* #,##0.00_);_(&quot;$&quot;* \(#,##0.00\);_(&quot;$&quot;* &quot;-&quot;??_);_(@_)"/>
    <numFmt numFmtId="165" formatCode="[$$-409]#,##0.00;[Red]\-[$$-409]#,##0.00"/>
    <numFmt numFmtId="166" formatCode="mmm/yy;@"/>
    <numFmt numFmtId="167" formatCode="mm\-dd\-yy"/>
    <numFmt numFmtId="168" formatCode="[$-4009]0"/>
    <numFmt numFmtId="169" formatCode="[$-4009]0.00"/>
    <numFmt numFmtId="170" formatCode="[$-4009]0.0"/>
    <numFmt numFmtId="171" formatCode="[$-4009]\ * #,##0.00\ ;\ * \-#,##0.00\ ;\ * \-00\ "/>
    <numFmt numFmtId="172" formatCode="[$-4009]\ * #,##0\ ;\ * \-#,##0\ ;\ * \-00\ "/>
    <numFmt numFmtId="173" formatCode="[$-4009]0.00%"/>
    <numFmt numFmtId="174" formatCode="0.000000"/>
    <numFmt numFmtId="175" formatCode="[$-409]mmm\-yy;@"/>
    <numFmt numFmtId="176" formatCode="0.0"/>
    <numFmt numFmtId="177" formatCode="[$-F800]dddd\,\ mmmm\ dd\,\ yyyy"/>
    <numFmt numFmtId="178" formatCode="0.000%"/>
    <numFmt numFmtId="179" formatCode="0.0000000000000000%"/>
  </numFmts>
  <fonts count="3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0"/>
      <name val="Arial"/>
      <family val="2"/>
    </font>
    <font>
      <b/>
      <i/>
      <sz val="16"/>
      <name val="Arial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0"/>
      <color rgb="FF000000"/>
      <name val="Trebuchet MS"/>
      <family val="2"/>
    </font>
    <font>
      <sz val="10"/>
      <color rgb="FF000000"/>
      <name val="Trebuchet MS"/>
      <family val="2"/>
    </font>
    <font>
      <b/>
      <sz val="10"/>
      <color rgb="FF000000"/>
      <name val="Trebuchet MS"/>
      <family val="2"/>
    </font>
    <font>
      <b/>
      <i/>
      <vertAlign val="subscript"/>
      <sz val="10"/>
      <color rgb="FF000000"/>
      <name val="Trebuchet MS"/>
      <family val="2"/>
    </font>
    <font>
      <vertAlign val="subscript"/>
      <sz val="10"/>
      <color rgb="FF000000"/>
      <name val="Trebuchet MS"/>
      <family val="2"/>
    </font>
    <font>
      <b/>
      <vertAlign val="subscript"/>
      <sz val="10"/>
      <color rgb="FF000000"/>
      <name val="Trebuchet MS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.5"/>
      <name val="Arial"/>
      <family val="2"/>
    </font>
    <font>
      <sz val="8"/>
      <name val="Franklin Gothic Book"/>
      <family val="2"/>
    </font>
    <font>
      <sz val="10.5"/>
      <name val="Arial"/>
      <family val="2"/>
    </font>
    <font>
      <sz val="10.5"/>
      <name val="Franklin Gothic Book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</font>
    <font>
      <sz val="9"/>
      <color indexed="8"/>
      <name val="Calibri"/>
      <family val="2"/>
    </font>
    <font>
      <sz val="10"/>
      <color theme="1"/>
      <name val="Verdana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vertAlign val="subscript"/>
      <sz val="11"/>
      <color indexed="8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4" fillId="0" borderId="0" applyBorder="0" applyAlignment="0" applyProtection="0"/>
    <xf numFmtId="165" fontId="4" fillId="0" borderId="0" applyBorder="0" applyAlignment="0" applyProtection="0"/>
    <xf numFmtId="0" fontId="5" fillId="0" borderId="0" applyBorder="0" applyProtection="0">
      <alignment horizontal="center"/>
    </xf>
    <xf numFmtId="0" fontId="5" fillId="0" borderId="0" applyBorder="0" applyProtection="0">
      <alignment horizontal="center" textRotation="90"/>
    </xf>
    <xf numFmtId="9" fontId="19" fillId="0" borderId="0" applyFont="0" applyFill="0" applyBorder="0" applyAlignment="0" applyProtection="0"/>
    <xf numFmtId="0" fontId="19" fillId="0" borderId="0"/>
    <xf numFmtId="0" fontId="3" fillId="0" borderId="0"/>
    <xf numFmtId="0" fontId="2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9" fillId="0" borderId="0"/>
  </cellStyleXfs>
  <cellXfs count="287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8" fontId="8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69" fontId="8" fillId="0" borderId="5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169" fontId="6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0" fontId="10" fillId="0" borderId="8" xfId="0" applyFont="1" applyBorder="1"/>
    <xf numFmtId="0" fontId="11" fillId="0" borderId="8" xfId="0" applyFont="1" applyBorder="1"/>
    <xf numFmtId="0" fontId="12" fillId="0" borderId="8" xfId="0" applyFont="1" applyBorder="1" applyAlignment="1">
      <alignment horizontal="right"/>
    </xf>
    <xf numFmtId="0" fontId="11" fillId="0" borderId="0" xfId="0" applyFont="1"/>
    <xf numFmtId="171" fontId="11" fillId="0" borderId="8" xfId="0" applyNumberFormat="1" applyFont="1" applyBorder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/>
    <xf numFmtId="0" fontId="11" fillId="0" borderId="9" xfId="0" applyFont="1" applyBorder="1"/>
    <xf numFmtId="0" fontId="12" fillId="0" borderId="9" xfId="0" applyFont="1" applyBorder="1"/>
    <xf numFmtId="0" fontId="11" fillId="0" borderId="9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0" fontId="12" fillId="0" borderId="8" xfId="0" applyFont="1" applyBorder="1"/>
    <xf numFmtId="0" fontId="11" fillId="0" borderId="8" xfId="0" applyFont="1" applyBorder="1" applyAlignment="1">
      <alignment horizontal="right"/>
    </xf>
    <xf numFmtId="172" fontId="11" fillId="0" borderId="8" xfId="0" applyNumberFormat="1" applyFont="1" applyBorder="1"/>
    <xf numFmtId="0" fontId="8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68" fontId="18" fillId="0" borderId="1" xfId="0" applyNumberFormat="1" applyFont="1" applyBorder="1" applyAlignment="1">
      <alignment horizontal="center" vertical="center"/>
    </xf>
    <xf numFmtId="173" fontId="18" fillId="0" borderId="1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168" fontId="18" fillId="0" borderId="6" xfId="0" applyNumberFormat="1" applyFont="1" applyBorder="1" applyAlignment="1">
      <alignment horizontal="center" vertical="center"/>
    </xf>
    <xf numFmtId="173" fontId="18" fillId="0" borderId="6" xfId="0" applyNumberFormat="1" applyFont="1" applyBorder="1" applyAlignment="1">
      <alignment horizontal="center" vertical="center"/>
    </xf>
    <xf numFmtId="168" fontId="16" fillId="0" borderId="1" xfId="0" applyNumberFormat="1" applyFont="1" applyBorder="1" applyAlignment="1">
      <alignment horizontal="center" vertical="center"/>
    </xf>
    <xf numFmtId="173" fontId="16" fillId="0" borderId="1" xfId="0" applyNumberFormat="1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/>
    </xf>
    <xf numFmtId="14" fontId="8" fillId="0" borderId="5" xfId="0" applyNumberFormat="1" applyFont="1" applyBorder="1" applyAlignment="1">
      <alignment horizontal="center"/>
    </xf>
    <xf numFmtId="166" fontId="8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168" fontId="6" fillId="0" borderId="1" xfId="0" applyNumberFormat="1" applyFont="1" applyBorder="1" applyAlignment="1">
      <alignment horizontal="center"/>
    </xf>
    <xf numFmtId="164" fontId="11" fillId="0" borderId="0" xfId="0" applyNumberFormat="1" applyFont="1"/>
    <xf numFmtId="0" fontId="20" fillId="0" borderId="0" xfId="6" applyFont="1"/>
    <xf numFmtId="9" fontId="0" fillId="0" borderId="0" xfId="5" applyFont="1"/>
    <xf numFmtId="175" fontId="8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8" fillId="0" borderId="13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3" fillId="3" borderId="1" xfId="7" applyFill="1" applyBorder="1" applyAlignment="1">
      <alignment horizontal="center"/>
    </xf>
    <xf numFmtId="17" fontId="3" fillId="3" borderId="1" xfId="7" applyNumberFormat="1" applyFill="1" applyBorder="1" applyAlignment="1">
      <alignment horizontal="center"/>
    </xf>
    <xf numFmtId="0" fontId="21" fillId="0" borderId="1" xfId="7" applyFont="1" applyBorder="1"/>
    <xf numFmtId="0" fontId="21" fillId="4" borderId="1" xfId="7" applyFont="1" applyFill="1" applyBorder="1" applyAlignment="1">
      <alignment horizontal="center"/>
    </xf>
    <xf numFmtId="0" fontId="2" fillId="3" borderId="1" xfId="7" applyFont="1" applyFill="1" applyBorder="1" applyAlignment="1">
      <alignment horizontal="center"/>
    </xf>
    <xf numFmtId="0" fontId="0" fillId="3" borderId="0" xfId="0" applyFill="1"/>
    <xf numFmtId="17" fontId="2" fillId="3" borderId="1" xfId="7" applyNumberFormat="1" applyFont="1" applyFill="1" applyBorder="1" applyAlignment="1">
      <alignment horizontal="center"/>
    </xf>
    <xf numFmtId="0" fontId="21" fillId="5" borderId="1" xfId="7" applyFont="1" applyFill="1" applyBorder="1"/>
    <xf numFmtId="17" fontId="3" fillId="5" borderId="1" xfId="7" applyNumberForma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17" fontId="2" fillId="5" borderId="1" xfId="7" applyNumberFormat="1" applyFont="1" applyFill="1" applyBorder="1" applyAlignment="1">
      <alignment horizontal="center"/>
    </xf>
    <xf numFmtId="0" fontId="22" fillId="5" borderId="1" xfId="0" applyFont="1" applyFill="1" applyBorder="1"/>
    <xf numFmtId="0" fontId="6" fillId="0" borderId="1" xfId="0" applyFont="1" applyBorder="1" applyAlignment="1">
      <alignment horizontal="center" vertical="center" wrapText="1"/>
    </xf>
    <xf numFmtId="169" fontId="0" fillId="0" borderId="0" xfId="0" applyNumberFormat="1"/>
    <xf numFmtId="0" fontId="1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168" fontId="8" fillId="3" borderId="5" xfId="0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169" fontId="8" fillId="0" borderId="13" xfId="0" applyNumberFormat="1" applyFont="1" applyBorder="1" applyAlignment="1">
      <alignment horizontal="center"/>
    </xf>
    <xf numFmtId="4" fontId="8" fillId="3" borderId="5" xfId="0" applyNumberFormat="1" applyFont="1" applyFill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9" fontId="6" fillId="0" borderId="4" xfId="0" applyNumberFormat="1" applyFont="1" applyBorder="1" applyAlignment="1">
      <alignment horizontal="center"/>
    </xf>
    <xf numFmtId="14" fontId="8" fillId="3" borderId="4" xfId="0" applyNumberFormat="1" applyFont="1" applyFill="1" applyBorder="1" applyAlignment="1">
      <alignment horizontal="center"/>
    </xf>
    <xf numFmtId="14" fontId="8" fillId="3" borderId="5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69" fontId="8" fillId="3" borderId="5" xfId="0" applyNumberFormat="1" applyFont="1" applyFill="1" applyBorder="1" applyAlignment="1">
      <alignment horizontal="center"/>
    </xf>
    <xf numFmtId="166" fontId="8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68" fontId="6" fillId="2" borderId="1" xfId="0" applyNumberFormat="1" applyFont="1" applyFill="1" applyBorder="1" applyAlignment="1">
      <alignment horizontal="center"/>
    </xf>
    <xf numFmtId="169" fontId="6" fillId="2" borderId="4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168" fontId="6" fillId="7" borderId="1" xfId="0" applyNumberFormat="1" applyFont="1" applyFill="1" applyBorder="1" applyAlignment="1">
      <alignment horizontal="center"/>
    </xf>
    <xf numFmtId="169" fontId="6" fillId="7" borderId="2" xfId="0" applyNumberFormat="1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/>
    </xf>
    <xf numFmtId="169" fontId="8" fillId="3" borderId="13" xfId="0" applyNumberFormat="1" applyFont="1" applyFill="1" applyBorder="1" applyAlignment="1">
      <alignment horizontal="center"/>
    </xf>
    <xf numFmtId="14" fontId="8" fillId="3" borderId="4" xfId="0" applyNumberFormat="1" applyFont="1" applyFill="1" applyBorder="1" applyAlignment="1">
      <alignment horizontal="center" vertical="center"/>
    </xf>
    <xf numFmtId="14" fontId="8" fillId="3" borderId="5" xfId="0" applyNumberFormat="1" applyFont="1" applyFill="1" applyBorder="1" applyAlignment="1">
      <alignment horizontal="center" vertical="center"/>
    </xf>
    <xf numFmtId="14" fontId="8" fillId="3" borderId="29" xfId="0" applyNumberFormat="1" applyFont="1" applyFill="1" applyBorder="1" applyAlignment="1">
      <alignment horizontal="center" vertical="center"/>
    </xf>
    <xf numFmtId="14" fontId="8" fillId="3" borderId="13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/>
    </xf>
    <xf numFmtId="169" fontId="8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26" fillId="0" borderId="35" xfId="0" applyFont="1" applyBorder="1" applyAlignment="1">
      <alignment vertical="center" wrapText="1"/>
    </xf>
    <xf numFmtId="0" fontId="26" fillId="0" borderId="36" xfId="0" applyFont="1" applyBorder="1" applyAlignment="1">
      <alignment vertical="center" wrapText="1"/>
    </xf>
    <xf numFmtId="0" fontId="26" fillId="0" borderId="36" xfId="0" applyFont="1" applyBorder="1" applyAlignment="1">
      <alignment horizontal="left" vertical="center" wrapText="1"/>
    </xf>
    <xf numFmtId="0" fontId="28" fillId="0" borderId="33" xfId="0" applyFont="1" applyBorder="1" applyAlignment="1">
      <alignment vertical="center" wrapText="1"/>
    </xf>
    <xf numFmtId="0" fontId="28" fillId="0" borderId="37" xfId="0" applyFont="1" applyBorder="1" applyAlignment="1">
      <alignment vertical="center" wrapText="1"/>
    </xf>
    <xf numFmtId="177" fontId="28" fillId="0" borderId="37" xfId="0" applyNumberFormat="1" applyFont="1" applyBorder="1" applyAlignment="1">
      <alignment horizontal="left" vertical="center" wrapText="1"/>
    </xf>
    <xf numFmtId="0" fontId="28" fillId="0" borderId="38" xfId="0" applyFont="1" applyBorder="1" applyAlignment="1">
      <alignment vertical="center" wrapText="1"/>
    </xf>
    <xf numFmtId="177" fontId="28" fillId="0" borderId="35" xfId="0" applyNumberFormat="1" applyFont="1" applyBorder="1" applyAlignment="1">
      <alignment horizontal="left" vertical="center" wrapText="1"/>
    </xf>
    <xf numFmtId="0" fontId="28" fillId="3" borderId="38" xfId="0" applyFont="1" applyFill="1" applyBorder="1" applyAlignment="1">
      <alignment vertical="center" wrapText="1"/>
    </xf>
    <xf numFmtId="0" fontId="28" fillId="3" borderId="31" xfId="0" applyFont="1" applyFill="1" applyBorder="1" applyAlignment="1">
      <alignment vertical="center" wrapText="1"/>
    </xf>
    <xf numFmtId="0" fontId="28" fillId="3" borderId="37" xfId="0" applyFont="1" applyFill="1" applyBorder="1" applyAlignment="1">
      <alignment vertical="center" wrapText="1"/>
    </xf>
    <xf numFmtId="0" fontId="28" fillId="3" borderId="33" xfId="0" applyFont="1" applyFill="1" applyBorder="1" applyAlignment="1">
      <alignment vertical="center" wrapText="1"/>
    </xf>
    <xf numFmtId="177" fontId="28" fillId="3" borderId="37" xfId="0" applyNumberFormat="1" applyFont="1" applyFill="1" applyBorder="1" applyAlignment="1">
      <alignment horizontal="left" vertical="center" wrapText="1"/>
    </xf>
    <xf numFmtId="0" fontId="27" fillId="0" borderId="0" xfId="0" applyFont="1" applyAlignment="1">
      <alignment vertical="center"/>
    </xf>
    <xf numFmtId="173" fontId="18" fillId="3" borderId="1" xfId="0" applyNumberFormat="1" applyFont="1" applyFill="1" applyBorder="1" applyAlignment="1">
      <alignment horizontal="center" vertical="center"/>
    </xf>
    <xf numFmtId="0" fontId="32" fillId="0" borderId="17" xfId="11" applyFont="1" applyBorder="1" applyAlignment="1">
      <alignment horizontal="center" wrapText="1"/>
    </xf>
    <xf numFmtId="0" fontId="32" fillId="0" borderId="1" xfId="11" applyFont="1" applyBorder="1" applyAlignment="1">
      <alignment horizontal="center" wrapText="1"/>
    </xf>
    <xf numFmtId="0" fontId="30" fillId="0" borderId="0" xfId="11" applyFont="1"/>
    <xf numFmtId="0" fontId="30" fillId="0" borderId="38" xfId="11" applyFont="1" applyBorder="1"/>
    <xf numFmtId="14" fontId="33" fillId="0" borderId="17" xfId="11" applyNumberFormat="1" applyFont="1" applyBorder="1" applyAlignment="1">
      <alignment horizontal="right" wrapText="1"/>
    </xf>
    <xf numFmtId="0" fontId="33" fillId="0" borderId="7" xfId="11" applyFont="1" applyBorder="1" applyAlignment="1">
      <alignment horizontal="right" wrapText="1"/>
    </xf>
    <xf numFmtId="0" fontId="30" fillId="0" borderId="1" xfId="11" applyFont="1" applyBorder="1"/>
    <xf numFmtId="0" fontId="34" fillId="3" borderId="1" xfId="11" applyFont="1" applyFill="1" applyBorder="1" applyAlignment="1">
      <alignment horizontal="center"/>
    </xf>
    <xf numFmtId="0" fontId="33" fillId="0" borderId="1" xfId="11" applyFont="1" applyBorder="1" applyAlignment="1">
      <alignment horizontal="right" wrapText="1"/>
    </xf>
    <xf numFmtId="0" fontId="31" fillId="0" borderId="17" xfId="11" applyFont="1" applyBorder="1" applyAlignment="1">
      <alignment horizontal="center" wrapText="1"/>
    </xf>
    <xf numFmtId="0" fontId="33" fillId="10" borderId="1" xfId="11" applyFont="1" applyFill="1" applyBorder="1" applyAlignment="1">
      <alignment horizontal="right" wrapText="1"/>
    </xf>
    <xf numFmtId="0" fontId="30" fillId="0" borderId="40" xfId="11" applyFont="1" applyBorder="1"/>
    <xf numFmtId="0" fontId="30" fillId="11" borderId="1" xfId="11" applyFont="1" applyFill="1" applyBorder="1"/>
    <xf numFmtId="0" fontId="30" fillId="0" borderId="14" xfId="11" applyFont="1" applyBorder="1" applyAlignment="1">
      <alignment horizontal="left"/>
    </xf>
    <xf numFmtId="0" fontId="30" fillId="0" borderId="15" xfId="11" applyFont="1" applyBorder="1" applyAlignment="1">
      <alignment horizontal="left"/>
    </xf>
    <xf numFmtId="0" fontId="30" fillId="0" borderId="41" xfId="11" applyFont="1" applyBorder="1" applyAlignment="1">
      <alignment horizontal="left"/>
    </xf>
    <xf numFmtId="0" fontId="30" fillId="0" borderId="17" xfId="11" applyFont="1" applyBorder="1" applyAlignment="1">
      <alignment horizontal="left"/>
    </xf>
    <xf numFmtId="0" fontId="30" fillId="0" borderId="1" xfId="11" applyFont="1" applyBorder="1" applyAlignment="1">
      <alignment horizontal="left"/>
    </xf>
    <xf numFmtId="0" fontId="30" fillId="0" borderId="7" xfId="11" applyFont="1" applyBorder="1" applyAlignment="1">
      <alignment horizontal="left"/>
    </xf>
    <xf numFmtId="0" fontId="30" fillId="0" borderId="21" xfId="11" applyFont="1" applyBorder="1" applyAlignment="1">
      <alignment horizontal="left"/>
    </xf>
    <xf numFmtId="0" fontId="30" fillId="0" borderId="22" xfId="11" applyFont="1" applyBorder="1" applyAlignment="1">
      <alignment horizontal="left"/>
    </xf>
    <xf numFmtId="0" fontId="30" fillId="0" borderId="42" xfId="11" applyFont="1" applyBorder="1" applyAlignment="1">
      <alignment horizontal="left"/>
    </xf>
    <xf numFmtId="0" fontId="9" fillId="12" borderId="1" xfId="0" applyFont="1" applyFill="1" applyBorder="1" applyAlignment="1">
      <alignment horizontal="center"/>
    </xf>
    <xf numFmtId="0" fontId="32" fillId="0" borderId="7" xfId="11" applyFont="1" applyBorder="1" applyAlignment="1">
      <alignment horizontal="center" wrapText="1"/>
    </xf>
    <xf numFmtId="1" fontId="2" fillId="12" borderId="7" xfId="8" applyNumberFormat="1" applyFill="1" applyBorder="1" applyAlignment="1">
      <alignment horizontal="center" vertical="top"/>
    </xf>
    <xf numFmtId="168" fontId="8" fillId="12" borderId="5" xfId="0" applyNumberFormat="1" applyFont="1" applyFill="1" applyBorder="1" applyAlignment="1">
      <alignment horizontal="center"/>
    </xf>
    <xf numFmtId="166" fontId="8" fillId="3" borderId="3" xfId="0" applyNumberFormat="1" applyFont="1" applyFill="1" applyBorder="1" applyAlignment="1">
      <alignment horizontal="center" vertical="center"/>
    </xf>
    <xf numFmtId="173" fontId="18" fillId="13" borderId="1" xfId="0" applyNumberFormat="1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169" fontId="6" fillId="3" borderId="5" xfId="0" applyNumberFormat="1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/>
    </xf>
    <xf numFmtId="0" fontId="8" fillId="12" borderId="5" xfId="0" applyFont="1" applyFill="1" applyBorder="1" applyAlignment="1">
      <alignment horizontal="center"/>
    </xf>
    <xf numFmtId="0" fontId="0" fillId="0" borderId="1" xfId="0" applyBorder="1"/>
    <xf numFmtId="0" fontId="0" fillId="12" borderId="1" xfId="0" applyFill="1" applyBorder="1"/>
    <xf numFmtId="0" fontId="32" fillId="3" borderId="17" xfId="11" applyFont="1" applyFill="1" applyBorder="1" applyAlignment="1">
      <alignment horizontal="center" wrapText="1"/>
    </xf>
    <xf numFmtId="0" fontId="32" fillId="3" borderId="7" xfId="11" applyFont="1" applyFill="1" applyBorder="1" applyAlignment="1">
      <alignment horizontal="center" wrapText="1"/>
    </xf>
    <xf numFmtId="0" fontId="30" fillId="3" borderId="0" xfId="11" applyFont="1" applyFill="1"/>
    <xf numFmtId="169" fontId="0" fillId="3" borderId="0" xfId="0" applyNumberFormat="1" applyFill="1"/>
    <xf numFmtId="14" fontId="33" fillId="3" borderId="17" xfId="11" applyNumberFormat="1" applyFont="1" applyFill="1" applyBorder="1" applyAlignment="1">
      <alignment horizontal="right" wrapText="1"/>
    </xf>
    <xf numFmtId="0" fontId="33" fillId="3" borderId="7" xfId="11" applyFont="1" applyFill="1" applyBorder="1" applyAlignment="1">
      <alignment horizontal="right" wrapText="1"/>
    </xf>
    <xf numFmtId="0" fontId="30" fillId="3" borderId="1" xfId="11" applyFont="1" applyFill="1" applyBorder="1"/>
    <xf numFmtId="176" fontId="9" fillId="3" borderId="1" xfId="0" applyNumberFormat="1" applyFont="1" applyFill="1" applyBorder="1" applyAlignment="1">
      <alignment horizontal="center"/>
    </xf>
    <xf numFmtId="0" fontId="33" fillId="3" borderId="1" xfId="11" applyFont="1" applyFill="1" applyBorder="1" applyAlignment="1">
      <alignment horizontal="right" wrapText="1"/>
    </xf>
    <xf numFmtId="0" fontId="30" fillId="3" borderId="38" xfId="11" applyFont="1" applyFill="1" applyBorder="1"/>
    <xf numFmtId="0" fontId="0" fillId="3" borderId="0" xfId="0" applyFill="1" applyAlignment="1">
      <alignment horizontal="center"/>
    </xf>
    <xf numFmtId="0" fontId="0" fillId="8" borderId="0" xfId="0" applyFill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4" fontId="8" fillId="3" borderId="5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/>
    </xf>
    <xf numFmtId="166" fontId="8" fillId="3" borderId="7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168" fontId="8" fillId="3" borderId="1" xfId="0" applyNumberFormat="1" applyFont="1" applyFill="1" applyBorder="1" applyAlignment="1">
      <alignment horizontal="center"/>
    </xf>
    <xf numFmtId="169" fontId="8" fillId="3" borderId="7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9" fontId="6" fillId="3" borderId="1" xfId="0" applyNumberFormat="1" applyFont="1" applyFill="1" applyBorder="1" applyAlignment="1">
      <alignment horizontal="center"/>
    </xf>
    <xf numFmtId="2" fontId="0" fillId="3" borderId="0" xfId="0" applyNumberFormat="1" applyFill="1"/>
    <xf numFmtId="174" fontId="0" fillId="3" borderId="0" xfId="0" applyNumberFormat="1" applyFill="1"/>
    <xf numFmtId="0" fontId="6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169" fontId="6" fillId="3" borderId="4" xfId="0" applyNumberFormat="1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center"/>
    </xf>
    <xf numFmtId="176" fontId="8" fillId="3" borderId="1" xfId="0" applyNumberFormat="1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1" fontId="23" fillId="3" borderId="28" xfId="8" applyNumberFormat="1" applyFont="1" applyFill="1" applyBorder="1" applyAlignment="1">
      <alignment horizontal="center" vertical="center" wrapText="1"/>
    </xf>
    <xf numFmtId="168" fontId="6" fillId="3" borderId="1" xfId="0" applyNumberFormat="1" applyFont="1" applyFill="1" applyBorder="1" applyAlignment="1">
      <alignment horizontal="center"/>
    </xf>
    <xf numFmtId="175" fontId="8" fillId="3" borderId="1" xfId="0" applyNumberFormat="1" applyFont="1" applyFill="1" applyBorder="1" applyAlignment="1">
      <alignment horizontal="center" vertical="center"/>
    </xf>
    <xf numFmtId="14" fontId="8" fillId="3" borderId="13" xfId="0" applyNumberFormat="1" applyFont="1" applyFill="1" applyBorder="1" applyAlignment="1">
      <alignment horizontal="center"/>
    </xf>
    <xf numFmtId="170" fontId="8" fillId="3" borderId="19" xfId="0" applyNumberFormat="1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169" fontId="8" fillId="3" borderId="4" xfId="0" applyNumberFormat="1" applyFont="1" applyFill="1" applyBorder="1" applyAlignment="1">
      <alignment horizontal="center"/>
    </xf>
    <xf numFmtId="4" fontId="8" fillId="8" borderId="5" xfId="0" applyNumberFormat="1" applyFont="1" applyFill="1" applyBorder="1" applyAlignment="1">
      <alignment horizontal="center" vertical="center" wrapText="1"/>
    </xf>
    <xf numFmtId="0" fontId="21" fillId="3" borderId="2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21" fillId="3" borderId="1" xfId="0" applyFont="1" applyFill="1" applyBorder="1" applyAlignment="1">
      <alignment wrapText="1"/>
    </xf>
    <xf numFmtId="0" fontId="22" fillId="3" borderId="1" xfId="0" applyFont="1" applyFill="1" applyBorder="1" applyAlignment="1">
      <alignment horizontal="center"/>
    </xf>
    <xf numFmtId="0" fontId="21" fillId="3" borderId="44" xfId="0" applyFont="1" applyFill="1" applyBorder="1" applyAlignment="1">
      <alignment wrapText="1"/>
    </xf>
    <xf numFmtId="0" fontId="21" fillId="3" borderId="44" xfId="0" applyFont="1" applyFill="1" applyBorder="1" applyAlignment="1">
      <alignment horizontal="center" wrapText="1"/>
    </xf>
    <xf numFmtId="0" fontId="21" fillId="3" borderId="45" xfId="0" applyFont="1" applyFill="1" applyBorder="1" applyAlignment="1">
      <alignment wrapText="1"/>
    </xf>
    <xf numFmtId="10" fontId="21" fillId="3" borderId="21" xfId="5" applyNumberFormat="1" applyFont="1" applyFill="1" applyBorder="1" applyAlignment="1">
      <alignment horizontal="center" wrapText="1"/>
    </xf>
    <xf numFmtId="178" fontId="21" fillId="3" borderId="21" xfId="0" applyNumberFormat="1" applyFont="1" applyFill="1" applyBorder="1" applyAlignment="1">
      <alignment wrapText="1"/>
    </xf>
    <xf numFmtId="10" fontId="21" fillId="3" borderId="21" xfId="0" applyNumberFormat="1" applyFont="1" applyFill="1" applyBorder="1" applyAlignment="1">
      <alignment wrapText="1"/>
    </xf>
    <xf numFmtId="0" fontId="21" fillId="3" borderId="27" xfId="0" applyFont="1" applyFill="1" applyBorder="1" applyAlignment="1">
      <alignment wrapText="1"/>
    </xf>
    <xf numFmtId="0" fontId="22" fillId="3" borderId="47" xfId="0" applyFont="1" applyFill="1" applyBorder="1" applyAlignment="1">
      <alignment horizontal="right"/>
    </xf>
    <xf numFmtId="0" fontId="22" fillId="3" borderId="12" xfId="0" applyFont="1" applyFill="1" applyBorder="1" applyAlignment="1">
      <alignment horizontal="right"/>
    </xf>
    <xf numFmtId="0" fontId="21" fillId="3" borderId="5" xfId="0" applyFont="1" applyFill="1" applyBorder="1" applyAlignment="1">
      <alignment wrapText="1"/>
    </xf>
    <xf numFmtId="0" fontId="21" fillId="3" borderId="5" xfId="0" applyFont="1" applyFill="1" applyBorder="1" applyAlignment="1">
      <alignment horizontal="center" vertical="center"/>
    </xf>
    <xf numFmtId="2" fontId="22" fillId="3" borderId="5" xfId="0" applyNumberFormat="1" applyFont="1" applyFill="1" applyBorder="1"/>
    <xf numFmtId="2" fontId="21" fillId="3" borderId="1" xfId="0" applyNumberFormat="1" applyFont="1" applyFill="1" applyBorder="1" applyAlignment="1">
      <alignment horizontal="center"/>
    </xf>
    <xf numFmtId="0" fontId="22" fillId="3" borderId="1" xfId="0" applyFont="1" applyFill="1" applyBorder="1"/>
    <xf numFmtId="0" fontId="21" fillId="3" borderId="1" xfId="0" applyFont="1" applyFill="1" applyBorder="1" applyAlignment="1">
      <alignment horizontal="center"/>
    </xf>
    <xf numFmtId="10" fontId="22" fillId="3" borderId="1" xfId="5" applyNumberFormat="1" applyFont="1" applyFill="1" applyBorder="1"/>
    <xf numFmtId="10" fontId="22" fillId="3" borderId="1" xfId="0" applyNumberFormat="1" applyFont="1" applyFill="1" applyBorder="1"/>
    <xf numFmtId="0" fontId="0" fillId="2" borderId="0" xfId="0" applyFill="1"/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179" fontId="0" fillId="0" borderId="0" xfId="0" applyNumberFormat="1"/>
    <xf numFmtId="0" fontId="6" fillId="0" borderId="7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9" fontId="6" fillId="0" borderId="6" xfId="0" applyNumberFormat="1" applyFont="1" applyBorder="1" applyAlignment="1">
      <alignment horizontal="center" vertical="center"/>
    </xf>
    <xf numFmtId="169" fontId="6" fillId="0" borderId="3" xfId="0" applyNumberFormat="1" applyFont="1" applyBorder="1" applyAlignment="1">
      <alignment horizontal="center" vertical="center"/>
    </xf>
    <xf numFmtId="169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7" fontId="31" fillId="9" borderId="39" xfId="11" applyNumberFormat="1" applyFont="1" applyFill="1" applyBorder="1" applyAlignment="1">
      <alignment horizontal="center" vertical="top" wrapText="1"/>
    </xf>
    <xf numFmtId="0" fontId="31" fillId="9" borderId="43" xfId="11" applyFont="1" applyFill="1" applyBorder="1" applyAlignment="1">
      <alignment horizontal="center" vertical="top" wrapText="1"/>
    </xf>
    <xf numFmtId="0" fontId="31" fillId="9" borderId="16" xfId="11" applyFont="1" applyFill="1" applyBorder="1" applyAlignment="1">
      <alignment horizontal="center" vertical="top" wrapText="1"/>
    </xf>
    <xf numFmtId="169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9" fontId="6" fillId="3" borderId="3" xfId="0" applyNumberFormat="1" applyFont="1" applyFill="1" applyBorder="1" applyAlignment="1">
      <alignment horizontal="center" vertical="center"/>
    </xf>
    <xf numFmtId="169" fontId="6" fillId="3" borderId="5" xfId="0" applyNumberFormat="1" applyFont="1" applyFill="1" applyBorder="1" applyAlignment="1">
      <alignment horizontal="center" vertical="center"/>
    </xf>
    <xf numFmtId="169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69" fontId="6" fillId="3" borderId="32" xfId="0" applyNumberFormat="1" applyFont="1" applyFill="1" applyBorder="1" applyAlignment="1">
      <alignment horizontal="center" vertical="center"/>
    </xf>
    <xf numFmtId="169" fontId="6" fillId="3" borderId="33" xfId="0" applyNumberFormat="1" applyFont="1" applyFill="1" applyBorder="1" applyAlignment="1">
      <alignment horizontal="center" vertical="center"/>
    </xf>
    <xf numFmtId="169" fontId="6" fillId="3" borderId="31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9" fontId="6" fillId="0" borderId="31" xfId="0" applyNumberFormat="1" applyFont="1" applyBorder="1" applyAlignment="1">
      <alignment horizontal="center" vertical="center"/>
    </xf>
    <xf numFmtId="169" fontId="6" fillId="0" borderId="32" xfId="0" applyNumberFormat="1" applyFont="1" applyBorder="1" applyAlignment="1">
      <alignment horizontal="center" vertical="center"/>
    </xf>
    <xf numFmtId="169" fontId="6" fillId="0" borderId="33" xfId="0" applyNumberFormat="1" applyFont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 wrapText="1"/>
    </xf>
    <xf numFmtId="17" fontId="31" fillId="9" borderId="43" xfId="11" applyNumberFormat="1" applyFont="1" applyFill="1" applyBorder="1" applyAlignment="1">
      <alignment horizontal="center" vertical="top" wrapText="1"/>
    </xf>
    <xf numFmtId="17" fontId="31" fillId="9" borderId="16" xfId="11" applyNumberFormat="1" applyFont="1" applyFill="1" applyBorder="1" applyAlignment="1">
      <alignment horizontal="center" vertical="top" wrapText="1"/>
    </xf>
    <xf numFmtId="0" fontId="6" fillId="7" borderId="7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right"/>
    </xf>
    <xf numFmtId="0" fontId="22" fillId="3" borderId="46" xfId="0" applyFont="1" applyFill="1" applyBorder="1" applyAlignment="1">
      <alignment horizontal="right"/>
    </xf>
    <xf numFmtId="0" fontId="28" fillId="3" borderId="31" xfId="0" applyFont="1" applyFill="1" applyBorder="1" applyAlignment="1">
      <alignment vertical="center" wrapText="1"/>
    </xf>
    <xf numFmtId="0" fontId="28" fillId="3" borderId="33" xfId="0" applyFont="1" applyFill="1" applyBorder="1" applyAlignment="1">
      <alignment vertical="center" wrapText="1"/>
    </xf>
    <xf numFmtId="177" fontId="28" fillId="3" borderId="31" xfId="0" applyNumberFormat="1" applyFont="1" applyFill="1" applyBorder="1" applyAlignment="1">
      <alignment horizontal="left" vertical="center" wrapText="1"/>
    </xf>
    <xf numFmtId="177" fontId="28" fillId="3" borderId="33" xfId="0" applyNumberFormat="1" applyFont="1" applyFill="1" applyBorder="1" applyAlignment="1">
      <alignment horizontal="left" vertical="center" wrapText="1"/>
    </xf>
    <xf numFmtId="0" fontId="28" fillId="0" borderId="31" xfId="0" applyFont="1" applyBorder="1" applyAlignment="1">
      <alignment horizontal="left" vertical="center" wrapText="1"/>
    </xf>
    <xf numFmtId="0" fontId="28" fillId="0" borderId="33" xfId="0" applyFont="1" applyBorder="1" applyAlignment="1">
      <alignment horizontal="left" vertical="center" wrapText="1"/>
    </xf>
    <xf numFmtId="177" fontId="28" fillId="0" borderId="31" xfId="0" applyNumberFormat="1" applyFont="1" applyBorder="1" applyAlignment="1">
      <alignment horizontal="left" vertical="center" wrapText="1"/>
    </xf>
    <xf numFmtId="177" fontId="28" fillId="0" borderId="33" xfId="0" applyNumberFormat="1" applyFont="1" applyBorder="1" applyAlignment="1">
      <alignment horizontal="left" vertical="center" wrapText="1"/>
    </xf>
    <xf numFmtId="0" fontId="28" fillId="0" borderId="31" xfId="0" applyFont="1" applyBorder="1" applyAlignment="1">
      <alignment vertical="center" wrapText="1"/>
    </xf>
    <xf numFmtId="0" fontId="28" fillId="0" borderId="33" xfId="0" applyFont="1" applyBorder="1" applyAlignment="1">
      <alignment vertical="center" wrapText="1"/>
    </xf>
    <xf numFmtId="0" fontId="28" fillId="0" borderId="32" xfId="0" applyFont="1" applyBorder="1" applyAlignment="1">
      <alignment vertical="center" wrapText="1"/>
    </xf>
  </cellXfs>
  <cellStyles count="14">
    <cellStyle name="Heading" xfId="3" xr:uid="{00000000-0005-0000-0000-000000000000}"/>
    <cellStyle name="Heading1" xfId="4" xr:uid="{00000000-0005-0000-0000-000001000000}"/>
    <cellStyle name="Normal" xfId="0" builtinId="0"/>
    <cellStyle name="Normal 2" xfId="6" xr:uid="{00000000-0005-0000-0000-000003000000}"/>
    <cellStyle name="Normal 3" xfId="7" xr:uid="{00000000-0005-0000-0000-000004000000}"/>
    <cellStyle name="Normal 3 2" xfId="13" xr:uid="{00000000-0005-0000-0000-000005000000}"/>
    <cellStyle name="Normal 4" xfId="8" xr:uid="{00000000-0005-0000-0000-000006000000}"/>
    <cellStyle name="Normal 5" xfId="11" xr:uid="{00000000-0005-0000-0000-000007000000}"/>
    <cellStyle name="Percent" xfId="5" builtinId="5"/>
    <cellStyle name="Percent 2" xfId="10" xr:uid="{00000000-0005-0000-0000-000009000000}"/>
    <cellStyle name="Percent 3" xfId="9" xr:uid="{00000000-0005-0000-0000-00000A000000}"/>
    <cellStyle name="Percent 4" xfId="12" xr:uid="{00000000-0005-0000-0000-00000B000000}"/>
    <cellStyle name="Result" xfId="1" xr:uid="{00000000-0005-0000-0000-00000C000000}"/>
    <cellStyle name="Result2" xfId="2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762000</xdr:colOff>
      <xdr:row>52</xdr:row>
      <xdr:rowOff>47625</xdr:rowOff>
    </xdr:to>
    <xdr:sp macro="" textlink="">
      <xdr:nvSpPr>
        <xdr:cNvPr id="1038" name="_x0000_t202" hidden="1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762000</xdr:colOff>
      <xdr:row>52</xdr:row>
      <xdr:rowOff>47625</xdr:rowOff>
    </xdr:to>
    <xdr:sp macro="" textlink="">
      <xdr:nvSpPr>
        <xdr:cNvPr id="2" name="AutoShape 1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762000</xdr:colOff>
      <xdr:row>52</xdr:row>
      <xdr:rowOff>47625</xdr:rowOff>
    </xdr:to>
    <xdr:sp macro="" textlink="">
      <xdr:nvSpPr>
        <xdr:cNvPr id="3" name="AutoShap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762000</xdr:colOff>
      <xdr:row>52</xdr:row>
      <xdr:rowOff>47625</xdr:rowOff>
    </xdr:to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142875</xdr:colOff>
      <xdr:row>50</xdr:row>
      <xdr:rowOff>0</xdr:rowOff>
    </xdr:to>
    <xdr:sp macro="" textlink="">
      <xdr:nvSpPr>
        <xdr:cNvPr id="3081" name="_x0000_t202" hidden="1">
          <a:extLst>
            <a:ext uri="{FF2B5EF4-FFF2-40B4-BE49-F238E27FC236}">
              <a16:creationId xmlns:a16="http://schemas.microsoft.com/office/drawing/2014/main" id="{00000000-0008-0000-0600-000009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542925</xdr:colOff>
      <xdr:row>54</xdr:row>
      <xdr:rowOff>28575</xdr:rowOff>
    </xdr:to>
    <xdr:sp macro="" textlink="">
      <xdr:nvSpPr>
        <xdr:cNvPr id="5128" name="_x0000_t202" hidden="1">
          <a:extLst>
            <a:ext uri="{FF2B5EF4-FFF2-40B4-BE49-F238E27FC236}">
              <a16:creationId xmlns:a16="http://schemas.microsoft.com/office/drawing/2014/main" id="{00000000-0008-0000-0800-000008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619125</xdr:colOff>
      <xdr:row>51</xdr:row>
      <xdr:rowOff>66675</xdr:rowOff>
    </xdr:to>
    <xdr:sp macro="" textlink="">
      <xdr:nvSpPr>
        <xdr:cNvPr id="7172" name="_x0000_t202" hidden="1">
          <a:extLst>
            <a:ext uri="{FF2B5EF4-FFF2-40B4-BE49-F238E27FC236}">
              <a16:creationId xmlns:a16="http://schemas.microsoft.com/office/drawing/2014/main" id="{00000000-0008-0000-0900-000004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1123950</xdr:colOff>
      <xdr:row>53</xdr:row>
      <xdr:rowOff>152400</xdr:rowOff>
    </xdr:to>
    <xdr:sp macro="" textlink="">
      <xdr:nvSpPr>
        <xdr:cNvPr id="8197" name="_x0000_t202" hidden="1">
          <a:extLst>
            <a:ext uri="{FF2B5EF4-FFF2-40B4-BE49-F238E27FC236}">
              <a16:creationId xmlns:a16="http://schemas.microsoft.com/office/drawing/2014/main" id="{00000000-0008-0000-0A00-000005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647700</xdr:colOff>
      <xdr:row>54</xdr:row>
      <xdr:rowOff>38100</xdr:rowOff>
    </xdr:to>
    <xdr:sp macro="" textlink="">
      <xdr:nvSpPr>
        <xdr:cNvPr id="9222" name="_x0000_t202" hidden="1">
          <a:extLst>
            <a:ext uri="{FF2B5EF4-FFF2-40B4-BE49-F238E27FC236}">
              <a16:creationId xmlns:a16="http://schemas.microsoft.com/office/drawing/2014/main" id="{00000000-0008-0000-0B00-000006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647700</xdr:colOff>
      <xdr:row>22</xdr:row>
      <xdr:rowOff>561975</xdr:rowOff>
    </xdr:to>
    <xdr:sp macro="" textlink="">
      <xdr:nvSpPr>
        <xdr:cNvPr id="10241" name="_x0000_t202" hidden="1">
          <a:extLst>
            <a:ext uri="{FF2B5EF4-FFF2-40B4-BE49-F238E27FC236}">
              <a16:creationId xmlns:a16="http://schemas.microsoft.com/office/drawing/2014/main" id="{00000000-0008-0000-0C00-000001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0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D18"/>
  <sheetViews>
    <sheetView workbookViewId="0">
      <selection activeCell="C22" sqref="C22"/>
    </sheetView>
  </sheetViews>
  <sheetFormatPr defaultRowHeight="13.2" x14ac:dyDescent="0.25"/>
  <cols>
    <col min="2" max="2" width="23.88671875" customWidth="1"/>
    <col min="3" max="3" width="36.88671875" customWidth="1"/>
    <col min="4" max="4" width="41.44140625" customWidth="1"/>
  </cols>
  <sheetData>
    <row r="4" spans="2:4" ht="14.4" x14ac:dyDescent="0.3">
      <c r="B4" s="56" t="s">
        <v>60</v>
      </c>
      <c r="C4" s="56" t="s">
        <v>58</v>
      </c>
      <c r="D4" s="56" t="s">
        <v>59</v>
      </c>
    </row>
    <row r="5" spans="2:4" ht="14.4" x14ac:dyDescent="0.3">
      <c r="B5" s="55" t="s">
        <v>61</v>
      </c>
      <c r="C5" s="54" t="s">
        <v>62</v>
      </c>
      <c r="D5" s="53" t="s">
        <v>62</v>
      </c>
    </row>
    <row r="6" spans="2:4" ht="14.4" x14ac:dyDescent="0.3">
      <c r="B6" s="55" t="s">
        <v>63</v>
      </c>
      <c r="C6" s="54" t="s">
        <v>62</v>
      </c>
      <c r="D6" s="54" t="s">
        <v>62</v>
      </c>
    </row>
    <row r="7" spans="2:4" ht="14.4" x14ac:dyDescent="0.3">
      <c r="B7" s="55" t="s">
        <v>64</v>
      </c>
      <c r="C7" s="53" t="s">
        <v>65</v>
      </c>
      <c r="D7" s="53" t="s">
        <v>65</v>
      </c>
    </row>
    <row r="8" spans="2:4" ht="14.4" x14ac:dyDescent="0.3">
      <c r="B8" s="55" t="s">
        <v>66</v>
      </c>
      <c r="C8" s="57" t="s">
        <v>67</v>
      </c>
      <c r="D8" s="57" t="s">
        <v>65</v>
      </c>
    </row>
    <row r="9" spans="2:4" ht="14.4" x14ac:dyDescent="0.3">
      <c r="B9" s="55" t="s">
        <v>73</v>
      </c>
      <c r="C9" s="59" t="s">
        <v>62</v>
      </c>
      <c r="D9" s="54" t="s">
        <v>62</v>
      </c>
    </row>
    <row r="10" spans="2:4" ht="14.4" x14ac:dyDescent="0.3">
      <c r="B10" s="55" t="s">
        <v>69</v>
      </c>
      <c r="C10" s="54" t="s">
        <v>70</v>
      </c>
      <c r="D10" s="54" t="s">
        <v>70</v>
      </c>
    </row>
    <row r="11" spans="2:4" ht="14.4" x14ac:dyDescent="0.3">
      <c r="B11" s="55" t="s">
        <v>71</v>
      </c>
      <c r="C11" s="54" t="s">
        <v>62</v>
      </c>
      <c r="D11" s="54" t="s">
        <v>62</v>
      </c>
    </row>
    <row r="12" spans="2:4" ht="14.4" x14ac:dyDescent="0.3">
      <c r="B12" s="55" t="s">
        <v>72</v>
      </c>
      <c r="C12" s="59" t="s">
        <v>74</v>
      </c>
      <c r="D12" s="54" t="s">
        <v>62</v>
      </c>
    </row>
    <row r="13" spans="2:4" ht="14.4" x14ac:dyDescent="0.3">
      <c r="B13" s="60" t="s">
        <v>76</v>
      </c>
      <c r="C13" s="61" t="s">
        <v>62</v>
      </c>
      <c r="D13" s="61" t="s">
        <v>62</v>
      </c>
    </row>
    <row r="14" spans="2:4" ht="14.4" x14ac:dyDescent="0.3">
      <c r="B14" s="60" t="s">
        <v>75</v>
      </c>
      <c r="C14" s="62" t="s">
        <v>70</v>
      </c>
      <c r="D14" s="61" t="s">
        <v>62</v>
      </c>
    </row>
    <row r="15" spans="2:4" ht="14.4" x14ac:dyDescent="0.3">
      <c r="B15" s="64" t="s">
        <v>77</v>
      </c>
      <c r="C15" s="61" t="s">
        <v>62</v>
      </c>
      <c r="D15" s="61" t="s">
        <v>62</v>
      </c>
    </row>
    <row r="16" spans="2:4" ht="14.4" x14ac:dyDescent="0.3">
      <c r="B16" s="64" t="s">
        <v>78</v>
      </c>
      <c r="C16" s="63" t="s">
        <v>62</v>
      </c>
      <c r="D16" s="61" t="s">
        <v>62</v>
      </c>
    </row>
    <row r="17" spans="2:4" ht="14.4" x14ac:dyDescent="0.3">
      <c r="B17" s="64" t="s">
        <v>79</v>
      </c>
      <c r="C17" s="63" t="s">
        <v>62</v>
      </c>
      <c r="D17" s="63" t="s">
        <v>62</v>
      </c>
    </row>
    <row r="18" spans="2:4" ht="14.4" x14ac:dyDescent="0.3">
      <c r="B18" s="64" t="s">
        <v>80</v>
      </c>
      <c r="C18" s="63" t="s">
        <v>62</v>
      </c>
      <c r="D18" s="63" t="s">
        <v>62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S41"/>
  <sheetViews>
    <sheetView zoomScalePageLayoutView="60" workbookViewId="0">
      <selection activeCell="G24" sqref="G24"/>
    </sheetView>
  </sheetViews>
  <sheetFormatPr defaultRowHeight="13.2" x14ac:dyDescent="0.25"/>
  <cols>
    <col min="1" max="2" width="11.6640625" style="58" customWidth="1"/>
    <col min="3" max="3" width="12.109375" style="58" customWidth="1"/>
    <col min="4" max="4" width="12.33203125" style="58" customWidth="1"/>
    <col min="5" max="5" width="11.6640625" style="58" customWidth="1"/>
    <col min="6" max="6" width="14" style="58" customWidth="1"/>
    <col min="7" max="7" width="11.6640625" style="58" customWidth="1"/>
    <col min="8" max="8" width="15.5546875" style="58" customWidth="1"/>
    <col min="9" max="9" width="17.6640625" style="58" customWidth="1"/>
    <col min="10" max="10" width="15" style="58" customWidth="1"/>
    <col min="11" max="12" width="11.6640625" style="58" customWidth="1"/>
    <col min="13" max="13" width="14.109375" style="58" customWidth="1"/>
    <col min="14" max="256" width="11.6640625" style="58" customWidth="1"/>
    <col min="257" max="1025" width="11.5546875" style="58"/>
    <col min="1026" max="16384" width="8.88671875" style="58"/>
  </cols>
  <sheetData>
    <row r="1" spans="2:19" ht="13.8" thickBot="1" x14ac:dyDescent="0.3"/>
    <row r="2" spans="2:19" ht="13.95" customHeight="1" x14ac:dyDescent="0.25">
      <c r="B2" s="256" t="s">
        <v>0</v>
      </c>
      <c r="C2" s="240" t="s">
        <v>1</v>
      </c>
      <c r="D2" s="240"/>
      <c r="E2" s="241" t="s">
        <v>2</v>
      </c>
      <c r="F2" s="253" t="s">
        <v>19</v>
      </c>
      <c r="G2" s="241" t="s">
        <v>3</v>
      </c>
      <c r="H2" s="240" t="s">
        <v>4</v>
      </c>
      <c r="I2" s="240" t="s">
        <v>5</v>
      </c>
      <c r="J2" s="257" t="s">
        <v>6</v>
      </c>
      <c r="K2" s="241" t="s">
        <v>7</v>
      </c>
      <c r="L2" s="241" t="s">
        <v>8</v>
      </c>
      <c r="M2" s="240" t="s">
        <v>9</v>
      </c>
      <c r="P2" s="236">
        <v>44774</v>
      </c>
      <c r="Q2" s="237"/>
      <c r="R2" s="237"/>
      <c r="S2" s="238"/>
    </row>
    <row r="3" spans="2:19" ht="53.25" customHeight="1" thickBot="1" x14ac:dyDescent="0.3">
      <c r="B3" s="256"/>
      <c r="C3" s="175" t="s">
        <v>10</v>
      </c>
      <c r="D3" s="168" t="s">
        <v>11</v>
      </c>
      <c r="E3" s="241"/>
      <c r="F3" s="253"/>
      <c r="G3" s="241"/>
      <c r="H3" s="240"/>
      <c r="I3" s="240"/>
      <c r="J3" s="241"/>
      <c r="K3" s="241"/>
      <c r="L3" s="241"/>
      <c r="M3" s="269"/>
      <c r="P3" s="114" t="s">
        <v>138</v>
      </c>
      <c r="Q3" s="115" t="s">
        <v>139</v>
      </c>
      <c r="R3" s="116"/>
      <c r="S3" s="117"/>
    </row>
    <row r="4" spans="2:19" ht="14.4" x14ac:dyDescent="0.3">
      <c r="B4" s="81">
        <v>44287</v>
      </c>
      <c r="C4" s="77">
        <v>44287</v>
      </c>
      <c r="D4" s="78">
        <v>44317</v>
      </c>
      <c r="E4" s="71">
        <v>868320</v>
      </c>
      <c r="F4" s="70">
        <v>32083</v>
      </c>
      <c r="G4" s="72">
        <v>2880</v>
      </c>
      <c r="H4" s="71">
        <f>E4-G4</f>
        <v>865440</v>
      </c>
      <c r="I4" s="71">
        <f>E4+F4-G4</f>
        <v>897523</v>
      </c>
      <c r="J4" s="80">
        <f>MIN(H4,I4)/1000</f>
        <v>865.44</v>
      </c>
      <c r="K4" s="72">
        <v>0.97699999999999998</v>
      </c>
      <c r="L4" s="91">
        <f t="shared" ref="L4:L19" si="0">J4*K4</f>
        <v>845.53488000000004</v>
      </c>
      <c r="M4" s="251">
        <f>ROUNDDOWN((SUM(L4:L12)),0)</f>
        <v>6335</v>
      </c>
      <c r="N4" s="152">
        <f>M4</f>
        <v>6335</v>
      </c>
      <c r="P4" s="149"/>
      <c r="Q4" s="150"/>
      <c r="R4" s="151"/>
      <c r="S4" s="151"/>
    </row>
    <row r="5" spans="2:19" ht="14.4" x14ac:dyDescent="0.3">
      <c r="B5" s="81">
        <v>44317</v>
      </c>
      <c r="C5" s="77">
        <v>44317</v>
      </c>
      <c r="D5" s="78">
        <v>44348</v>
      </c>
      <c r="E5" s="79">
        <v>717120</v>
      </c>
      <c r="F5" s="177">
        <v>159979</v>
      </c>
      <c r="G5" s="79">
        <v>2160</v>
      </c>
      <c r="H5" s="71">
        <f t="shared" ref="H5:H20" si="1">E5-G5</f>
        <v>714960</v>
      </c>
      <c r="I5" s="71">
        <f t="shared" ref="I5:I20" si="2">E5+F5-G5</f>
        <v>874939</v>
      </c>
      <c r="J5" s="80">
        <f t="shared" ref="J5:J20" si="3">MIN(H5,I5)/1000</f>
        <v>714.96</v>
      </c>
      <c r="K5" s="72">
        <v>0.97699999999999998</v>
      </c>
      <c r="L5" s="91">
        <f t="shared" si="0"/>
        <v>698.51592000000005</v>
      </c>
      <c r="M5" s="249"/>
      <c r="P5" s="153">
        <v>44774</v>
      </c>
      <c r="Q5" s="154">
        <v>26520.432739676569</v>
      </c>
      <c r="R5" s="155"/>
      <c r="S5" s="155"/>
    </row>
    <row r="6" spans="2:19" ht="14.4" x14ac:dyDescent="0.3">
      <c r="B6" s="81">
        <v>44348</v>
      </c>
      <c r="C6" s="77">
        <v>44348</v>
      </c>
      <c r="D6" s="78">
        <v>44378</v>
      </c>
      <c r="E6" s="79">
        <v>857520</v>
      </c>
      <c r="F6" s="177">
        <v>28219</v>
      </c>
      <c r="G6" s="79">
        <v>2160</v>
      </c>
      <c r="H6" s="71">
        <f t="shared" si="1"/>
        <v>855360</v>
      </c>
      <c r="I6" s="71">
        <f t="shared" si="2"/>
        <v>883579</v>
      </c>
      <c r="J6" s="80">
        <f t="shared" si="3"/>
        <v>855.36</v>
      </c>
      <c r="K6" s="72">
        <v>0.97699999999999998</v>
      </c>
      <c r="L6" s="91">
        <f t="shared" si="0"/>
        <v>835.68672000000004</v>
      </c>
      <c r="M6" s="249"/>
      <c r="P6" s="153">
        <v>44775</v>
      </c>
      <c r="Q6" s="154">
        <v>12624.799520046094</v>
      </c>
      <c r="R6" s="121"/>
      <c r="S6" s="155"/>
    </row>
    <row r="7" spans="2:19" ht="14.4" x14ac:dyDescent="0.3">
      <c r="B7" s="81">
        <v>44378</v>
      </c>
      <c r="C7" s="77">
        <v>44378</v>
      </c>
      <c r="D7" s="78">
        <v>44409</v>
      </c>
      <c r="E7" s="79">
        <v>637200</v>
      </c>
      <c r="F7" s="177">
        <v>103629</v>
      </c>
      <c r="G7" s="79">
        <v>2880</v>
      </c>
      <c r="H7" s="71">
        <f t="shared" si="1"/>
        <v>634320</v>
      </c>
      <c r="I7" s="71">
        <f t="shared" si="2"/>
        <v>737949</v>
      </c>
      <c r="J7" s="80">
        <f t="shared" si="3"/>
        <v>634.32000000000005</v>
      </c>
      <c r="K7" s="72">
        <v>0.97699999999999998</v>
      </c>
      <c r="L7" s="91">
        <f t="shared" si="0"/>
        <v>619.73063999999999</v>
      </c>
      <c r="M7" s="249"/>
      <c r="P7" s="153">
        <v>44776</v>
      </c>
      <c r="Q7" s="154">
        <v>28034.042744670049</v>
      </c>
      <c r="R7" s="121"/>
      <c r="S7" s="155"/>
    </row>
    <row r="8" spans="2:19" ht="14.4" x14ac:dyDescent="0.3">
      <c r="B8" s="81">
        <v>44409</v>
      </c>
      <c r="C8" s="77">
        <v>44409</v>
      </c>
      <c r="D8" s="78">
        <v>44440</v>
      </c>
      <c r="E8" s="79">
        <v>764640</v>
      </c>
      <c r="F8" s="177">
        <v>0</v>
      </c>
      <c r="G8" s="79">
        <v>2160</v>
      </c>
      <c r="H8" s="71">
        <f t="shared" si="1"/>
        <v>762480</v>
      </c>
      <c r="I8" s="71">
        <f t="shared" si="2"/>
        <v>762480</v>
      </c>
      <c r="J8" s="80">
        <f t="shared" si="3"/>
        <v>762.48</v>
      </c>
      <c r="K8" s="72">
        <v>0.97699999999999998</v>
      </c>
      <c r="L8" s="91">
        <f t="shared" si="0"/>
        <v>744.94295999999997</v>
      </c>
      <c r="M8" s="249"/>
      <c r="P8" s="153">
        <v>44777</v>
      </c>
      <c r="Q8" s="154">
        <v>1851.9689514747474</v>
      </c>
      <c r="R8" s="121"/>
      <c r="S8" s="155"/>
    </row>
    <row r="9" spans="2:19" ht="14.4" x14ac:dyDescent="0.3">
      <c r="B9" s="81">
        <v>44440</v>
      </c>
      <c r="C9" s="77">
        <v>44440</v>
      </c>
      <c r="D9" s="78">
        <v>44470</v>
      </c>
      <c r="E9" s="79">
        <v>644400</v>
      </c>
      <c r="F9" s="177">
        <v>17520</v>
      </c>
      <c r="G9" s="79">
        <v>2880</v>
      </c>
      <c r="H9" s="71">
        <f t="shared" si="1"/>
        <v>641520</v>
      </c>
      <c r="I9" s="71">
        <f t="shared" si="2"/>
        <v>659040</v>
      </c>
      <c r="J9" s="80">
        <f t="shared" si="3"/>
        <v>641.52</v>
      </c>
      <c r="K9" s="72">
        <v>0.97699999999999998</v>
      </c>
      <c r="L9" s="91">
        <f t="shared" si="0"/>
        <v>626.76504</v>
      </c>
      <c r="M9" s="249"/>
      <c r="P9" s="153">
        <v>44778</v>
      </c>
      <c r="Q9" s="154">
        <v>25989.247703061501</v>
      </c>
      <c r="R9" s="121"/>
      <c r="S9" s="155"/>
    </row>
    <row r="10" spans="2:19" ht="14.4" x14ac:dyDescent="0.3">
      <c r="B10" s="81">
        <v>44470</v>
      </c>
      <c r="C10" s="77">
        <v>44470</v>
      </c>
      <c r="D10" s="78">
        <v>44501</v>
      </c>
      <c r="E10" s="79">
        <v>770400</v>
      </c>
      <c r="F10" s="177">
        <v>11427</v>
      </c>
      <c r="G10" s="79">
        <v>2160</v>
      </c>
      <c r="H10" s="71">
        <f t="shared" si="1"/>
        <v>768240</v>
      </c>
      <c r="I10" s="71">
        <f t="shared" si="2"/>
        <v>779667</v>
      </c>
      <c r="J10" s="80">
        <f t="shared" si="3"/>
        <v>768.24</v>
      </c>
      <c r="K10" s="72">
        <v>0.97699999999999998</v>
      </c>
      <c r="L10" s="91">
        <f t="shared" si="0"/>
        <v>750.57047999999998</v>
      </c>
      <c r="M10" s="249"/>
      <c r="P10" s="153">
        <v>44779</v>
      </c>
      <c r="Q10" s="154">
        <v>34417.864186521489</v>
      </c>
      <c r="R10" s="121"/>
      <c r="S10" s="155"/>
    </row>
    <row r="11" spans="2:19" ht="14.4" x14ac:dyDescent="0.3">
      <c r="B11" s="81">
        <v>44501</v>
      </c>
      <c r="C11" s="77">
        <v>44501</v>
      </c>
      <c r="D11" s="78">
        <v>44531</v>
      </c>
      <c r="E11" s="79">
        <v>653760</v>
      </c>
      <c r="F11" s="177">
        <v>6112</v>
      </c>
      <c r="G11" s="79">
        <v>2880</v>
      </c>
      <c r="H11" s="71">
        <f t="shared" si="1"/>
        <v>650880</v>
      </c>
      <c r="I11" s="71">
        <f t="shared" si="2"/>
        <v>656992</v>
      </c>
      <c r="J11" s="80">
        <f t="shared" si="3"/>
        <v>650.88</v>
      </c>
      <c r="K11" s="72">
        <v>0.97699999999999998</v>
      </c>
      <c r="L11" s="91">
        <f t="shared" si="0"/>
        <v>635.90976000000001</v>
      </c>
      <c r="M11" s="249"/>
      <c r="P11" s="153">
        <v>44780</v>
      </c>
      <c r="Q11" s="154">
        <v>691.38254952040336</v>
      </c>
      <c r="R11" s="121"/>
      <c r="S11" s="155"/>
    </row>
    <row r="12" spans="2:19" ht="15" thickBot="1" x14ac:dyDescent="0.35">
      <c r="B12" s="81">
        <v>44531</v>
      </c>
      <c r="C12" s="77">
        <v>44531</v>
      </c>
      <c r="D12" s="78">
        <v>44562</v>
      </c>
      <c r="E12" s="79">
        <v>595440</v>
      </c>
      <c r="F12" s="177">
        <v>780</v>
      </c>
      <c r="G12" s="79">
        <v>3600</v>
      </c>
      <c r="H12" s="71">
        <f t="shared" si="1"/>
        <v>591840</v>
      </c>
      <c r="I12" s="71">
        <f t="shared" si="2"/>
        <v>592620</v>
      </c>
      <c r="J12" s="80">
        <f t="shared" si="3"/>
        <v>591.84</v>
      </c>
      <c r="K12" s="72">
        <v>0.97699999999999998</v>
      </c>
      <c r="L12" s="91">
        <f t="shared" si="0"/>
        <v>578.22767999999996</v>
      </c>
      <c r="M12" s="250"/>
      <c r="P12" s="153">
        <v>44781</v>
      </c>
      <c r="Q12" s="154">
        <v>27113.055527289056</v>
      </c>
      <c r="R12" s="121"/>
      <c r="S12" s="155"/>
    </row>
    <row r="13" spans="2:19" ht="14.4" x14ac:dyDescent="0.3">
      <c r="B13" s="81">
        <v>44562</v>
      </c>
      <c r="C13" s="77">
        <v>44562</v>
      </c>
      <c r="D13" s="78">
        <v>44593</v>
      </c>
      <c r="E13" s="79">
        <v>650880</v>
      </c>
      <c r="F13" s="177">
        <v>11136</v>
      </c>
      <c r="G13" s="79">
        <v>2880</v>
      </c>
      <c r="H13" s="71">
        <f t="shared" si="1"/>
        <v>648000</v>
      </c>
      <c r="I13" s="71">
        <f t="shared" si="2"/>
        <v>659136</v>
      </c>
      <c r="J13" s="80">
        <f t="shared" si="3"/>
        <v>648</v>
      </c>
      <c r="K13" s="72">
        <v>0.97699999999999998</v>
      </c>
      <c r="L13" s="91">
        <f t="shared" si="0"/>
        <v>633.096</v>
      </c>
      <c r="M13" s="251">
        <f>ROUNDDOWN((SUM(L13:L20)),0)</f>
        <v>5898</v>
      </c>
      <c r="N13" s="152">
        <f>M13</f>
        <v>5898</v>
      </c>
      <c r="P13" s="153">
        <v>44782</v>
      </c>
      <c r="Q13" s="154">
        <v>36865.904235701018</v>
      </c>
      <c r="R13" s="121"/>
      <c r="S13" s="155"/>
    </row>
    <row r="14" spans="2:19" ht="14.4" x14ac:dyDescent="0.3">
      <c r="B14" s="81">
        <v>44593</v>
      </c>
      <c r="C14" s="77">
        <v>44593</v>
      </c>
      <c r="D14" s="78">
        <v>44621</v>
      </c>
      <c r="E14" s="79">
        <v>749520</v>
      </c>
      <c r="F14" s="177">
        <v>12227</v>
      </c>
      <c r="G14" s="79">
        <v>2160</v>
      </c>
      <c r="H14" s="71">
        <f t="shared" si="1"/>
        <v>747360</v>
      </c>
      <c r="I14" s="71">
        <f t="shared" si="2"/>
        <v>759587</v>
      </c>
      <c r="J14" s="80">
        <f t="shared" si="3"/>
        <v>747.36</v>
      </c>
      <c r="K14" s="72">
        <v>0.97699999999999998</v>
      </c>
      <c r="L14" s="91">
        <f t="shared" si="0"/>
        <v>730.17071999999996</v>
      </c>
      <c r="M14" s="249"/>
      <c r="P14" s="153">
        <v>44783</v>
      </c>
      <c r="Q14" s="154">
        <v>28345.70480413947</v>
      </c>
      <c r="R14" s="121"/>
      <c r="S14" s="155"/>
    </row>
    <row r="15" spans="2:19" ht="14.4" x14ac:dyDescent="0.3">
      <c r="B15" s="81">
        <v>44621</v>
      </c>
      <c r="C15" s="77">
        <v>44621</v>
      </c>
      <c r="D15" s="78">
        <v>44652</v>
      </c>
      <c r="E15" s="79">
        <v>911520</v>
      </c>
      <c r="F15" s="177">
        <v>14972</v>
      </c>
      <c r="G15" s="79">
        <v>2880</v>
      </c>
      <c r="H15" s="71">
        <f t="shared" si="1"/>
        <v>908640</v>
      </c>
      <c r="I15" s="71">
        <f t="shared" si="2"/>
        <v>923612</v>
      </c>
      <c r="J15" s="80">
        <f t="shared" si="3"/>
        <v>908.64</v>
      </c>
      <c r="K15" s="72">
        <v>0.97699999999999998</v>
      </c>
      <c r="L15" s="91">
        <f t="shared" si="0"/>
        <v>887.74127999999996</v>
      </c>
      <c r="M15" s="249"/>
      <c r="P15" s="153">
        <v>44784</v>
      </c>
      <c r="Q15" s="154">
        <v>34301.563920088716</v>
      </c>
      <c r="R15" s="155"/>
      <c r="S15" s="155"/>
    </row>
    <row r="16" spans="2:19" ht="14.4" x14ac:dyDescent="0.3">
      <c r="B16" s="81">
        <v>44652</v>
      </c>
      <c r="C16" s="77">
        <v>44652</v>
      </c>
      <c r="D16" s="78">
        <v>44682</v>
      </c>
      <c r="E16" s="79">
        <v>844560</v>
      </c>
      <c r="F16" s="177">
        <v>76762</v>
      </c>
      <c r="G16" s="79">
        <v>2880</v>
      </c>
      <c r="H16" s="71">
        <f t="shared" si="1"/>
        <v>841680</v>
      </c>
      <c r="I16" s="71">
        <f t="shared" si="2"/>
        <v>918442</v>
      </c>
      <c r="J16" s="80">
        <f t="shared" si="3"/>
        <v>841.68</v>
      </c>
      <c r="K16" s="72">
        <v>0.97699999999999998</v>
      </c>
      <c r="L16" s="91">
        <f t="shared" si="0"/>
        <v>822.32135999999991</v>
      </c>
      <c r="M16" s="249"/>
      <c r="P16" s="153">
        <v>44785</v>
      </c>
      <c r="Q16" s="157">
        <v>37564.514255658723</v>
      </c>
      <c r="R16" s="151"/>
      <c r="S16" s="158"/>
    </row>
    <row r="17" spans="2:19" ht="14.4" x14ac:dyDescent="0.3">
      <c r="B17" s="81">
        <v>44682</v>
      </c>
      <c r="C17" s="77">
        <v>44682</v>
      </c>
      <c r="D17" s="78">
        <v>44713</v>
      </c>
      <c r="E17" s="79">
        <v>861840</v>
      </c>
      <c r="F17" s="177">
        <v>61297</v>
      </c>
      <c r="G17" s="79">
        <v>2160</v>
      </c>
      <c r="H17" s="71">
        <f t="shared" si="1"/>
        <v>859680</v>
      </c>
      <c r="I17" s="71">
        <f t="shared" si="2"/>
        <v>920977</v>
      </c>
      <c r="J17" s="80">
        <f t="shared" si="3"/>
        <v>859.68</v>
      </c>
      <c r="K17" s="72">
        <v>0.97699999999999998</v>
      </c>
      <c r="L17" s="91">
        <f t="shared" si="0"/>
        <v>839.90735999999993</v>
      </c>
      <c r="M17" s="249"/>
      <c r="P17" s="153">
        <v>44786</v>
      </c>
      <c r="Q17" s="157">
        <v>36417.094538163743</v>
      </c>
      <c r="R17" s="151"/>
      <c r="S17" s="158"/>
    </row>
    <row r="18" spans="2:19" ht="14.4" x14ac:dyDescent="0.3">
      <c r="B18" s="81">
        <v>44713</v>
      </c>
      <c r="C18" s="77">
        <v>44713</v>
      </c>
      <c r="D18" s="78">
        <v>44743</v>
      </c>
      <c r="E18" s="79">
        <v>828720</v>
      </c>
      <c r="F18" s="177">
        <v>6223</v>
      </c>
      <c r="G18" s="79">
        <v>2160</v>
      </c>
      <c r="H18" s="71">
        <f t="shared" si="1"/>
        <v>826560</v>
      </c>
      <c r="I18" s="71">
        <f t="shared" si="2"/>
        <v>832783</v>
      </c>
      <c r="J18" s="80">
        <f t="shared" si="3"/>
        <v>826.56</v>
      </c>
      <c r="K18" s="72">
        <v>0.97699999999999998</v>
      </c>
      <c r="L18" s="91">
        <f t="shared" si="0"/>
        <v>807.5491199999999</v>
      </c>
      <c r="M18" s="249"/>
      <c r="P18" s="153">
        <v>44787</v>
      </c>
      <c r="Q18" s="157">
        <v>8774.7858291813754</v>
      </c>
      <c r="R18" s="151"/>
      <c r="S18" s="158"/>
    </row>
    <row r="19" spans="2:19" ht="14.4" x14ac:dyDescent="0.3">
      <c r="B19" s="81">
        <v>44743</v>
      </c>
      <c r="C19" s="77">
        <v>44743</v>
      </c>
      <c r="D19" s="78">
        <v>44774</v>
      </c>
      <c r="E19" s="79">
        <v>592560</v>
      </c>
      <c r="F19" s="177">
        <v>50875</v>
      </c>
      <c r="G19" s="79">
        <v>2160</v>
      </c>
      <c r="H19" s="71">
        <f t="shared" si="1"/>
        <v>590400</v>
      </c>
      <c r="I19" s="71">
        <f t="shared" si="2"/>
        <v>641275</v>
      </c>
      <c r="J19" s="80">
        <f t="shared" si="3"/>
        <v>590.4</v>
      </c>
      <c r="K19" s="72">
        <v>0.97699999999999998</v>
      </c>
      <c r="L19" s="91">
        <f t="shared" si="0"/>
        <v>576.82079999999996</v>
      </c>
      <c r="M19" s="249"/>
      <c r="P19" s="153">
        <v>44788</v>
      </c>
      <c r="Q19" s="157">
        <v>10885.734147564608</v>
      </c>
      <c r="R19" s="151"/>
      <c r="S19" s="158"/>
    </row>
    <row r="20" spans="2:19" ht="15" thickBot="1" x14ac:dyDescent="0.35">
      <c r="B20" s="81">
        <v>44774</v>
      </c>
      <c r="C20" s="77">
        <v>44774</v>
      </c>
      <c r="D20" s="78">
        <v>44805</v>
      </c>
      <c r="E20" s="136">
        <f>627120*S41</f>
        <v>617088.31027650309</v>
      </c>
      <c r="F20" s="177">
        <v>7109</v>
      </c>
      <c r="G20" s="79">
        <v>2160</v>
      </c>
      <c r="H20" s="71">
        <f t="shared" si="1"/>
        <v>614928.31027650309</v>
      </c>
      <c r="I20" s="71">
        <f t="shared" si="2"/>
        <v>622037.31027650309</v>
      </c>
      <c r="J20" s="80">
        <f t="shared" si="3"/>
        <v>614.92831027650311</v>
      </c>
      <c r="K20" s="72">
        <v>0.97699999999999998</v>
      </c>
      <c r="L20" s="91">
        <f>J20*K20</f>
        <v>600.78495914014354</v>
      </c>
      <c r="M20" s="250"/>
      <c r="P20" s="153">
        <v>44789</v>
      </c>
      <c r="Q20" s="157">
        <v>32576.582874267646</v>
      </c>
      <c r="R20" s="151"/>
      <c r="S20" s="158"/>
    </row>
    <row r="21" spans="2:19" ht="14.4" x14ac:dyDescent="0.3">
      <c r="B21" s="252" t="s">
        <v>12</v>
      </c>
      <c r="C21" s="252"/>
      <c r="D21" s="252"/>
      <c r="E21" s="171"/>
      <c r="F21" s="178"/>
      <c r="G21" s="171"/>
      <c r="H21" s="185">
        <f>ROUNDDOWN((SUM(H4:H19)),0)</f>
        <v>11907360</v>
      </c>
      <c r="I21" s="185">
        <f>ROUNDDOWN((SUM(I4:I19)),0)</f>
        <v>12500601</v>
      </c>
      <c r="J21" s="185">
        <f>ROUNDDOWN((SUM(J4:J19)),0)</f>
        <v>11907</v>
      </c>
      <c r="K21" s="72"/>
      <c r="L21" s="185">
        <f>ROUNDDOWN((SUM(L4:L20)),0)</f>
        <v>12234</v>
      </c>
      <c r="M21" s="179">
        <f>M13+M4</f>
        <v>12233</v>
      </c>
      <c r="P21" s="153">
        <v>44790</v>
      </c>
      <c r="Q21" s="157">
        <v>12735.817777683311</v>
      </c>
      <c r="R21" s="151"/>
      <c r="S21" s="158"/>
    </row>
    <row r="22" spans="2:19" x14ac:dyDescent="0.25">
      <c r="P22" s="153">
        <v>44791</v>
      </c>
      <c r="Q22" s="122">
        <v>5071.0917406982435</v>
      </c>
      <c r="R22" s="116"/>
      <c r="S22" s="117"/>
    </row>
    <row r="23" spans="2:19" x14ac:dyDescent="0.25">
      <c r="P23" s="153">
        <v>44792</v>
      </c>
      <c r="Q23" s="122">
        <v>26977.352874963322</v>
      </c>
      <c r="R23" s="116"/>
      <c r="S23" s="117"/>
    </row>
    <row r="24" spans="2:19" x14ac:dyDescent="0.25">
      <c r="P24" s="153">
        <v>44793</v>
      </c>
      <c r="Q24" s="122">
        <v>24200.311974335396</v>
      </c>
      <c r="R24" s="116"/>
      <c r="S24" s="117"/>
    </row>
    <row r="25" spans="2:19" x14ac:dyDescent="0.25">
      <c r="P25" s="153">
        <v>44794</v>
      </c>
      <c r="Q25" s="122">
        <v>2621.7880287160874</v>
      </c>
      <c r="R25" s="116"/>
      <c r="S25" s="117"/>
    </row>
    <row r="26" spans="2:19" x14ac:dyDescent="0.25">
      <c r="P26" s="153">
        <v>44795</v>
      </c>
      <c r="Q26" s="122">
        <v>13051.061195877381</v>
      </c>
      <c r="R26" s="116"/>
      <c r="S26" s="117"/>
    </row>
    <row r="27" spans="2:19" x14ac:dyDescent="0.25">
      <c r="P27" s="153">
        <v>44796</v>
      </c>
      <c r="Q27" s="122">
        <v>687.40767898991817</v>
      </c>
      <c r="R27" s="116"/>
      <c r="S27" s="117"/>
    </row>
    <row r="28" spans="2:19" x14ac:dyDescent="0.25">
      <c r="P28" s="153">
        <v>44797</v>
      </c>
      <c r="Q28" s="122">
        <v>13013.46294671457</v>
      </c>
      <c r="R28" s="116"/>
      <c r="S28" s="117"/>
    </row>
    <row r="29" spans="2:19" x14ac:dyDescent="0.25">
      <c r="P29" s="153">
        <v>44798</v>
      </c>
      <c r="Q29" s="122">
        <v>18282.788257917509</v>
      </c>
      <c r="R29" s="116"/>
      <c r="S29" s="117"/>
    </row>
    <row r="30" spans="2:19" x14ac:dyDescent="0.25">
      <c r="P30" s="153">
        <v>44799</v>
      </c>
      <c r="Q30" s="122">
        <v>730.17278886216184</v>
      </c>
      <c r="R30" s="116"/>
      <c r="S30" s="117"/>
    </row>
    <row r="31" spans="2:19" x14ac:dyDescent="0.25">
      <c r="P31" s="153">
        <v>44800</v>
      </c>
      <c r="Q31" s="122">
        <v>32592.050700616041</v>
      </c>
      <c r="R31" s="116"/>
      <c r="S31" s="117"/>
    </row>
    <row r="32" spans="2:19" x14ac:dyDescent="0.25">
      <c r="P32" s="153">
        <v>44801</v>
      </c>
      <c r="Q32" s="122">
        <v>15615.860513033236</v>
      </c>
      <c r="R32" s="116"/>
      <c r="S32" s="117"/>
    </row>
    <row r="33" spans="16:19" x14ac:dyDescent="0.25">
      <c r="P33" s="153">
        <v>44802</v>
      </c>
      <c r="Q33" s="122">
        <v>31879.682089832768</v>
      </c>
      <c r="R33" s="116"/>
      <c r="S33" s="117"/>
    </row>
    <row r="34" spans="16:19" x14ac:dyDescent="0.25">
      <c r="P34" s="153">
        <v>44803</v>
      </c>
      <c r="Q34" s="122">
        <v>22705.424851302654</v>
      </c>
      <c r="R34" s="116"/>
      <c r="S34" s="117"/>
    </row>
    <row r="35" spans="16:19" x14ac:dyDescent="0.25">
      <c r="P35" s="153">
        <v>44804</v>
      </c>
      <c r="Q35" s="122">
        <v>12000</v>
      </c>
      <c r="R35" s="116"/>
      <c r="S35" s="117"/>
    </row>
    <row r="36" spans="16:19" x14ac:dyDescent="0.25">
      <c r="P36" s="153">
        <v>44805</v>
      </c>
      <c r="Q36" s="122">
        <v>10000</v>
      </c>
      <c r="R36" s="116"/>
      <c r="S36" s="117"/>
    </row>
    <row r="37" spans="16:19" x14ac:dyDescent="0.25">
      <c r="P37" s="123" t="s">
        <v>140</v>
      </c>
      <c r="Q37" s="124">
        <f>SUM(Q5:Q36)</f>
        <v>625138.95194656786</v>
      </c>
      <c r="R37" s="116"/>
      <c r="S37" s="117"/>
    </row>
    <row r="38" spans="16:19" ht="13.8" thickBot="1" x14ac:dyDescent="0.3">
      <c r="P38" s="125"/>
      <c r="Q38" s="116"/>
      <c r="R38" s="116"/>
      <c r="S38" s="117"/>
    </row>
    <row r="39" spans="16:19" x14ac:dyDescent="0.25">
      <c r="P39" s="127" t="s">
        <v>155</v>
      </c>
      <c r="Q39" s="128"/>
      <c r="R39" s="129"/>
      <c r="S39" s="120">
        <f>Q37</f>
        <v>625138.95194656786</v>
      </c>
    </row>
    <row r="40" spans="16:19" x14ac:dyDescent="0.25">
      <c r="P40" s="130" t="s">
        <v>156</v>
      </c>
      <c r="Q40" s="131"/>
      <c r="R40" s="132"/>
      <c r="S40" s="120">
        <f>SUM(Q5:Q35)</f>
        <v>615138.95194656786</v>
      </c>
    </row>
    <row r="41" spans="16:19" ht="13.8" thickBot="1" x14ac:dyDescent="0.3">
      <c r="P41" s="133" t="s">
        <v>141</v>
      </c>
      <c r="Q41" s="134"/>
      <c r="R41" s="135"/>
      <c r="S41" s="126">
        <f>S40/S39</f>
        <v>0.98400355637916681</v>
      </c>
    </row>
  </sheetData>
  <mergeCells count="15">
    <mergeCell ref="P2:S2"/>
    <mergeCell ref="M2:M3"/>
    <mergeCell ref="B21:D21"/>
    <mergeCell ref="H2:H3"/>
    <mergeCell ref="I2:I3"/>
    <mergeCell ref="J2:J3"/>
    <mergeCell ref="K2:K3"/>
    <mergeCell ref="L2:L3"/>
    <mergeCell ref="B2:B3"/>
    <mergeCell ref="C2:D2"/>
    <mergeCell ref="E2:E3"/>
    <mergeCell ref="F2:F3"/>
    <mergeCell ref="G2:G3"/>
    <mergeCell ref="M4:M12"/>
    <mergeCell ref="M13:M20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W41"/>
  <sheetViews>
    <sheetView topLeftCell="C1" zoomScalePageLayoutView="60" workbookViewId="0">
      <selection activeCell="G8" sqref="G8"/>
    </sheetView>
  </sheetViews>
  <sheetFormatPr defaultRowHeight="13.2" x14ac:dyDescent="0.25"/>
  <cols>
    <col min="1" max="2" width="11.6640625" customWidth="1"/>
    <col min="3" max="3" width="11.109375" customWidth="1"/>
    <col min="4" max="4" width="14" customWidth="1"/>
    <col min="5" max="5" width="14.5546875" customWidth="1"/>
    <col min="6" max="6" width="14.109375" customWidth="1"/>
    <col min="7" max="7" width="14.6640625" customWidth="1"/>
    <col min="8" max="8" width="16.109375" customWidth="1"/>
    <col min="9" max="9" width="17.88671875" customWidth="1"/>
    <col min="10" max="10" width="17" customWidth="1"/>
    <col min="11" max="11" width="12.88671875" customWidth="1"/>
    <col min="12" max="12" width="15.88671875" customWidth="1"/>
    <col min="13" max="13" width="14.109375" customWidth="1"/>
    <col min="14" max="17" width="11.6640625" customWidth="1"/>
    <col min="18" max="18" width="10.44140625" customWidth="1"/>
    <col min="19" max="256" width="11.6640625" customWidth="1"/>
    <col min="257" max="1025" width="11.5546875"/>
  </cols>
  <sheetData>
    <row r="1" spans="2:23" ht="13.8" thickBot="1" x14ac:dyDescent="0.3"/>
    <row r="2" spans="2:23" ht="13.95" customHeight="1" x14ac:dyDescent="0.25">
      <c r="B2" s="228" t="s">
        <v>0</v>
      </c>
      <c r="C2" s="229" t="s">
        <v>1</v>
      </c>
      <c r="D2" s="229"/>
      <c r="E2" s="222" t="s">
        <v>2</v>
      </c>
      <c r="F2" s="226" t="s">
        <v>19</v>
      </c>
      <c r="G2" s="222" t="s">
        <v>3</v>
      </c>
      <c r="H2" s="229" t="s">
        <v>4</v>
      </c>
      <c r="I2" s="229" t="s">
        <v>5</v>
      </c>
      <c r="J2" s="222" t="s">
        <v>6</v>
      </c>
      <c r="K2" s="222" t="s">
        <v>7</v>
      </c>
      <c r="L2" s="222" t="s">
        <v>8</v>
      </c>
      <c r="M2" s="229" t="s">
        <v>9</v>
      </c>
      <c r="O2" s="236">
        <v>44287</v>
      </c>
      <c r="P2" s="237"/>
      <c r="Q2" s="237"/>
      <c r="R2" s="238"/>
      <c r="T2" s="236">
        <v>44774</v>
      </c>
      <c r="U2" s="270"/>
      <c r="V2" s="270"/>
      <c r="W2" s="271"/>
    </row>
    <row r="3" spans="2:23" ht="33.75" customHeight="1" x14ac:dyDescent="0.25">
      <c r="B3" s="228"/>
      <c r="C3" s="2" t="s">
        <v>10</v>
      </c>
      <c r="D3" s="1" t="s">
        <v>11</v>
      </c>
      <c r="E3" s="222"/>
      <c r="F3" s="226"/>
      <c r="G3" s="222"/>
      <c r="H3" s="229"/>
      <c r="I3" s="229"/>
      <c r="J3" s="222"/>
      <c r="K3" s="222"/>
      <c r="L3" s="222"/>
      <c r="M3" s="229"/>
      <c r="O3" s="114" t="s">
        <v>138</v>
      </c>
      <c r="P3" s="115" t="s">
        <v>139</v>
      </c>
      <c r="Q3" s="116"/>
      <c r="R3" s="117"/>
      <c r="T3" s="114" t="s">
        <v>138</v>
      </c>
      <c r="U3" s="115" t="s">
        <v>139</v>
      </c>
      <c r="V3" s="116"/>
      <c r="W3" s="117"/>
    </row>
    <row r="4" spans="2:23" ht="14.4" x14ac:dyDescent="0.3">
      <c r="B4" s="40">
        <v>44287</v>
      </c>
      <c r="C4" s="38">
        <v>44286</v>
      </c>
      <c r="D4" s="39">
        <v>44316</v>
      </c>
      <c r="E4" s="139">
        <f>786675*R41</f>
        <v>745733.22597796947</v>
      </c>
      <c r="F4" s="70">
        <v>33943</v>
      </c>
      <c r="G4" s="72">
        <v>2425</v>
      </c>
      <c r="H4" s="71">
        <f>E4-G4</f>
        <v>743308.22597796947</v>
      </c>
      <c r="I4" s="3">
        <f>E4+F4-G4</f>
        <v>777251.22597796947</v>
      </c>
      <c r="J4" s="5">
        <f t="shared" ref="J4:J20" si="0">H4/1000</f>
        <v>743.30822597796953</v>
      </c>
      <c r="K4" s="4">
        <v>0.97699999999999998</v>
      </c>
      <c r="L4" s="5">
        <f t="shared" ref="L4:L20" si="1">ROUNDDOWN(J4*K4,0)</f>
        <v>726</v>
      </c>
      <c r="M4" s="223">
        <f>ROUNDDOWN((SUM(L4:L12)),0)</f>
        <v>5704</v>
      </c>
      <c r="N4" s="66">
        <f>M4</f>
        <v>5704</v>
      </c>
      <c r="O4" s="114"/>
      <c r="P4" s="137"/>
      <c r="Q4" s="116"/>
      <c r="R4" s="116"/>
      <c r="T4" s="114"/>
      <c r="U4" s="137"/>
      <c r="V4" s="116"/>
      <c r="W4" s="116"/>
    </row>
    <row r="5" spans="2:23" ht="14.4" x14ac:dyDescent="0.3">
      <c r="B5" s="40">
        <v>44317</v>
      </c>
      <c r="C5" s="38">
        <v>44316</v>
      </c>
      <c r="D5" s="39">
        <v>44347</v>
      </c>
      <c r="E5" s="79">
        <v>791725</v>
      </c>
      <c r="F5" s="177">
        <v>25013</v>
      </c>
      <c r="G5" s="79">
        <v>2500</v>
      </c>
      <c r="H5" s="71">
        <f>E5-G5</f>
        <v>789225</v>
      </c>
      <c r="I5" s="3">
        <f t="shared" ref="I5:I20" si="2">E5+F5-G5</f>
        <v>814238</v>
      </c>
      <c r="J5" s="5">
        <f t="shared" si="0"/>
        <v>789.22500000000002</v>
      </c>
      <c r="K5" s="4">
        <v>0.97699999999999998</v>
      </c>
      <c r="L5" s="5">
        <f t="shared" si="1"/>
        <v>771</v>
      </c>
      <c r="M5" s="224"/>
      <c r="O5" s="118">
        <v>44286</v>
      </c>
      <c r="P5" s="119">
        <v>40942.554683180744</v>
      </c>
      <c r="Q5" s="120"/>
      <c r="R5" s="120"/>
      <c r="T5" s="118">
        <v>44792</v>
      </c>
      <c r="U5" s="119">
        <v>53702.127976961812</v>
      </c>
      <c r="V5" s="120"/>
      <c r="W5" s="120"/>
    </row>
    <row r="6" spans="2:23" ht="14.4" x14ac:dyDescent="0.3">
      <c r="B6" s="40">
        <v>44348</v>
      </c>
      <c r="C6" s="38">
        <v>44347</v>
      </c>
      <c r="D6" s="39">
        <v>44377</v>
      </c>
      <c r="E6" s="79">
        <v>696250</v>
      </c>
      <c r="F6" s="177">
        <v>17252</v>
      </c>
      <c r="G6" s="79">
        <v>2250</v>
      </c>
      <c r="H6" s="71">
        <f t="shared" ref="H6:H20" si="3">E6-G6</f>
        <v>694000</v>
      </c>
      <c r="I6" s="3">
        <f t="shared" si="2"/>
        <v>711252</v>
      </c>
      <c r="J6" s="5">
        <f t="shared" si="0"/>
        <v>694</v>
      </c>
      <c r="K6" s="4">
        <v>0.97699999999999998</v>
      </c>
      <c r="L6" s="5">
        <f t="shared" si="1"/>
        <v>678</v>
      </c>
      <c r="M6" s="224"/>
      <c r="O6" s="118">
        <v>44287</v>
      </c>
      <c r="P6" s="119">
        <v>2588.0655885514839</v>
      </c>
      <c r="Q6" s="121"/>
      <c r="R6" s="120"/>
      <c r="T6" s="118">
        <v>44793</v>
      </c>
      <c r="U6" s="119">
        <v>37417.400419314399</v>
      </c>
      <c r="V6" s="121"/>
      <c r="W6" s="120"/>
    </row>
    <row r="7" spans="2:23" ht="14.4" x14ac:dyDescent="0.3">
      <c r="B7" s="40">
        <v>44378</v>
      </c>
      <c r="C7" s="38">
        <v>44377</v>
      </c>
      <c r="D7" s="39">
        <v>44408</v>
      </c>
      <c r="E7" s="79">
        <v>498975</v>
      </c>
      <c r="F7" s="177">
        <v>22521</v>
      </c>
      <c r="G7" s="79">
        <v>2425</v>
      </c>
      <c r="H7" s="71">
        <f t="shared" si="3"/>
        <v>496550</v>
      </c>
      <c r="I7" s="3">
        <f t="shared" si="2"/>
        <v>519071</v>
      </c>
      <c r="J7" s="5">
        <f t="shared" si="0"/>
        <v>496.55</v>
      </c>
      <c r="K7" s="4">
        <v>0.97699999999999998</v>
      </c>
      <c r="L7" s="5">
        <f t="shared" si="1"/>
        <v>485</v>
      </c>
      <c r="M7" s="224"/>
      <c r="O7" s="118">
        <v>44288</v>
      </c>
      <c r="P7" s="119">
        <v>9127.3950095233686</v>
      </c>
      <c r="Q7" s="121"/>
      <c r="R7" s="120"/>
      <c r="T7" s="118">
        <v>44794</v>
      </c>
      <c r="U7" s="119">
        <v>57669.542640725485</v>
      </c>
      <c r="V7" s="121"/>
      <c r="W7" s="120"/>
    </row>
    <row r="8" spans="2:23" ht="14.4" x14ac:dyDescent="0.3">
      <c r="B8" s="40">
        <v>44409</v>
      </c>
      <c r="C8" s="38">
        <v>44408</v>
      </c>
      <c r="D8" s="39">
        <v>44439</v>
      </c>
      <c r="E8" s="79">
        <v>620650</v>
      </c>
      <c r="F8" s="177">
        <v>9617.2099999999991</v>
      </c>
      <c r="G8" s="79">
        <v>2450</v>
      </c>
      <c r="H8" s="71">
        <f t="shared" si="3"/>
        <v>618200</v>
      </c>
      <c r="I8" s="3">
        <f t="shared" si="2"/>
        <v>627817.21</v>
      </c>
      <c r="J8" s="5">
        <f t="shared" si="0"/>
        <v>618.20000000000005</v>
      </c>
      <c r="K8" s="4">
        <v>0.97699999999999998</v>
      </c>
      <c r="L8" s="5">
        <f t="shared" si="1"/>
        <v>603</v>
      </c>
      <c r="M8" s="224"/>
      <c r="O8" s="118">
        <v>44289</v>
      </c>
      <c r="P8" s="119">
        <v>10459.242991070141</v>
      </c>
      <c r="Q8" s="121"/>
      <c r="R8" s="120"/>
      <c r="T8" s="118">
        <v>44795</v>
      </c>
      <c r="U8" s="119">
        <v>39100.32747674796</v>
      </c>
      <c r="V8" s="121"/>
      <c r="W8" s="120"/>
    </row>
    <row r="9" spans="2:23" ht="14.4" x14ac:dyDescent="0.3">
      <c r="B9" s="40">
        <v>44440</v>
      </c>
      <c r="C9" s="38">
        <v>44439</v>
      </c>
      <c r="D9" s="39">
        <v>44469</v>
      </c>
      <c r="E9" s="79">
        <v>477775</v>
      </c>
      <c r="F9" s="177">
        <v>22496</v>
      </c>
      <c r="G9" s="79">
        <v>2525</v>
      </c>
      <c r="H9" s="71">
        <f t="shared" si="3"/>
        <v>475250</v>
      </c>
      <c r="I9" s="3">
        <f t="shared" si="2"/>
        <v>497746</v>
      </c>
      <c r="J9" s="5">
        <f t="shared" si="0"/>
        <v>475.25</v>
      </c>
      <c r="K9" s="4">
        <v>0.97699999999999998</v>
      </c>
      <c r="L9" s="5">
        <f t="shared" si="1"/>
        <v>464</v>
      </c>
      <c r="M9" s="224"/>
      <c r="O9" s="118">
        <v>44290</v>
      </c>
      <c r="P9" s="119">
        <v>37761.076911905591</v>
      </c>
      <c r="Q9" s="121"/>
      <c r="R9" s="120"/>
      <c r="T9" s="118">
        <v>44796</v>
      </c>
      <c r="U9" s="119">
        <v>48421.035087546465</v>
      </c>
      <c r="V9" s="121"/>
      <c r="W9" s="120"/>
    </row>
    <row r="10" spans="2:23" ht="14.4" x14ac:dyDescent="0.3">
      <c r="B10" s="40">
        <v>44470</v>
      </c>
      <c r="C10" s="38">
        <v>44469</v>
      </c>
      <c r="D10" s="39">
        <v>44500</v>
      </c>
      <c r="E10" s="79">
        <v>728500</v>
      </c>
      <c r="F10" s="177">
        <v>21080</v>
      </c>
      <c r="G10" s="79">
        <v>2500</v>
      </c>
      <c r="H10" s="71">
        <f t="shared" si="3"/>
        <v>726000</v>
      </c>
      <c r="I10" s="3">
        <f t="shared" si="2"/>
        <v>747080</v>
      </c>
      <c r="J10" s="5">
        <f t="shared" si="0"/>
        <v>726</v>
      </c>
      <c r="K10" s="4">
        <v>0.97699999999999998</v>
      </c>
      <c r="L10" s="5">
        <f t="shared" si="1"/>
        <v>709</v>
      </c>
      <c r="M10" s="224"/>
      <c r="O10" s="118">
        <v>44291</v>
      </c>
      <c r="P10" s="119">
        <v>14394.272892794912</v>
      </c>
      <c r="Q10" s="121"/>
      <c r="R10" s="120"/>
      <c r="T10" s="118">
        <v>44797</v>
      </c>
      <c r="U10" s="119">
        <v>14211.698252464479</v>
      </c>
      <c r="V10" s="121"/>
      <c r="W10" s="120"/>
    </row>
    <row r="11" spans="2:23" ht="14.4" x14ac:dyDescent="0.3">
      <c r="B11" s="40">
        <v>44501</v>
      </c>
      <c r="C11" s="38">
        <v>44500</v>
      </c>
      <c r="D11" s="39">
        <v>44530</v>
      </c>
      <c r="E11" s="79">
        <v>663275</v>
      </c>
      <c r="F11" s="177">
        <v>0</v>
      </c>
      <c r="G11" s="79">
        <v>2725</v>
      </c>
      <c r="H11" s="71">
        <f t="shared" si="3"/>
        <v>660550</v>
      </c>
      <c r="I11" s="3">
        <f t="shared" si="2"/>
        <v>660550</v>
      </c>
      <c r="J11" s="5">
        <f t="shared" si="0"/>
        <v>660.55</v>
      </c>
      <c r="K11" s="4">
        <v>0.97699999999999998</v>
      </c>
      <c r="L11" s="5">
        <f t="shared" si="1"/>
        <v>645</v>
      </c>
      <c r="M11" s="224"/>
      <c r="O11" s="118">
        <v>44292</v>
      </c>
      <c r="P11" s="119">
        <v>41744.658540849334</v>
      </c>
      <c r="Q11" s="121"/>
      <c r="R11" s="120"/>
      <c r="T11" s="118">
        <v>44798</v>
      </c>
      <c r="U11" s="119">
        <v>38535.991093135402</v>
      </c>
      <c r="V11" s="121"/>
      <c r="W11" s="120"/>
    </row>
    <row r="12" spans="2:23" ht="14.4" x14ac:dyDescent="0.3">
      <c r="B12" s="40">
        <v>44531</v>
      </c>
      <c r="C12" s="38">
        <v>44530</v>
      </c>
      <c r="D12" s="39">
        <v>44561</v>
      </c>
      <c r="E12" s="79">
        <v>640350</v>
      </c>
      <c r="F12" s="177">
        <v>10840.75</v>
      </c>
      <c r="G12" s="79">
        <v>2675</v>
      </c>
      <c r="H12" s="71">
        <f t="shared" si="3"/>
        <v>637675</v>
      </c>
      <c r="I12" s="3">
        <f t="shared" si="2"/>
        <v>648515.75</v>
      </c>
      <c r="J12" s="5">
        <f t="shared" si="0"/>
        <v>637.67499999999995</v>
      </c>
      <c r="K12" s="4">
        <v>0.97699999999999998</v>
      </c>
      <c r="L12" s="5">
        <f t="shared" si="1"/>
        <v>623</v>
      </c>
      <c r="M12" s="224"/>
      <c r="O12" s="118">
        <v>44293</v>
      </c>
      <c r="P12" s="119">
        <v>435.64866580553047</v>
      </c>
      <c r="Q12" s="121"/>
      <c r="R12" s="120"/>
      <c r="T12" s="118">
        <v>44799</v>
      </c>
      <c r="U12" s="119">
        <v>54895.157645012994</v>
      </c>
      <c r="V12" s="121"/>
      <c r="W12" s="120"/>
    </row>
    <row r="13" spans="2:23" ht="14.4" x14ac:dyDescent="0.3">
      <c r="B13" s="40">
        <v>44562</v>
      </c>
      <c r="C13" s="38">
        <v>44926</v>
      </c>
      <c r="D13" s="39">
        <v>44592</v>
      </c>
      <c r="E13" s="79">
        <v>704325</v>
      </c>
      <c r="F13" s="177">
        <v>0</v>
      </c>
      <c r="G13" s="79">
        <v>2725</v>
      </c>
      <c r="H13" s="71">
        <f t="shared" si="3"/>
        <v>701600</v>
      </c>
      <c r="I13" s="3">
        <f t="shared" si="2"/>
        <v>701600</v>
      </c>
      <c r="J13" s="5">
        <f t="shared" si="0"/>
        <v>701.6</v>
      </c>
      <c r="K13" s="4">
        <v>0.97699999999999998</v>
      </c>
      <c r="L13" s="5">
        <f t="shared" si="1"/>
        <v>685</v>
      </c>
      <c r="M13" s="224">
        <f>ROUNDDOWN((SUM(L13:L20)),0)</f>
        <v>5311</v>
      </c>
      <c r="N13" s="66">
        <f>M13</f>
        <v>5311</v>
      </c>
      <c r="O13" s="118">
        <v>44294</v>
      </c>
      <c r="P13" s="119">
        <v>38048.893160591433</v>
      </c>
      <c r="Q13" s="121"/>
      <c r="R13" s="120"/>
      <c r="T13" s="118">
        <v>44800</v>
      </c>
      <c r="U13" s="119">
        <v>57426.209070318815</v>
      </c>
      <c r="V13" s="121"/>
      <c r="W13" s="120"/>
    </row>
    <row r="14" spans="2:23" ht="14.4" x14ac:dyDescent="0.3">
      <c r="B14" s="40">
        <v>44593</v>
      </c>
      <c r="C14" s="38">
        <v>44592</v>
      </c>
      <c r="D14" s="39">
        <v>44620</v>
      </c>
      <c r="E14" s="79">
        <v>727825</v>
      </c>
      <c r="F14" s="177">
        <v>0</v>
      </c>
      <c r="G14" s="79">
        <v>2375</v>
      </c>
      <c r="H14" s="71">
        <f t="shared" si="3"/>
        <v>725450</v>
      </c>
      <c r="I14" s="3">
        <f t="shared" si="2"/>
        <v>725450</v>
      </c>
      <c r="J14" s="5">
        <f t="shared" si="0"/>
        <v>725.45</v>
      </c>
      <c r="K14" s="4">
        <v>0.97699999999999998</v>
      </c>
      <c r="L14" s="5">
        <f t="shared" si="1"/>
        <v>708</v>
      </c>
      <c r="M14" s="224"/>
      <c r="O14" s="118">
        <v>44295</v>
      </c>
      <c r="P14" s="119">
        <v>26305.113884204326</v>
      </c>
      <c r="Q14" s="121"/>
      <c r="R14" s="120"/>
      <c r="T14" s="118">
        <v>44801</v>
      </c>
      <c r="U14" s="119">
        <v>68925.946748758564</v>
      </c>
      <c r="V14" s="121"/>
      <c r="W14" s="120"/>
    </row>
    <row r="15" spans="2:23" ht="14.4" x14ac:dyDescent="0.3">
      <c r="B15" s="40">
        <v>44621</v>
      </c>
      <c r="C15" s="38">
        <v>44620</v>
      </c>
      <c r="D15" s="39">
        <v>44651</v>
      </c>
      <c r="E15" s="79">
        <v>838344</v>
      </c>
      <c r="F15" s="177">
        <v>3384</v>
      </c>
      <c r="G15" s="79">
        <v>2505</v>
      </c>
      <c r="H15" s="71">
        <f t="shared" si="3"/>
        <v>835839</v>
      </c>
      <c r="I15" s="3">
        <f t="shared" si="2"/>
        <v>839223</v>
      </c>
      <c r="J15" s="5">
        <f t="shared" si="0"/>
        <v>835.83900000000006</v>
      </c>
      <c r="K15" s="4">
        <v>0.97699999999999998</v>
      </c>
      <c r="L15" s="5">
        <f t="shared" si="1"/>
        <v>816</v>
      </c>
      <c r="M15" s="224"/>
      <c r="O15" s="118">
        <v>44296</v>
      </c>
      <c r="P15" s="119">
        <v>12357.769843662543</v>
      </c>
      <c r="Q15" s="120"/>
      <c r="R15" s="120"/>
      <c r="T15" s="118">
        <v>44802</v>
      </c>
      <c r="U15" s="119">
        <v>33510.248142568838</v>
      </c>
      <c r="V15" s="120"/>
      <c r="W15" s="120"/>
    </row>
    <row r="16" spans="2:23" ht="14.4" x14ac:dyDescent="0.3">
      <c r="B16" s="40">
        <v>44652</v>
      </c>
      <c r="C16" s="38">
        <v>44651</v>
      </c>
      <c r="D16" s="39">
        <v>44681</v>
      </c>
      <c r="E16" s="79">
        <v>735650</v>
      </c>
      <c r="F16" s="177">
        <v>10507</v>
      </c>
      <c r="G16" s="79">
        <v>2300</v>
      </c>
      <c r="H16" s="71">
        <f t="shared" si="3"/>
        <v>733350</v>
      </c>
      <c r="I16" s="3">
        <f t="shared" si="2"/>
        <v>743857</v>
      </c>
      <c r="J16" s="5">
        <f t="shared" si="0"/>
        <v>733.35</v>
      </c>
      <c r="K16" s="4">
        <v>0.97699999999999998</v>
      </c>
      <c r="L16" s="5">
        <f t="shared" si="1"/>
        <v>716</v>
      </c>
      <c r="M16" s="224"/>
      <c r="N16" s="66"/>
      <c r="O16" s="118">
        <v>44297</v>
      </c>
      <c r="P16" s="122">
        <v>41727.336425580943</v>
      </c>
      <c r="Q16" s="116"/>
      <c r="R16" s="117"/>
      <c r="T16" s="118">
        <v>44803</v>
      </c>
      <c r="U16" s="122">
        <v>17095.885744476844</v>
      </c>
      <c r="V16" s="116"/>
      <c r="W16" s="117"/>
    </row>
    <row r="17" spans="2:23" ht="14.4" x14ac:dyDescent="0.3">
      <c r="B17" s="40">
        <v>44682</v>
      </c>
      <c r="C17" s="38">
        <v>44681</v>
      </c>
      <c r="D17" s="39">
        <v>44712</v>
      </c>
      <c r="E17" s="79">
        <v>809800</v>
      </c>
      <c r="F17" s="177">
        <v>12383.51</v>
      </c>
      <c r="G17" s="79">
        <v>2350</v>
      </c>
      <c r="H17" s="71">
        <f t="shared" si="3"/>
        <v>807450</v>
      </c>
      <c r="I17" s="3">
        <f t="shared" si="2"/>
        <v>819833.51</v>
      </c>
      <c r="J17" s="5">
        <f t="shared" si="0"/>
        <v>807.45</v>
      </c>
      <c r="K17" s="4">
        <v>0.97699999999999998</v>
      </c>
      <c r="L17" s="5">
        <f t="shared" si="1"/>
        <v>788</v>
      </c>
      <c r="M17" s="224"/>
      <c r="O17" s="118">
        <v>44298</v>
      </c>
      <c r="P17" s="122">
        <v>33037.368117282014</v>
      </c>
      <c r="Q17" s="116"/>
      <c r="R17" s="117"/>
      <c r="T17" s="118">
        <v>44804</v>
      </c>
      <c r="U17" s="122">
        <v>58305.348621567631</v>
      </c>
      <c r="V17" s="116"/>
      <c r="W17" s="117"/>
    </row>
    <row r="18" spans="2:23" ht="14.4" x14ac:dyDescent="0.3">
      <c r="B18" s="81">
        <v>44713</v>
      </c>
      <c r="C18" s="38">
        <v>44712</v>
      </c>
      <c r="D18" s="39">
        <v>44742</v>
      </c>
      <c r="E18" s="79">
        <v>726020</v>
      </c>
      <c r="F18" s="177">
        <v>9614</v>
      </c>
      <c r="G18" s="79">
        <v>2254</v>
      </c>
      <c r="H18" s="71">
        <f t="shared" si="3"/>
        <v>723766</v>
      </c>
      <c r="I18" s="71">
        <f t="shared" si="2"/>
        <v>733380</v>
      </c>
      <c r="J18" s="5">
        <f t="shared" si="0"/>
        <v>723.76599999999996</v>
      </c>
      <c r="K18" s="4">
        <v>0.97699999999999998</v>
      </c>
      <c r="L18" s="5">
        <f t="shared" si="1"/>
        <v>707</v>
      </c>
      <c r="M18" s="224"/>
      <c r="O18" s="118">
        <v>44299</v>
      </c>
      <c r="P18" s="122">
        <v>31017.271600139113</v>
      </c>
      <c r="Q18" s="116"/>
      <c r="R18" s="117"/>
      <c r="T18" s="118">
        <v>44805</v>
      </c>
      <c r="U18" s="122">
        <v>28574.026685550769</v>
      </c>
      <c r="V18" s="116"/>
      <c r="W18" s="117"/>
    </row>
    <row r="19" spans="2:23" ht="14.4" x14ac:dyDescent="0.3">
      <c r="B19" s="81">
        <v>44743</v>
      </c>
      <c r="C19" s="38">
        <v>44742</v>
      </c>
      <c r="D19" s="39">
        <v>44773</v>
      </c>
      <c r="E19" s="79">
        <v>418611.1</v>
      </c>
      <c r="F19" s="177">
        <v>56723</v>
      </c>
      <c r="G19" s="79">
        <v>2505</v>
      </c>
      <c r="H19" s="71">
        <f t="shared" si="3"/>
        <v>416106.1</v>
      </c>
      <c r="I19" s="71">
        <f t="shared" si="2"/>
        <v>472829.1</v>
      </c>
      <c r="J19" s="5">
        <f t="shared" si="0"/>
        <v>416.10609999999997</v>
      </c>
      <c r="K19" s="4">
        <v>0.97699999999999998</v>
      </c>
      <c r="L19" s="5">
        <f t="shared" si="1"/>
        <v>406</v>
      </c>
      <c r="M19" s="224"/>
      <c r="O19" s="118">
        <v>44300</v>
      </c>
      <c r="P19" s="122">
        <v>29257.287579176766</v>
      </c>
      <c r="Q19" s="116"/>
      <c r="R19" s="117"/>
      <c r="T19" s="118">
        <v>44806</v>
      </c>
      <c r="U19" s="122">
        <v>38675.563042990325</v>
      </c>
      <c r="V19" s="116"/>
      <c r="W19" s="117"/>
    </row>
    <row r="20" spans="2:23" ht="14.4" x14ac:dyDescent="0.3">
      <c r="B20" s="81">
        <v>44774</v>
      </c>
      <c r="C20" s="38">
        <v>44773</v>
      </c>
      <c r="D20" s="39">
        <v>44804</v>
      </c>
      <c r="E20" s="79">
        <v>499830.3</v>
      </c>
      <c r="F20" s="177">
        <v>21656</v>
      </c>
      <c r="G20" s="79">
        <v>2429</v>
      </c>
      <c r="H20" s="71">
        <f t="shared" si="3"/>
        <v>497401.3</v>
      </c>
      <c r="I20" s="71">
        <f t="shared" si="2"/>
        <v>519057.3</v>
      </c>
      <c r="J20" s="5">
        <f t="shared" si="0"/>
        <v>497.40129999999999</v>
      </c>
      <c r="K20" s="4">
        <v>0.97699999999999998</v>
      </c>
      <c r="L20" s="5">
        <f t="shared" si="1"/>
        <v>485</v>
      </c>
      <c r="M20" s="225"/>
      <c r="O20" s="118">
        <v>44301</v>
      </c>
      <c r="P20" s="122">
        <v>13232.007524296519</v>
      </c>
      <c r="Q20" s="116"/>
      <c r="R20" s="117"/>
      <c r="T20" s="118">
        <v>44807</v>
      </c>
      <c r="U20" s="122">
        <v>13674.205950789004</v>
      </c>
      <c r="V20" s="116"/>
      <c r="W20" s="117"/>
    </row>
    <row r="21" spans="2:23" ht="14.4" x14ac:dyDescent="0.3">
      <c r="B21" s="272" t="s">
        <v>12</v>
      </c>
      <c r="C21" s="272"/>
      <c r="D21" s="272"/>
      <c r="E21" s="86"/>
      <c r="F21" s="87"/>
      <c r="G21" s="86"/>
      <c r="H21" s="88">
        <f>ROUNDDOWN((SUM(H4:H20)),0)</f>
        <v>11281720</v>
      </c>
      <c r="I21" s="88">
        <f>ROUNDDOWN((SUM(I4:I20)),0)</f>
        <v>11558751</v>
      </c>
      <c r="J21" s="88">
        <f t="shared" ref="J21:L21" si="4">ROUNDDOWN((SUM(J4:J20)),0)</f>
        <v>11281</v>
      </c>
      <c r="K21" s="88"/>
      <c r="L21" s="88">
        <f t="shared" si="4"/>
        <v>11015</v>
      </c>
      <c r="M21" s="89">
        <f>M13+M4</f>
        <v>11015</v>
      </c>
      <c r="O21" s="118">
        <v>44302</v>
      </c>
      <c r="P21" s="122">
        <v>28696.580062677662</v>
      </c>
      <c r="Q21" s="116"/>
      <c r="R21" s="117"/>
      <c r="T21" s="118">
        <v>44808</v>
      </c>
      <c r="U21" s="122">
        <v>55852.843425360232</v>
      </c>
      <c r="V21" s="116"/>
      <c r="W21" s="117"/>
    </row>
    <row r="22" spans="2:23" x14ac:dyDescent="0.25">
      <c r="O22" s="118">
        <v>44303</v>
      </c>
      <c r="P22" s="122">
        <v>16527.868209531258</v>
      </c>
      <c r="Q22" s="116"/>
      <c r="R22" s="117"/>
      <c r="T22" s="118">
        <v>44809</v>
      </c>
      <c r="U22" s="122">
        <v>26558.411869210304</v>
      </c>
      <c r="V22" s="116"/>
      <c r="W22" s="117"/>
    </row>
    <row r="23" spans="2:23" x14ac:dyDescent="0.25">
      <c r="O23" s="118">
        <v>44304</v>
      </c>
      <c r="P23" s="122">
        <v>23400.365621948276</v>
      </c>
      <c r="Q23" s="116"/>
      <c r="R23" s="117"/>
      <c r="T23" s="118">
        <v>44810</v>
      </c>
      <c r="U23" s="122">
        <v>33638.307933093958</v>
      </c>
      <c r="V23" s="116"/>
      <c r="W23" s="117"/>
    </row>
    <row r="24" spans="2:23" x14ac:dyDescent="0.25">
      <c r="O24" s="118">
        <v>44305</v>
      </c>
      <c r="P24" s="122">
        <v>35962.013019612074</v>
      </c>
      <c r="Q24" s="116"/>
      <c r="R24" s="117"/>
      <c r="T24" s="118">
        <v>44811</v>
      </c>
      <c r="U24" s="122">
        <v>5879.8144572091232</v>
      </c>
      <c r="V24" s="116"/>
      <c r="W24" s="117"/>
    </row>
    <row r="25" spans="2:23" x14ac:dyDescent="0.25">
      <c r="O25" s="118">
        <v>44306</v>
      </c>
      <c r="P25" s="122">
        <v>39732.023382209431</v>
      </c>
      <c r="Q25" s="116"/>
      <c r="R25" s="117"/>
      <c r="T25" s="118">
        <v>44812</v>
      </c>
      <c r="U25" s="122">
        <v>24045.893267743017</v>
      </c>
      <c r="V25" s="116"/>
      <c r="W25" s="117"/>
    </row>
    <row r="26" spans="2:23" x14ac:dyDescent="0.25">
      <c r="O26" s="118">
        <v>44307</v>
      </c>
      <c r="P26" s="122">
        <v>37060.823572423949</v>
      </c>
      <c r="Q26" s="116"/>
      <c r="R26" s="117"/>
      <c r="T26" s="118">
        <v>44813</v>
      </c>
      <c r="U26" s="122">
        <v>30799.258697652582</v>
      </c>
      <c r="V26" s="116"/>
      <c r="W26" s="117"/>
    </row>
    <row r="27" spans="2:23" x14ac:dyDescent="0.25">
      <c r="O27" s="118">
        <v>44308</v>
      </c>
      <c r="P27" s="122">
        <v>35616.258581366914</v>
      </c>
      <c r="Q27" s="116"/>
      <c r="R27" s="117"/>
      <c r="T27" s="118">
        <v>44814</v>
      </c>
      <c r="U27" s="122">
        <v>35612.546140840626</v>
      </c>
      <c r="V27" s="116"/>
      <c r="W27" s="117"/>
    </row>
    <row r="28" spans="2:23" x14ac:dyDescent="0.25">
      <c r="O28" s="118">
        <v>44309</v>
      </c>
      <c r="P28" s="122">
        <v>39759.427639325804</v>
      </c>
      <c r="Q28" s="116"/>
      <c r="R28" s="117"/>
      <c r="T28" s="118">
        <v>44815</v>
      </c>
      <c r="U28" s="122">
        <v>31008.707184478881</v>
      </c>
      <c r="V28" s="116"/>
      <c r="W28" s="117"/>
    </row>
    <row r="29" spans="2:23" x14ac:dyDescent="0.25">
      <c r="O29" s="118">
        <v>44310</v>
      </c>
      <c r="P29" s="122">
        <v>2752.4632514846207</v>
      </c>
      <c r="Q29" s="116"/>
      <c r="R29" s="117"/>
      <c r="T29" s="118">
        <v>44816</v>
      </c>
      <c r="U29" s="122">
        <v>34234.442181519647</v>
      </c>
      <c r="V29" s="116"/>
      <c r="W29" s="117"/>
    </row>
    <row r="30" spans="2:23" x14ac:dyDescent="0.25">
      <c r="O30" s="118">
        <v>44311</v>
      </c>
      <c r="P30" s="122">
        <v>33355.023195204449</v>
      </c>
      <c r="Q30" s="116"/>
      <c r="R30" s="117"/>
      <c r="T30" s="118">
        <v>44817</v>
      </c>
      <c r="U30" s="122">
        <v>44118.400223392622</v>
      </c>
      <c r="V30" s="116"/>
      <c r="W30" s="117"/>
    </row>
    <row r="31" spans="2:23" x14ac:dyDescent="0.25">
      <c r="O31" s="118">
        <v>44312</v>
      </c>
      <c r="P31" s="122">
        <v>13749.578954615068</v>
      </c>
      <c r="Q31" s="116"/>
      <c r="R31" s="117"/>
      <c r="T31" s="118">
        <v>44818</v>
      </c>
      <c r="U31" s="122">
        <v>11005.841221887727</v>
      </c>
      <c r="V31" s="116"/>
      <c r="W31" s="117"/>
    </row>
    <row r="32" spans="2:23" x14ac:dyDescent="0.25">
      <c r="O32" s="118">
        <v>44313</v>
      </c>
      <c r="P32" s="122">
        <v>17964.581313937346</v>
      </c>
      <c r="Q32" s="116"/>
      <c r="R32" s="117"/>
      <c r="T32" s="118">
        <v>44819</v>
      </c>
      <c r="U32" s="122">
        <v>31978.433723940052</v>
      </c>
      <c r="V32" s="116"/>
      <c r="W32" s="117"/>
    </row>
    <row r="33" spans="15:23" x14ac:dyDescent="0.25">
      <c r="O33" s="118">
        <v>44314</v>
      </c>
      <c r="P33" s="122">
        <v>9248.8666922031862</v>
      </c>
      <c r="Q33" s="116"/>
      <c r="R33" s="117"/>
      <c r="T33" s="118">
        <v>44820</v>
      </c>
      <c r="U33" s="122">
        <v>10382.886813667714</v>
      </c>
      <c r="V33" s="116"/>
      <c r="W33" s="117"/>
    </row>
    <row r="34" spans="15:23" x14ac:dyDescent="0.25">
      <c r="O34" s="118">
        <v>44315</v>
      </c>
      <c r="P34" s="122">
        <v>29379.676337835634</v>
      </c>
      <c r="Q34" s="116"/>
      <c r="R34" s="117"/>
      <c r="T34" s="118">
        <v>44821</v>
      </c>
      <c r="U34" s="122">
        <v>26306.822281989382</v>
      </c>
      <c r="V34" s="116"/>
      <c r="W34" s="117"/>
    </row>
    <row r="35" spans="15:23" x14ac:dyDescent="0.25">
      <c r="O35" s="118">
        <v>44316</v>
      </c>
      <c r="P35" s="122">
        <v>41048.486747009607</v>
      </c>
      <c r="Q35" s="116"/>
      <c r="R35" s="117"/>
      <c r="T35" s="118">
        <v>44822</v>
      </c>
      <c r="U35" s="122">
        <v>20356</v>
      </c>
      <c r="V35" s="116"/>
      <c r="W35" s="117"/>
    </row>
    <row r="36" spans="15:23" x14ac:dyDescent="0.25">
      <c r="O36" s="118"/>
      <c r="P36" s="122"/>
      <c r="Q36" s="116"/>
      <c r="R36" s="117"/>
      <c r="T36" s="118">
        <v>44823</v>
      </c>
      <c r="U36" s="122">
        <v>20156</v>
      </c>
      <c r="V36" s="116"/>
      <c r="W36" s="117"/>
    </row>
    <row r="37" spans="15:23" x14ac:dyDescent="0.25">
      <c r="O37" s="123" t="s">
        <v>140</v>
      </c>
      <c r="P37" s="124">
        <f>SUM(P5:P36)</f>
        <v>786690</v>
      </c>
      <c r="Q37" s="116"/>
      <c r="R37" s="117"/>
      <c r="T37" s="123" t="s">
        <v>140</v>
      </c>
      <c r="U37" s="124">
        <f>SUM(U5:U36)</f>
        <v>1102075.3240209159</v>
      </c>
      <c r="V37" s="116"/>
      <c r="W37" s="117"/>
    </row>
    <row r="38" spans="15:23" ht="13.8" thickBot="1" x14ac:dyDescent="0.3">
      <c r="O38" s="125"/>
      <c r="P38" s="116"/>
      <c r="Q38" s="116"/>
      <c r="R38" s="117"/>
      <c r="T38" s="125"/>
      <c r="U38" s="116"/>
      <c r="V38" s="116"/>
      <c r="W38" s="117"/>
    </row>
    <row r="39" spans="15:23" x14ac:dyDescent="0.25">
      <c r="O39" s="127" t="s">
        <v>153</v>
      </c>
      <c r="P39" s="128"/>
      <c r="Q39" s="129"/>
      <c r="R39" s="120">
        <f>P37</f>
        <v>786690</v>
      </c>
      <c r="T39" s="127" t="s">
        <v>151</v>
      </c>
      <c r="U39" s="128"/>
      <c r="V39" s="129"/>
      <c r="W39" s="120">
        <f>U37</f>
        <v>1102075.3240209159</v>
      </c>
    </row>
    <row r="40" spans="15:23" x14ac:dyDescent="0.25">
      <c r="O40" s="130" t="s">
        <v>154</v>
      </c>
      <c r="P40" s="131"/>
      <c r="Q40" s="132"/>
      <c r="R40" s="120">
        <f>SUM(P6:P35)</f>
        <v>745747.44531681924</v>
      </c>
      <c r="T40" s="130" t="s">
        <v>152</v>
      </c>
      <c r="U40" s="131"/>
      <c r="V40" s="132"/>
      <c r="W40" s="120">
        <f>SUM(U5:U17)</f>
        <v>579216.91891959973</v>
      </c>
    </row>
    <row r="41" spans="15:23" ht="13.8" thickBot="1" x14ac:dyDescent="0.3">
      <c r="O41" s="133" t="s">
        <v>141</v>
      </c>
      <c r="P41" s="134"/>
      <c r="Q41" s="135"/>
      <c r="R41" s="126">
        <f>R40/R39</f>
        <v>0.94795592332026501</v>
      </c>
      <c r="T41" s="133" t="s">
        <v>141</v>
      </c>
      <c r="U41" s="134"/>
      <c r="V41" s="135"/>
      <c r="W41" s="126">
        <f>(W39-W40)/W39</f>
        <v>0.47443073418400306</v>
      </c>
    </row>
  </sheetData>
  <mergeCells count="16">
    <mergeCell ref="O2:R2"/>
    <mergeCell ref="T2:W2"/>
    <mergeCell ref="M2:M3"/>
    <mergeCell ref="B21:D21"/>
    <mergeCell ref="H2:H3"/>
    <mergeCell ref="I2:I3"/>
    <mergeCell ref="J2:J3"/>
    <mergeCell ref="K2:K3"/>
    <mergeCell ref="L2:L3"/>
    <mergeCell ref="B2:B3"/>
    <mergeCell ref="C2:D2"/>
    <mergeCell ref="E2:E3"/>
    <mergeCell ref="F2:F3"/>
    <mergeCell ref="G2:G3"/>
    <mergeCell ref="M4:M12"/>
    <mergeCell ref="M13:M20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R41"/>
  <sheetViews>
    <sheetView topLeftCell="E1" zoomScalePageLayoutView="60" workbookViewId="0">
      <selection activeCell="M21" sqref="M21"/>
    </sheetView>
  </sheetViews>
  <sheetFormatPr defaultRowHeight="13.2" x14ac:dyDescent="0.25"/>
  <cols>
    <col min="1" max="2" width="11.6640625" customWidth="1"/>
    <col min="3" max="3" width="11.88671875" customWidth="1"/>
    <col min="4" max="4" width="12.33203125" customWidth="1"/>
    <col min="5" max="5" width="12.109375" customWidth="1"/>
    <col min="6" max="6" width="13.44140625" customWidth="1"/>
    <col min="7" max="7" width="14.33203125" customWidth="1"/>
    <col min="8" max="8" width="15" customWidth="1"/>
    <col min="9" max="9" width="16" customWidth="1"/>
    <col min="10" max="10" width="14.6640625" customWidth="1"/>
    <col min="11" max="11" width="12.109375" customWidth="1"/>
    <col min="12" max="12" width="13.109375" customWidth="1"/>
    <col min="13" max="13" width="14.109375" customWidth="1"/>
    <col min="14" max="17" width="11.6640625" customWidth="1"/>
    <col min="18" max="18" width="10.44140625" customWidth="1"/>
    <col min="19" max="252" width="11.6640625" customWidth="1"/>
    <col min="253" max="1021" width="11.5546875"/>
  </cols>
  <sheetData>
    <row r="1" spans="2:18" ht="13.8" thickBot="1" x14ac:dyDescent="0.3"/>
    <row r="2" spans="2:18" ht="13.95" customHeight="1" x14ac:dyDescent="0.25">
      <c r="B2" s="228" t="s">
        <v>0</v>
      </c>
      <c r="C2" s="229" t="s">
        <v>1</v>
      </c>
      <c r="D2" s="229"/>
      <c r="E2" s="222" t="s">
        <v>2</v>
      </c>
      <c r="F2" s="265" t="s">
        <v>19</v>
      </c>
      <c r="G2" s="222" t="s">
        <v>3</v>
      </c>
      <c r="H2" s="229" t="s">
        <v>4</v>
      </c>
      <c r="I2" s="229" t="s">
        <v>5</v>
      </c>
      <c r="J2" s="222" t="s">
        <v>6</v>
      </c>
      <c r="K2" s="222" t="s">
        <v>7</v>
      </c>
      <c r="L2" s="222" t="s">
        <v>8</v>
      </c>
      <c r="M2" s="229" t="s">
        <v>9</v>
      </c>
      <c r="O2" s="236">
        <v>44287</v>
      </c>
      <c r="P2" s="237"/>
      <c r="Q2" s="237"/>
      <c r="R2" s="238"/>
    </row>
    <row r="3" spans="2:18" ht="30" customHeight="1" thickBot="1" x14ac:dyDescent="0.3">
      <c r="B3" s="228"/>
      <c r="C3" s="2" t="s">
        <v>10</v>
      </c>
      <c r="D3" s="1" t="s">
        <v>11</v>
      </c>
      <c r="E3" s="222"/>
      <c r="F3" s="265"/>
      <c r="G3" s="222"/>
      <c r="H3" s="229"/>
      <c r="I3" s="229"/>
      <c r="J3" s="222"/>
      <c r="K3" s="222"/>
      <c r="L3" s="222"/>
      <c r="M3" s="263"/>
      <c r="O3" s="114" t="s">
        <v>138</v>
      </c>
      <c r="P3" s="115" t="s">
        <v>139</v>
      </c>
      <c r="Q3" s="116"/>
      <c r="R3" s="117"/>
    </row>
    <row r="4" spans="2:18" ht="14.4" x14ac:dyDescent="0.3">
      <c r="B4" s="40">
        <v>44287</v>
      </c>
      <c r="C4" s="38">
        <v>44286</v>
      </c>
      <c r="D4" s="39">
        <v>44316</v>
      </c>
      <c r="E4" s="139">
        <f>132030*R41</f>
        <v>130119.34305911181</v>
      </c>
      <c r="F4" s="176">
        <v>2365</v>
      </c>
      <c r="G4" s="72">
        <v>625</v>
      </c>
      <c r="H4" s="71">
        <f>E4-G4</f>
        <v>129494.34305911181</v>
      </c>
      <c r="I4" s="3">
        <f>E4+F4-G4</f>
        <v>131859.34305911179</v>
      </c>
      <c r="J4" s="5">
        <f t="shared" ref="J4:J20" si="0">H4/1000</f>
        <v>129.4943430591118</v>
      </c>
      <c r="K4" s="4">
        <v>0.97699999999999998</v>
      </c>
      <c r="L4" s="73">
        <f t="shared" ref="L4:L20" si="1">ROUNDDOWN(J4*K4,0)</f>
        <v>126</v>
      </c>
      <c r="M4" s="266">
        <f>ROUNDDOWN((SUM(L4:L12)),0)</f>
        <v>881</v>
      </c>
      <c r="O4" s="114"/>
      <c r="P4" s="137"/>
      <c r="Q4" s="116"/>
      <c r="R4" s="116"/>
    </row>
    <row r="5" spans="2:18" ht="14.4" x14ac:dyDescent="0.3">
      <c r="B5" s="40">
        <v>44317</v>
      </c>
      <c r="C5" s="38">
        <v>44316</v>
      </c>
      <c r="D5" s="39">
        <v>44347</v>
      </c>
      <c r="E5" s="79">
        <v>126700</v>
      </c>
      <c r="F5" s="177">
        <v>7004</v>
      </c>
      <c r="G5" s="79">
        <v>598</v>
      </c>
      <c r="H5" s="71">
        <f t="shared" ref="H5:H20" si="2">E5-G5</f>
        <v>126102</v>
      </c>
      <c r="I5" s="3">
        <f t="shared" ref="I5:I20" si="3">E5+F5-G5</f>
        <v>133106</v>
      </c>
      <c r="J5" s="5">
        <f t="shared" si="0"/>
        <v>126.102</v>
      </c>
      <c r="K5" s="4">
        <v>0.97699999999999998</v>
      </c>
      <c r="L5" s="73">
        <f t="shared" si="1"/>
        <v>123</v>
      </c>
      <c r="M5" s="267"/>
      <c r="O5" s="118">
        <v>44286</v>
      </c>
      <c r="P5" s="119">
        <v>1911.5252239787974</v>
      </c>
      <c r="Q5" s="120"/>
      <c r="R5" s="120"/>
    </row>
    <row r="6" spans="2:18" ht="14.4" x14ac:dyDescent="0.3">
      <c r="B6" s="40">
        <v>44348</v>
      </c>
      <c r="C6" s="38">
        <v>44347</v>
      </c>
      <c r="D6" s="39">
        <v>44377</v>
      </c>
      <c r="E6" s="79">
        <v>119860</v>
      </c>
      <c r="F6" s="177">
        <v>1958</v>
      </c>
      <c r="G6" s="79">
        <v>592</v>
      </c>
      <c r="H6" s="71">
        <f t="shared" si="2"/>
        <v>119268</v>
      </c>
      <c r="I6" s="3">
        <f t="shared" si="3"/>
        <v>121226</v>
      </c>
      <c r="J6" s="5">
        <f t="shared" si="0"/>
        <v>119.268</v>
      </c>
      <c r="K6" s="4">
        <v>0.97699999999999998</v>
      </c>
      <c r="L6" s="73">
        <f t="shared" si="1"/>
        <v>116</v>
      </c>
      <c r="M6" s="267"/>
      <c r="N6" s="66">
        <f>M4</f>
        <v>881</v>
      </c>
      <c r="O6" s="118">
        <v>44287</v>
      </c>
      <c r="P6" s="119">
        <v>8540.7821621783714</v>
      </c>
      <c r="Q6" s="121"/>
      <c r="R6" s="120"/>
    </row>
    <row r="7" spans="2:18" ht="14.4" x14ac:dyDescent="0.3">
      <c r="B7" s="40">
        <v>44378</v>
      </c>
      <c r="C7" s="38">
        <v>44377</v>
      </c>
      <c r="D7" s="39">
        <v>44408</v>
      </c>
      <c r="E7" s="79">
        <v>97910</v>
      </c>
      <c r="F7" s="177">
        <v>621</v>
      </c>
      <c r="G7" s="79">
        <v>613</v>
      </c>
      <c r="H7" s="71">
        <f t="shared" si="2"/>
        <v>97297</v>
      </c>
      <c r="I7" s="3">
        <f t="shared" si="3"/>
        <v>97918</v>
      </c>
      <c r="J7" s="5">
        <f t="shared" si="0"/>
        <v>97.296999999999997</v>
      </c>
      <c r="K7" s="4">
        <v>0.97699999999999998</v>
      </c>
      <c r="L7" s="73">
        <f t="shared" si="1"/>
        <v>95</v>
      </c>
      <c r="M7" s="267"/>
      <c r="O7" s="118">
        <v>44288</v>
      </c>
      <c r="P7" s="119">
        <v>3115.1753388333536</v>
      </c>
      <c r="Q7" s="121"/>
      <c r="R7" s="120"/>
    </row>
    <row r="8" spans="2:18" ht="14.4" x14ac:dyDescent="0.3">
      <c r="B8" s="40">
        <v>44409</v>
      </c>
      <c r="C8" s="38">
        <v>44408</v>
      </c>
      <c r="D8" s="39">
        <v>44439</v>
      </c>
      <c r="E8" s="79">
        <v>94240</v>
      </c>
      <c r="F8" s="177">
        <v>531</v>
      </c>
      <c r="G8" s="79">
        <v>595</v>
      </c>
      <c r="H8" s="71">
        <f t="shared" si="2"/>
        <v>93645</v>
      </c>
      <c r="I8" s="3">
        <f t="shared" si="3"/>
        <v>94176</v>
      </c>
      <c r="J8" s="5">
        <f t="shared" si="0"/>
        <v>93.644999999999996</v>
      </c>
      <c r="K8" s="4">
        <v>0.97699999999999998</v>
      </c>
      <c r="L8" s="73">
        <f t="shared" si="1"/>
        <v>91</v>
      </c>
      <c r="M8" s="267"/>
      <c r="O8" s="118">
        <v>44289</v>
      </c>
      <c r="P8" s="119">
        <v>8046.1689408119591</v>
      </c>
      <c r="Q8" s="121"/>
      <c r="R8" s="120"/>
    </row>
    <row r="9" spans="2:18" ht="14.4" x14ac:dyDescent="0.3">
      <c r="B9" s="40">
        <v>44440</v>
      </c>
      <c r="C9" s="38">
        <v>44439</v>
      </c>
      <c r="D9" s="39">
        <v>44469</v>
      </c>
      <c r="E9" s="79">
        <v>85920</v>
      </c>
      <c r="F9" s="177">
        <v>1397</v>
      </c>
      <c r="G9" s="79">
        <v>580</v>
      </c>
      <c r="H9" s="71">
        <f t="shared" si="2"/>
        <v>85340</v>
      </c>
      <c r="I9" s="3">
        <f t="shared" si="3"/>
        <v>86737</v>
      </c>
      <c r="J9" s="5">
        <f t="shared" si="0"/>
        <v>85.34</v>
      </c>
      <c r="K9" s="4">
        <v>0.97699999999999998</v>
      </c>
      <c r="L9" s="73">
        <f t="shared" si="1"/>
        <v>83</v>
      </c>
      <c r="M9" s="267"/>
      <c r="O9" s="118">
        <v>44290</v>
      </c>
      <c r="P9" s="119">
        <v>901.41317264665952</v>
      </c>
      <c r="Q9" s="121"/>
      <c r="R9" s="120"/>
    </row>
    <row r="10" spans="2:18" ht="14.4" x14ac:dyDescent="0.3">
      <c r="B10" s="40">
        <v>44470</v>
      </c>
      <c r="C10" s="38">
        <v>44469</v>
      </c>
      <c r="D10" s="39">
        <v>44500</v>
      </c>
      <c r="E10" s="79">
        <v>113760</v>
      </c>
      <c r="F10" s="177">
        <v>65</v>
      </c>
      <c r="G10" s="79">
        <v>643</v>
      </c>
      <c r="H10" s="71">
        <f t="shared" si="2"/>
        <v>113117</v>
      </c>
      <c r="I10" s="3">
        <f t="shared" si="3"/>
        <v>113182</v>
      </c>
      <c r="J10" s="5">
        <f t="shared" si="0"/>
        <v>113.117</v>
      </c>
      <c r="K10" s="4">
        <v>0.97699999999999998</v>
      </c>
      <c r="L10" s="73">
        <f t="shared" si="1"/>
        <v>110</v>
      </c>
      <c r="M10" s="267"/>
      <c r="O10" s="118">
        <v>44291</v>
      </c>
      <c r="P10" s="119">
        <v>2673.2135684150398</v>
      </c>
      <c r="Q10" s="121"/>
      <c r="R10" s="120"/>
    </row>
    <row r="11" spans="2:18" ht="14.4" x14ac:dyDescent="0.3">
      <c r="B11" s="40">
        <v>44501</v>
      </c>
      <c r="C11" s="38">
        <v>44500</v>
      </c>
      <c r="D11" s="39">
        <v>44530</v>
      </c>
      <c r="E11" s="79">
        <v>70970</v>
      </c>
      <c r="F11" s="177">
        <v>2930</v>
      </c>
      <c r="G11" s="79">
        <v>650</v>
      </c>
      <c r="H11" s="71">
        <f t="shared" si="2"/>
        <v>70320</v>
      </c>
      <c r="I11" s="3">
        <f t="shared" si="3"/>
        <v>73250</v>
      </c>
      <c r="J11" s="5">
        <f t="shared" si="0"/>
        <v>70.319999999999993</v>
      </c>
      <c r="K11" s="4">
        <v>0.97699999999999998</v>
      </c>
      <c r="L11" s="73">
        <f t="shared" si="1"/>
        <v>68</v>
      </c>
      <c r="M11" s="267"/>
      <c r="O11" s="118">
        <v>44292</v>
      </c>
      <c r="P11" s="119">
        <v>3258.6462288556095</v>
      </c>
      <c r="Q11" s="121"/>
      <c r="R11" s="120"/>
    </row>
    <row r="12" spans="2:18" ht="15" thickBot="1" x14ac:dyDescent="0.35">
      <c r="B12" s="40">
        <v>44531</v>
      </c>
      <c r="C12" s="38">
        <v>44530</v>
      </c>
      <c r="D12" s="39">
        <v>44561</v>
      </c>
      <c r="E12" s="79">
        <v>71370</v>
      </c>
      <c r="F12" s="177">
        <v>138</v>
      </c>
      <c r="G12" s="79">
        <v>663</v>
      </c>
      <c r="H12" s="71">
        <f t="shared" si="2"/>
        <v>70707</v>
      </c>
      <c r="I12" s="3">
        <f t="shared" si="3"/>
        <v>70845</v>
      </c>
      <c r="J12" s="5">
        <f t="shared" si="0"/>
        <v>70.706999999999994</v>
      </c>
      <c r="K12" s="4">
        <v>0.97699999999999998</v>
      </c>
      <c r="L12" s="73">
        <f t="shared" si="1"/>
        <v>69</v>
      </c>
      <c r="M12" s="268"/>
      <c r="O12" s="118">
        <v>44293</v>
      </c>
      <c r="P12" s="119">
        <v>6134.1401404444541</v>
      </c>
      <c r="Q12" s="121"/>
      <c r="R12" s="120"/>
    </row>
    <row r="13" spans="2:18" ht="14.4" x14ac:dyDescent="0.3">
      <c r="B13" s="40">
        <v>44562</v>
      </c>
      <c r="C13" s="38">
        <v>44926</v>
      </c>
      <c r="D13" s="39">
        <v>44592</v>
      </c>
      <c r="E13" s="79">
        <v>89630</v>
      </c>
      <c r="F13" s="177">
        <v>0</v>
      </c>
      <c r="G13" s="79">
        <v>669</v>
      </c>
      <c r="H13" s="71">
        <f t="shared" si="2"/>
        <v>88961</v>
      </c>
      <c r="I13" s="3">
        <f t="shared" si="3"/>
        <v>88961</v>
      </c>
      <c r="J13" s="5">
        <f t="shared" si="0"/>
        <v>88.960999999999999</v>
      </c>
      <c r="K13" s="4">
        <v>0.97699999999999998</v>
      </c>
      <c r="L13" s="5">
        <f t="shared" si="1"/>
        <v>86</v>
      </c>
      <c r="M13" s="224">
        <f>ROUNDDOWN((SUM(L13:L20)),0)</f>
        <v>826</v>
      </c>
      <c r="N13" s="66">
        <f>M13</f>
        <v>826</v>
      </c>
      <c r="O13" s="118">
        <v>44294</v>
      </c>
      <c r="P13" s="119">
        <v>4156.5041351896571</v>
      </c>
      <c r="Q13" s="121"/>
      <c r="R13" s="120"/>
    </row>
    <row r="14" spans="2:18" ht="14.4" x14ac:dyDescent="0.3">
      <c r="B14" s="40">
        <v>44593</v>
      </c>
      <c r="C14" s="38">
        <v>44592</v>
      </c>
      <c r="D14" s="39">
        <v>44620</v>
      </c>
      <c r="E14" s="79">
        <v>99990</v>
      </c>
      <c r="F14" s="177">
        <v>3785</v>
      </c>
      <c r="G14" s="79">
        <v>576</v>
      </c>
      <c r="H14" s="71">
        <f t="shared" si="2"/>
        <v>99414</v>
      </c>
      <c r="I14" s="3">
        <f t="shared" si="3"/>
        <v>103199</v>
      </c>
      <c r="J14" s="5">
        <f t="shared" si="0"/>
        <v>99.414000000000001</v>
      </c>
      <c r="K14" s="4">
        <v>0.97699999999999998</v>
      </c>
      <c r="L14" s="5">
        <f t="shared" si="1"/>
        <v>97</v>
      </c>
      <c r="M14" s="224"/>
      <c r="O14" s="118">
        <v>44295</v>
      </c>
      <c r="P14" s="119">
        <v>908.3424079928991</v>
      </c>
      <c r="Q14" s="121"/>
      <c r="R14" s="120"/>
    </row>
    <row r="15" spans="2:18" ht="14.4" x14ac:dyDescent="0.3">
      <c r="B15" s="40">
        <v>44621</v>
      </c>
      <c r="C15" s="38">
        <v>44620</v>
      </c>
      <c r="D15" s="39">
        <v>44651</v>
      </c>
      <c r="E15" s="79">
        <v>118650</v>
      </c>
      <c r="F15" s="177">
        <v>6001</v>
      </c>
      <c r="G15" s="79">
        <v>613</v>
      </c>
      <c r="H15" s="71">
        <f t="shared" si="2"/>
        <v>118037</v>
      </c>
      <c r="I15" s="3">
        <f t="shared" si="3"/>
        <v>124038</v>
      </c>
      <c r="J15" s="5">
        <f t="shared" si="0"/>
        <v>118.03700000000001</v>
      </c>
      <c r="K15" s="4">
        <v>0.97699999999999998</v>
      </c>
      <c r="L15" s="5">
        <f t="shared" si="1"/>
        <v>115</v>
      </c>
      <c r="M15" s="224"/>
      <c r="O15" s="118">
        <v>44296</v>
      </c>
      <c r="P15" s="119">
        <v>8483.6909257203752</v>
      </c>
      <c r="Q15" s="120"/>
      <c r="R15" s="120"/>
    </row>
    <row r="16" spans="2:18" ht="14.4" x14ac:dyDescent="0.3">
      <c r="B16" s="40">
        <v>44652</v>
      </c>
      <c r="C16" s="38">
        <v>44651</v>
      </c>
      <c r="D16" s="39">
        <v>44681</v>
      </c>
      <c r="E16" s="79">
        <v>118650</v>
      </c>
      <c r="F16" s="177">
        <v>6001</v>
      </c>
      <c r="G16" s="79">
        <v>613</v>
      </c>
      <c r="H16" s="71">
        <f t="shared" si="2"/>
        <v>118037</v>
      </c>
      <c r="I16" s="3">
        <f t="shared" si="3"/>
        <v>124038</v>
      </c>
      <c r="J16" s="5">
        <f t="shared" si="0"/>
        <v>118.03700000000001</v>
      </c>
      <c r="K16" s="4">
        <v>0.97699999999999998</v>
      </c>
      <c r="L16" s="5">
        <f t="shared" si="1"/>
        <v>115</v>
      </c>
      <c r="M16" s="224"/>
      <c r="O16" s="118">
        <v>44297</v>
      </c>
      <c r="P16" s="122">
        <v>2079.8533296651249</v>
      </c>
      <c r="Q16" s="116"/>
      <c r="R16" s="117"/>
    </row>
    <row r="17" spans="2:18" ht="14.4" x14ac:dyDescent="0.3">
      <c r="B17" s="40">
        <v>44682</v>
      </c>
      <c r="C17" s="38">
        <v>44681</v>
      </c>
      <c r="D17" s="39">
        <v>44712</v>
      </c>
      <c r="E17" s="79">
        <v>137510</v>
      </c>
      <c r="F17" s="177">
        <v>3771</v>
      </c>
      <c r="G17" s="79">
        <v>606</v>
      </c>
      <c r="H17" s="71">
        <f t="shared" si="2"/>
        <v>136904</v>
      </c>
      <c r="I17" s="3">
        <f t="shared" si="3"/>
        <v>140675</v>
      </c>
      <c r="J17" s="5">
        <f t="shared" si="0"/>
        <v>136.904</v>
      </c>
      <c r="K17" s="4">
        <v>0.97699999999999998</v>
      </c>
      <c r="L17" s="5">
        <f t="shared" si="1"/>
        <v>133</v>
      </c>
      <c r="M17" s="224"/>
      <c r="O17" s="118">
        <v>44298</v>
      </c>
      <c r="P17" s="122">
        <v>6168.4176590443849</v>
      </c>
      <c r="Q17" s="116"/>
      <c r="R17" s="117"/>
    </row>
    <row r="18" spans="2:18" ht="14.4" x14ac:dyDescent="0.3">
      <c r="B18" s="81">
        <v>44713</v>
      </c>
      <c r="C18" s="38">
        <v>44712</v>
      </c>
      <c r="D18" s="39">
        <v>44742</v>
      </c>
      <c r="E18" s="79">
        <v>111010</v>
      </c>
      <c r="F18" s="177">
        <v>10225</v>
      </c>
      <c r="G18" s="79">
        <v>575</v>
      </c>
      <c r="H18" s="71">
        <f t="shared" si="2"/>
        <v>110435</v>
      </c>
      <c r="I18" s="71">
        <f t="shared" si="3"/>
        <v>120660</v>
      </c>
      <c r="J18" s="5">
        <f t="shared" si="0"/>
        <v>110.435</v>
      </c>
      <c r="K18" s="4">
        <v>0.97699999999999998</v>
      </c>
      <c r="L18" s="5">
        <f t="shared" si="1"/>
        <v>107</v>
      </c>
      <c r="M18" s="224"/>
      <c r="O18" s="118">
        <v>44299</v>
      </c>
      <c r="P18" s="122">
        <v>1970.2086927758012</v>
      </c>
      <c r="Q18" s="116"/>
      <c r="R18" s="117"/>
    </row>
    <row r="19" spans="2:18" ht="14.4" x14ac:dyDescent="0.3">
      <c r="B19" s="81">
        <v>44743</v>
      </c>
      <c r="C19" s="38">
        <v>44742</v>
      </c>
      <c r="D19" s="39">
        <v>44773</v>
      </c>
      <c r="E19" s="79">
        <v>82400</v>
      </c>
      <c r="F19" s="177">
        <v>540</v>
      </c>
      <c r="G19" s="79">
        <v>633</v>
      </c>
      <c r="H19" s="71">
        <f t="shared" si="2"/>
        <v>81767</v>
      </c>
      <c r="I19" s="71">
        <f t="shared" si="3"/>
        <v>82307</v>
      </c>
      <c r="J19" s="5">
        <f t="shared" si="0"/>
        <v>81.766999999999996</v>
      </c>
      <c r="K19" s="4">
        <v>0.97699999999999998</v>
      </c>
      <c r="L19" s="5">
        <f t="shared" si="1"/>
        <v>79</v>
      </c>
      <c r="M19" s="224"/>
      <c r="O19" s="118">
        <v>44300</v>
      </c>
      <c r="P19" s="122">
        <v>843.74481989300739</v>
      </c>
      <c r="Q19" s="116"/>
      <c r="R19" s="117"/>
    </row>
    <row r="20" spans="2:18" ht="14.4" x14ac:dyDescent="0.3">
      <c r="B20" s="81">
        <v>44774</v>
      </c>
      <c r="C20" s="38">
        <v>44773</v>
      </c>
      <c r="D20" s="39">
        <v>44804</v>
      </c>
      <c r="E20" s="79">
        <v>96870</v>
      </c>
      <c r="F20" s="177">
        <v>5828</v>
      </c>
      <c r="G20" s="79">
        <v>634</v>
      </c>
      <c r="H20" s="71">
        <f t="shared" si="2"/>
        <v>96236</v>
      </c>
      <c r="I20" s="71">
        <f t="shared" si="3"/>
        <v>102064</v>
      </c>
      <c r="J20" s="5">
        <f t="shared" si="0"/>
        <v>96.236000000000004</v>
      </c>
      <c r="K20" s="4">
        <v>0.97699999999999998</v>
      </c>
      <c r="L20" s="5">
        <f t="shared" si="1"/>
        <v>94</v>
      </c>
      <c r="M20" s="225"/>
      <c r="O20" s="118">
        <v>44301</v>
      </c>
      <c r="P20" s="122">
        <v>4104.7745844118481</v>
      </c>
      <c r="Q20" s="116"/>
      <c r="R20" s="117"/>
    </row>
    <row r="21" spans="2:18" ht="14.4" x14ac:dyDescent="0.3">
      <c r="B21" s="218" t="s">
        <v>12</v>
      </c>
      <c r="C21" s="218"/>
      <c r="D21" s="218"/>
      <c r="E21" s="6"/>
      <c r="F21" s="7"/>
      <c r="G21" s="6"/>
      <c r="H21" s="42">
        <f>ROUNDDOWN((SUM(H4:H20)),0)</f>
        <v>1755081</v>
      </c>
      <c r="I21" s="42">
        <f>ROUNDDOWN((SUM(I4:I20)),0)</f>
        <v>1808241</v>
      </c>
      <c r="J21" s="42">
        <f>ROUNDDOWN((SUM(J4:J20)),0)</f>
        <v>1755</v>
      </c>
      <c r="K21" s="42"/>
      <c r="L21" s="42">
        <f>ROUNDDOWN((SUM(L4:L20)),0)</f>
        <v>1707</v>
      </c>
      <c r="M21" s="9">
        <f>M13+M4</f>
        <v>1707</v>
      </c>
      <c r="O21" s="118">
        <v>44302</v>
      </c>
      <c r="P21" s="122">
        <v>2611.383848355581</v>
      </c>
      <c r="Q21" s="116"/>
      <c r="R21" s="117"/>
    </row>
    <row r="22" spans="2:18" x14ac:dyDescent="0.25">
      <c r="O22" s="118">
        <v>44303</v>
      </c>
      <c r="P22" s="122">
        <v>5818.4291015715207</v>
      </c>
      <c r="Q22" s="116"/>
      <c r="R22" s="117"/>
    </row>
    <row r="23" spans="2:18" x14ac:dyDescent="0.25">
      <c r="O23" s="118">
        <v>44304</v>
      </c>
      <c r="P23" s="122">
        <v>1135.409025533027</v>
      </c>
      <c r="Q23" s="116"/>
      <c r="R23" s="117"/>
    </row>
    <row r="24" spans="2:18" x14ac:dyDescent="0.25">
      <c r="O24" s="118">
        <v>44305</v>
      </c>
      <c r="P24" s="122">
        <v>7129.1797875975035</v>
      </c>
      <c r="Q24" s="116"/>
      <c r="R24" s="117"/>
    </row>
    <row r="25" spans="2:18" x14ac:dyDescent="0.25">
      <c r="O25" s="118">
        <v>44306</v>
      </c>
      <c r="P25" s="122">
        <v>4492.8692167291556</v>
      </c>
      <c r="Q25" s="116"/>
      <c r="R25" s="117"/>
    </row>
    <row r="26" spans="2:18" x14ac:dyDescent="0.25">
      <c r="O26" s="118">
        <v>44307</v>
      </c>
      <c r="P26" s="122">
        <v>8066.2313580196469</v>
      </c>
      <c r="Q26" s="116"/>
      <c r="R26" s="117"/>
    </row>
    <row r="27" spans="2:18" x14ac:dyDescent="0.25">
      <c r="O27" s="118">
        <v>44308</v>
      </c>
      <c r="P27" s="122">
        <v>7548.5145783929229</v>
      </c>
      <c r="Q27" s="116"/>
      <c r="R27" s="117"/>
    </row>
    <row r="28" spans="2:18" x14ac:dyDescent="0.25">
      <c r="O28" s="118">
        <v>44309</v>
      </c>
      <c r="P28" s="122">
        <v>189.15242972152149</v>
      </c>
      <c r="Q28" s="116"/>
      <c r="R28" s="117"/>
    </row>
    <row r="29" spans="2:18" x14ac:dyDescent="0.25">
      <c r="O29" s="118">
        <v>44310</v>
      </c>
      <c r="P29" s="122">
        <v>4732.07415570168</v>
      </c>
      <c r="Q29" s="116"/>
      <c r="R29" s="117"/>
    </row>
    <row r="30" spans="2:18" x14ac:dyDescent="0.25">
      <c r="O30" s="118">
        <v>44311</v>
      </c>
      <c r="P30" s="122">
        <v>2737.9505244003021</v>
      </c>
      <c r="Q30" s="116"/>
      <c r="R30" s="117"/>
    </row>
    <row r="31" spans="2:18" x14ac:dyDescent="0.25">
      <c r="O31" s="118">
        <v>44312</v>
      </c>
      <c r="P31" s="122">
        <v>7781.6266444910952</v>
      </c>
      <c r="Q31" s="116"/>
      <c r="R31" s="117"/>
    </row>
    <row r="32" spans="2:18" x14ac:dyDescent="0.25">
      <c r="O32" s="118">
        <v>44313</v>
      </c>
      <c r="P32" s="122">
        <v>5827.3118904729708</v>
      </c>
      <c r="Q32" s="116"/>
      <c r="R32" s="117"/>
    </row>
    <row r="33" spans="15:18" x14ac:dyDescent="0.25">
      <c r="O33" s="118">
        <v>44314</v>
      </c>
      <c r="P33" s="122">
        <v>332.218049895901</v>
      </c>
      <c r="Q33" s="116"/>
      <c r="R33" s="117"/>
    </row>
    <row r="34" spans="15:18" x14ac:dyDescent="0.25">
      <c r="O34" s="118">
        <v>44315</v>
      </c>
      <c r="P34" s="122">
        <v>3928.6912382531964</v>
      </c>
      <c r="Q34" s="116"/>
      <c r="R34" s="117"/>
    </row>
    <row r="35" spans="15:18" x14ac:dyDescent="0.25">
      <c r="O35" s="118">
        <v>44316</v>
      </c>
      <c r="P35" s="122">
        <v>6462.3568200066265</v>
      </c>
      <c r="Q35" s="116"/>
      <c r="R35" s="117"/>
    </row>
    <row r="36" spans="15:18" x14ac:dyDescent="0.25">
      <c r="O36" s="118"/>
      <c r="P36" s="122"/>
      <c r="Q36" s="116"/>
      <c r="R36" s="117"/>
    </row>
    <row r="37" spans="15:18" x14ac:dyDescent="0.25">
      <c r="O37" s="123" t="s">
        <v>140</v>
      </c>
      <c r="P37" s="124">
        <f>SUM(P5:P36)</f>
        <v>132090</v>
      </c>
      <c r="Q37" s="116"/>
      <c r="R37" s="117"/>
    </row>
    <row r="38" spans="15:18" ht="13.8" thickBot="1" x14ac:dyDescent="0.3">
      <c r="O38" s="125"/>
      <c r="P38" s="116"/>
      <c r="Q38" s="116"/>
      <c r="R38" s="117"/>
    </row>
    <row r="39" spans="15:18" x14ac:dyDescent="0.25">
      <c r="O39" s="127" t="s">
        <v>153</v>
      </c>
      <c r="P39" s="128"/>
      <c r="Q39" s="129"/>
      <c r="R39" s="120">
        <f>P37</f>
        <v>132090</v>
      </c>
    </row>
    <row r="40" spans="15:18" x14ac:dyDescent="0.25">
      <c r="O40" s="130" t="s">
        <v>154</v>
      </c>
      <c r="P40" s="131"/>
      <c r="Q40" s="132"/>
      <c r="R40" s="120">
        <f>SUM(P6:P35)</f>
        <v>130178.47477602119</v>
      </c>
    </row>
    <row r="41" spans="15:18" ht="13.8" thickBot="1" x14ac:dyDescent="0.3">
      <c r="O41" s="133" t="s">
        <v>141</v>
      </c>
      <c r="P41" s="134"/>
      <c r="Q41" s="135"/>
      <c r="R41" s="126">
        <f>R40/R39</f>
        <v>0.98552861515649326</v>
      </c>
    </row>
  </sheetData>
  <mergeCells count="15">
    <mergeCell ref="O2:R2"/>
    <mergeCell ref="M2:M3"/>
    <mergeCell ref="B21:D21"/>
    <mergeCell ref="H2:H3"/>
    <mergeCell ref="I2:I3"/>
    <mergeCell ref="J2:J3"/>
    <mergeCell ref="K2:K3"/>
    <mergeCell ref="L2:L3"/>
    <mergeCell ref="B2:B3"/>
    <mergeCell ref="C2:D2"/>
    <mergeCell ref="E2:E3"/>
    <mergeCell ref="F2:F3"/>
    <mergeCell ref="G2:G3"/>
    <mergeCell ref="M4:M12"/>
    <mergeCell ref="M13:M20"/>
  </mergeCells>
  <pageMargins left="0.78749999999999998" right="0.78749999999999998" top="1.0249999999999999" bottom="1.0249999999999999" header="0.78749999999999998" footer="0.78749999999999998"/>
  <pageSetup orientation="portrait" horizontalDpi="300" verticalDpi="300" r:id="rId1"/>
  <headerFooter>
    <oddHeader>&amp;C&amp;A</oddHeader>
    <oddFooter>&amp;CPage &amp;P</oddFooter>
  </headerFooter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W54"/>
  <sheetViews>
    <sheetView tabSelected="1" topLeftCell="A34" zoomScale="90" zoomScaleNormal="90" zoomScalePageLayoutView="60" workbookViewId="0">
      <selection activeCell="I54" sqref="I54"/>
    </sheetView>
  </sheetViews>
  <sheetFormatPr defaultRowHeight="13.2" x14ac:dyDescent="0.25"/>
  <cols>
    <col min="1" max="2" width="11.6640625" customWidth="1"/>
    <col min="3" max="3" width="29.6640625" customWidth="1"/>
    <col min="4" max="4" width="11.6640625" customWidth="1"/>
    <col min="5" max="5" width="19.44140625" customWidth="1"/>
    <col min="6" max="6" width="18.88671875" customWidth="1"/>
    <col min="7" max="7" width="18" customWidth="1"/>
    <col min="8" max="8" width="15.33203125" customWidth="1"/>
    <col min="9" max="9" width="20.44140625" bestFit="1" customWidth="1"/>
    <col min="10" max="10" width="11.6640625" customWidth="1"/>
    <col min="11" max="11" width="14.5546875" customWidth="1"/>
    <col min="12" max="256" width="11.6640625" customWidth="1"/>
    <col min="257" max="1025" width="11.5546875"/>
  </cols>
  <sheetData>
    <row r="2" spans="1:257" ht="14.4" x14ac:dyDescent="0.35">
      <c r="B2" s="12" t="s">
        <v>20</v>
      </c>
      <c r="C2" s="13"/>
      <c r="D2" s="13"/>
      <c r="E2" s="14">
        <v>2021</v>
      </c>
      <c r="F2" s="14">
        <v>2022</v>
      </c>
      <c r="G2" s="14" t="s">
        <v>81</v>
      </c>
      <c r="H2" s="15"/>
      <c r="I2" s="15"/>
      <c r="J2" s="15"/>
      <c r="K2" s="15"/>
      <c r="L2" s="15"/>
    </row>
    <row r="3" spans="1:257" ht="15.6" x14ac:dyDescent="0.4">
      <c r="B3" s="12" t="s">
        <v>21</v>
      </c>
      <c r="C3" s="13" t="s">
        <v>22</v>
      </c>
      <c r="D3" s="13"/>
      <c r="E3" s="16">
        <f>'Instance - 11 _Pune_'!N6+'Instance - 10 _Sevagram'!M4+'Instance - 9 _Gotan_'!M4+'Instance - 8 _Hotgi_'!M4+'Instance - 7 _Bijapur_ 6_8 MW'!M6+'Instance - 6 _Karnataka_'!M6+'Instance - 6 _Karnataka_'!M29+'Instance - 6 _Karnataka_'!M52+'Instance - 6 _Karnataka_'!M75+'Instance - 5 _Alladurg_'!L4+'Instance - 4 _Salakpur_mutsyal'!L4+'Instance - 3 _Kalwakurthy_'!L4+'Instance - 2 _Achempet_'!L4+'Instance - 1 _Bhadla_'!L4</f>
        <v>173206</v>
      </c>
      <c r="F3" s="16">
        <f>'Instance - 1 _Bhadla_'!M13+'Instance - 2 _Achempet_'!M14+'Instance - 3 _Kalwakurthy_'!M14+'Instance - 4 _Salakpur_mutsyal'!M13+'Instance - 5 _Alladurg_'!M14+'Instance - 6 _Karnataka_'!N15+'Instance - 6 _Karnataka_'!N38+'Instance - 6 _Karnataka_'!N61+'Instance - 6 _Karnataka_'!N84+'Instance - 7 _Bijapur_ 6_8 MW'!N16+'Instance - 8 _Hotgi_'!N13+'Instance - 9 _Gotan_'!N13+'Instance - 10 _Sevagram'!N13+'Instance - 11 _Pune_'!N13</f>
        <v>159856</v>
      </c>
      <c r="G3" s="16">
        <f>E3+F3</f>
        <v>333062</v>
      </c>
      <c r="H3" s="15"/>
      <c r="I3" s="15"/>
      <c r="J3" s="15"/>
      <c r="K3" s="15"/>
      <c r="L3" s="15"/>
    </row>
    <row r="4" spans="1:257" ht="14.4" x14ac:dyDescent="0.35">
      <c r="B4" s="15"/>
      <c r="C4" s="15"/>
      <c r="D4" s="15"/>
      <c r="E4" s="17"/>
      <c r="F4" s="17"/>
      <c r="G4" s="17"/>
      <c r="H4" s="15"/>
      <c r="I4" s="43"/>
      <c r="J4" s="15"/>
      <c r="K4" s="15"/>
      <c r="L4" s="15"/>
    </row>
    <row r="5" spans="1:257" ht="14.4" x14ac:dyDescent="0.35">
      <c r="B5" s="18" t="s">
        <v>23</v>
      </c>
      <c r="C5" s="15"/>
      <c r="D5" s="15"/>
      <c r="E5" s="17"/>
      <c r="F5" s="17"/>
      <c r="G5" s="17"/>
      <c r="H5" s="15"/>
      <c r="I5" s="15"/>
      <c r="J5" s="15"/>
      <c r="K5" s="15"/>
      <c r="L5" s="15"/>
      <c r="M5" s="41">
        <v>44287</v>
      </c>
    </row>
    <row r="6" spans="1:257" ht="14.4" x14ac:dyDescent="0.35">
      <c r="B6" s="15"/>
      <c r="C6" s="15"/>
      <c r="D6" s="15"/>
      <c r="E6" s="17"/>
      <c r="F6" s="17"/>
      <c r="G6" s="17"/>
      <c r="H6" s="15"/>
      <c r="I6" s="15"/>
      <c r="J6" s="15"/>
      <c r="K6" s="15"/>
      <c r="L6" s="15"/>
      <c r="M6" s="41">
        <v>44804</v>
      </c>
    </row>
    <row r="7" spans="1:257" ht="14.4" x14ac:dyDescent="0.35">
      <c r="B7" s="19"/>
      <c r="C7" s="19"/>
      <c r="D7" s="20" t="s">
        <v>24</v>
      </c>
      <c r="E7" s="21"/>
      <c r="F7" s="22" t="s">
        <v>25</v>
      </c>
      <c r="G7" s="21"/>
      <c r="H7" s="20" t="s">
        <v>26</v>
      </c>
      <c r="I7" s="19"/>
      <c r="J7" s="20" t="s">
        <v>8</v>
      </c>
      <c r="K7" s="19"/>
      <c r="L7" s="15"/>
      <c r="M7">
        <f>M6-M5+1</f>
        <v>518</v>
      </c>
      <c r="O7">
        <v>0.97699999999999998</v>
      </c>
    </row>
    <row r="8" spans="1:257" ht="15.6" x14ac:dyDescent="0.4">
      <c r="B8" s="13"/>
      <c r="C8" s="13"/>
      <c r="D8" s="23" t="s">
        <v>27</v>
      </c>
      <c r="E8" s="24"/>
      <c r="F8" s="14" t="s">
        <v>27</v>
      </c>
      <c r="G8" s="24"/>
      <c r="H8" s="23" t="s">
        <v>27</v>
      </c>
      <c r="I8" s="13"/>
      <c r="J8" s="23" t="s">
        <v>27</v>
      </c>
      <c r="K8" s="13"/>
      <c r="L8" s="15"/>
    </row>
    <row r="9" spans="1:257" ht="14.4" x14ac:dyDescent="0.35">
      <c r="B9" s="13" t="s">
        <v>12</v>
      </c>
      <c r="C9" s="13"/>
      <c r="D9" s="25">
        <f>'Instance - 11 _Pune_'!M21+'Instance - 10 _Sevagram'!M21+'Instance - 9 _Gotan_'!M21+'Instance - 8 _Hotgi_'!M21+'Instance - 7 _Bijapur_ 6_8 MW'!M23+'Instance - 6 _Karnataka_'!M23+'Instance - 6 _Karnataka_'!M46+'Instance - 6 _Karnataka_'!M69+'Instance - 6 _Karnataka_'!M92+'Instance - 5 _Alladurg_'!L22+'Instance - 4 _Salakpur_mutsyal'!L22+'Instance - 3 _Kalwakurthy_'!L22+'Instance - 2 _Achempet_'!L22+'Instance - 1 _Bhadla_'!L21</f>
        <v>333062</v>
      </c>
      <c r="E9" s="24"/>
      <c r="F9" s="24">
        <v>0</v>
      </c>
      <c r="G9" s="24"/>
      <c r="H9" s="13">
        <v>0</v>
      </c>
      <c r="I9" s="13"/>
      <c r="J9" s="25">
        <f>D9-F9-H9</f>
        <v>333062</v>
      </c>
      <c r="K9" s="13"/>
      <c r="L9" s="15"/>
    </row>
    <row r="10" spans="1:257" ht="14.4" x14ac:dyDescent="0.35">
      <c r="B10" s="15"/>
      <c r="C10" s="15"/>
      <c r="D10" s="15"/>
      <c r="E10" s="17"/>
      <c r="F10" s="17"/>
      <c r="G10" s="17"/>
      <c r="H10" s="15"/>
      <c r="I10" s="15"/>
      <c r="J10" s="15"/>
      <c r="K10" s="15"/>
      <c r="L10" s="15"/>
    </row>
    <row r="11" spans="1:257" ht="14.4" x14ac:dyDescent="0.3">
      <c r="C11" s="218" t="s">
        <v>28</v>
      </c>
      <c r="D11" s="218"/>
      <c r="E11" s="218"/>
      <c r="F11" s="218"/>
      <c r="G11" s="218"/>
      <c r="H11" s="218"/>
      <c r="I11" s="218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</row>
    <row r="12" spans="1:257" ht="51" customHeight="1" x14ac:dyDescent="0.25">
      <c r="A12" s="26"/>
      <c r="B12" s="26"/>
      <c r="C12" s="27" t="s">
        <v>29</v>
      </c>
      <c r="D12" s="27" t="s">
        <v>30</v>
      </c>
      <c r="E12" s="27" t="s">
        <v>31</v>
      </c>
      <c r="F12" s="27" t="s">
        <v>32</v>
      </c>
      <c r="G12" s="27" t="s">
        <v>33</v>
      </c>
      <c r="H12" s="27" t="s">
        <v>34</v>
      </c>
      <c r="I12" s="27" t="s">
        <v>35</v>
      </c>
      <c r="J12" s="26"/>
      <c r="K12" s="65" t="s">
        <v>6</v>
      </c>
      <c r="L12" s="67" t="s">
        <v>34</v>
      </c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  <c r="IT12" s="26"/>
      <c r="IU12" s="26"/>
      <c r="IV12" s="26"/>
      <c r="IW12" s="26"/>
    </row>
    <row r="13" spans="1:257" ht="60.75" customHeight="1" x14ac:dyDescent="0.25">
      <c r="A13" s="26"/>
      <c r="B13" s="26"/>
      <c r="C13" s="28" t="s">
        <v>36</v>
      </c>
      <c r="D13" s="28" t="s">
        <v>37</v>
      </c>
      <c r="E13" s="29">
        <v>518</v>
      </c>
      <c r="F13" s="29">
        <v>29270</v>
      </c>
      <c r="G13" s="29">
        <f>ROUNDDOWN(F13*E13/365,0)</f>
        <v>41539</v>
      </c>
      <c r="H13" s="30">
        <f>'Instance - 1 _Bhadla_'!L21</f>
        <v>48384</v>
      </c>
      <c r="I13" s="113">
        <f t="shared" ref="I13:I27" si="0">(H13-G13)/G13</f>
        <v>0.16478490093646933</v>
      </c>
      <c r="J13" s="26">
        <v>0.97699999999999998</v>
      </c>
      <c r="K13" s="1">
        <f>'Instance - 1 _Bhadla_'!I21</f>
        <v>49530</v>
      </c>
      <c r="L13" s="68">
        <f>'Instance - 1 _Bhadla_'!L21</f>
        <v>48384</v>
      </c>
      <c r="M13" s="26"/>
      <c r="N13" s="26"/>
      <c r="O13" s="32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  <c r="IV13" s="26"/>
      <c r="IW13" s="26"/>
    </row>
    <row r="14" spans="1:257" ht="66" x14ac:dyDescent="0.25">
      <c r="A14" s="26"/>
      <c r="B14" s="26"/>
      <c r="C14" s="28" t="s">
        <v>38</v>
      </c>
      <c r="D14" s="28" t="s">
        <v>39</v>
      </c>
      <c r="E14" s="29">
        <v>518</v>
      </c>
      <c r="F14" s="29">
        <v>7171</v>
      </c>
      <c r="G14" s="29">
        <f t="shared" ref="G14:G26" si="1">ROUNDDOWN(F14*E14/365,0)</f>
        <v>10176</v>
      </c>
      <c r="H14" s="30">
        <f>'Instance - 2 _Achempet_'!L22</f>
        <v>10494</v>
      </c>
      <c r="I14" s="113">
        <f t="shared" si="0"/>
        <v>3.125E-2</v>
      </c>
      <c r="J14" s="26">
        <v>0.98170000000000002</v>
      </c>
      <c r="K14" s="1">
        <f>'Instance - 2 _Achempet_'!I22</f>
        <v>10485</v>
      </c>
      <c r="L14" s="68">
        <f>'Instance - 2 _Achempet_'!L22</f>
        <v>10494</v>
      </c>
      <c r="M14" s="26"/>
      <c r="N14" s="26"/>
      <c r="O14" s="32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  <c r="IW14" s="26"/>
    </row>
    <row r="15" spans="1:257" ht="106.95" customHeight="1" x14ac:dyDescent="0.25">
      <c r="A15" s="26"/>
      <c r="B15" s="26"/>
      <c r="C15" s="28" t="s">
        <v>40</v>
      </c>
      <c r="D15" s="28" t="s">
        <v>41</v>
      </c>
      <c r="E15" s="29">
        <v>518</v>
      </c>
      <c r="F15" s="29">
        <v>14524</v>
      </c>
      <c r="G15" s="29">
        <f>ROUNDDOWN(F15*E15/365,0)</f>
        <v>20612</v>
      </c>
      <c r="H15" s="30">
        <f>'Instance - 3 _Kalwakurthy_'!$L$22</f>
        <v>20962</v>
      </c>
      <c r="I15" s="113">
        <f t="shared" si="0"/>
        <v>1.6980399767125946E-2</v>
      </c>
      <c r="J15" s="26">
        <v>0.98170000000000002</v>
      </c>
      <c r="K15" s="1">
        <f>'Instance - 3 _Kalwakurthy_'!I22</f>
        <v>20976</v>
      </c>
      <c r="L15" s="68">
        <f>'Instance - 3 _Kalwakurthy_'!L22</f>
        <v>20962</v>
      </c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  <c r="IW15" s="26"/>
    </row>
    <row r="16" spans="1:257" ht="66" x14ac:dyDescent="0.25">
      <c r="A16" s="26"/>
      <c r="B16" s="26"/>
      <c r="C16" s="28" t="s">
        <v>83</v>
      </c>
      <c r="D16" s="28" t="s">
        <v>42</v>
      </c>
      <c r="E16" s="29">
        <v>518</v>
      </c>
      <c r="F16" s="29">
        <v>14240</v>
      </c>
      <c r="G16" s="29">
        <f t="shared" si="1"/>
        <v>20209</v>
      </c>
      <c r="H16" s="30">
        <f>'Instance - 4 _Salakpur_mutsyal'!L22</f>
        <v>21066</v>
      </c>
      <c r="I16" s="113">
        <f t="shared" si="0"/>
        <v>4.24068484338661E-2</v>
      </c>
      <c r="J16" s="26">
        <v>0.98170000000000002</v>
      </c>
      <c r="K16" s="1">
        <f>'Instance - 4 _Salakpur_mutsyal'!I22</f>
        <v>21468</v>
      </c>
      <c r="L16" s="68">
        <f>'Instance - 4 _Salakpur_mutsyal'!L22</f>
        <v>21066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  <c r="IU16" s="26"/>
      <c r="IV16" s="26"/>
      <c r="IW16" s="26"/>
    </row>
    <row r="17" spans="1:257" ht="66" x14ac:dyDescent="0.25">
      <c r="A17" s="26"/>
      <c r="B17" s="26"/>
      <c r="C17" s="28" t="s">
        <v>43</v>
      </c>
      <c r="D17" s="28" t="s">
        <v>44</v>
      </c>
      <c r="E17" s="29">
        <v>518</v>
      </c>
      <c r="F17" s="29">
        <v>14679</v>
      </c>
      <c r="G17" s="29">
        <f t="shared" si="1"/>
        <v>20832</v>
      </c>
      <c r="H17" s="30">
        <f>'Instance - 5 _Alladurg_'!L22</f>
        <v>18862</v>
      </c>
      <c r="I17" s="113">
        <f t="shared" si="0"/>
        <v>-9.4566052227342545E-2</v>
      </c>
      <c r="J17" s="26">
        <v>0.98170000000000002</v>
      </c>
      <c r="K17" s="1">
        <f>'Instance - 5 _Alladurg_'!I22</f>
        <v>19222</v>
      </c>
      <c r="L17" s="68">
        <f>'Instance - 5 _Alladurg_'!L22</f>
        <v>18862</v>
      </c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  <c r="IU17" s="26"/>
      <c r="IV17" s="26"/>
      <c r="IW17" s="26"/>
    </row>
    <row r="18" spans="1:257" ht="13.95" customHeight="1" x14ac:dyDescent="0.25">
      <c r="A18" s="26"/>
      <c r="B18" s="26"/>
      <c r="C18" s="273" t="s">
        <v>45</v>
      </c>
      <c r="D18" s="273" t="s">
        <v>46</v>
      </c>
      <c r="E18" s="29">
        <v>518</v>
      </c>
      <c r="F18" s="29">
        <v>36410</v>
      </c>
      <c r="G18" s="29">
        <f t="shared" si="1"/>
        <v>51672</v>
      </c>
      <c r="H18" s="30">
        <f>'Instance - 6 _Karnataka_'!M23</f>
        <v>43928</v>
      </c>
      <c r="I18" s="31">
        <f t="shared" si="0"/>
        <v>-0.14986840068122001</v>
      </c>
      <c r="J18" s="26">
        <v>0.98170000000000002</v>
      </c>
      <c r="K18" s="1">
        <f>'Instance - 6 _Karnataka_'!J23</f>
        <v>44753</v>
      </c>
      <c r="L18" s="68">
        <f>'Instance - 6 _Karnataka_'!M23</f>
        <v>43928</v>
      </c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  <c r="IU18" s="26"/>
      <c r="IV18" s="26"/>
      <c r="IW18" s="26"/>
    </row>
    <row r="19" spans="1:257" ht="14.4" x14ac:dyDescent="0.25">
      <c r="A19" s="26"/>
      <c r="B19" s="26"/>
      <c r="C19" s="273"/>
      <c r="D19" s="273"/>
      <c r="E19" s="29">
        <v>518</v>
      </c>
      <c r="F19" s="29">
        <v>36513</v>
      </c>
      <c r="G19" s="29">
        <f t="shared" si="1"/>
        <v>51818</v>
      </c>
      <c r="H19" s="30">
        <f>'Instance - 6 _Karnataka_'!M46</f>
        <v>44068</v>
      </c>
      <c r="I19" s="31">
        <f t="shared" si="0"/>
        <v>-0.14956192828746767</v>
      </c>
      <c r="J19" s="26">
        <v>0.98170000000000002</v>
      </c>
      <c r="K19" s="1">
        <f>'Instance - 6 _Karnataka_'!J46</f>
        <v>44897</v>
      </c>
      <c r="L19" s="68">
        <f>'Instance - 6 _Karnataka_'!M46</f>
        <v>44068</v>
      </c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  <c r="IU19" s="26"/>
      <c r="IV19" s="26"/>
      <c r="IW19" s="26"/>
    </row>
    <row r="20" spans="1:257" ht="14.4" x14ac:dyDescent="0.25">
      <c r="A20" s="26"/>
      <c r="B20" s="26"/>
      <c r="C20" s="273"/>
      <c r="D20" s="273"/>
      <c r="E20" s="29">
        <v>518</v>
      </c>
      <c r="F20" s="29">
        <v>36599</v>
      </c>
      <c r="G20" s="29">
        <f t="shared" si="1"/>
        <v>51940</v>
      </c>
      <c r="H20" s="30">
        <f>'Instance - 6 _Karnataka_'!M69</f>
        <v>44032</v>
      </c>
      <c r="I20" s="31">
        <f t="shared" si="0"/>
        <v>-0.15225259915286871</v>
      </c>
      <c r="J20" s="26">
        <v>0.98170000000000002</v>
      </c>
      <c r="K20" s="1">
        <f>'Instance - 6 _Karnataka_'!J69</f>
        <v>44863</v>
      </c>
      <c r="L20" s="68">
        <f>'Instance - 6 _Karnataka_'!M69</f>
        <v>44032</v>
      </c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26"/>
      <c r="IU20" s="26"/>
      <c r="IV20" s="26"/>
      <c r="IW20" s="26"/>
    </row>
    <row r="21" spans="1:257" ht="14.4" x14ac:dyDescent="0.25">
      <c r="A21" s="26"/>
      <c r="B21" s="26"/>
      <c r="C21" s="273"/>
      <c r="D21" s="273"/>
      <c r="E21" s="29">
        <v>518</v>
      </c>
      <c r="F21" s="29">
        <v>26460</v>
      </c>
      <c r="G21" s="29">
        <f t="shared" si="1"/>
        <v>37551</v>
      </c>
      <c r="H21" s="30">
        <f>'Instance - 6 _Karnataka_'!M92</f>
        <v>40025</v>
      </c>
      <c r="I21" s="31">
        <f t="shared" si="0"/>
        <v>6.5883731458549699E-2</v>
      </c>
      <c r="J21" s="26">
        <v>0.98170000000000002</v>
      </c>
      <c r="K21" s="1">
        <f>'Instance - 6 _Karnataka_'!J92</f>
        <v>40779</v>
      </c>
      <c r="L21" s="68">
        <f>'Instance - 6 _Karnataka_'!M92</f>
        <v>40025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  <c r="HT21" s="26"/>
      <c r="HU21" s="26"/>
      <c r="HV21" s="26"/>
      <c r="HW21" s="26"/>
      <c r="HX21" s="26"/>
      <c r="HY21" s="26"/>
      <c r="HZ21" s="26"/>
      <c r="IA21" s="26"/>
      <c r="IB21" s="26"/>
      <c r="IC21" s="26"/>
      <c r="ID21" s="26"/>
      <c r="IE21" s="26"/>
      <c r="IF21" s="26"/>
      <c r="IG21" s="26"/>
      <c r="IH21" s="26"/>
      <c r="II21" s="26"/>
      <c r="IJ21" s="26"/>
      <c r="IK21" s="26"/>
      <c r="IL21" s="26"/>
      <c r="IM21" s="26"/>
      <c r="IN21" s="26"/>
      <c r="IO21" s="26"/>
      <c r="IP21" s="26"/>
      <c r="IQ21" s="26"/>
      <c r="IR21" s="26"/>
      <c r="IS21" s="26"/>
      <c r="IT21" s="26"/>
      <c r="IU21" s="26"/>
      <c r="IV21" s="26"/>
      <c r="IW21" s="26"/>
    </row>
    <row r="22" spans="1:257" ht="52.8" x14ac:dyDescent="0.25">
      <c r="A22" s="26"/>
      <c r="B22" s="26"/>
      <c r="C22" s="28" t="s">
        <v>47</v>
      </c>
      <c r="D22" s="28" t="s">
        <v>48</v>
      </c>
      <c r="E22" s="29">
        <v>518</v>
      </c>
      <c r="F22" s="29">
        <v>10525</v>
      </c>
      <c r="G22" s="29">
        <f t="shared" si="1"/>
        <v>14936</v>
      </c>
      <c r="H22" s="30">
        <f>'Instance - 7 _Bijapur_ 6_8 MW'!$M$23</f>
        <v>14441</v>
      </c>
      <c r="I22" s="31">
        <f t="shared" si="0"/>
        <v>-3.3141403320835566E-2</v>
      </c>
      <c r="J22" s="26">
        <v>0.98170000000000002</v>
      </c>
      <c r="K22" s="1">
        <f>'Instance - 7 _Bijapur_ 6_8 MW'!J23</f>
        <v>14717</v>
      </c>
      <c r="L22" s="68">
        <f>'Instance - 7 _Bijapur_ 6_8 MW'!M23</f>
        <v>14441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6"/>
      <c r="HL22" s="26"/>
      <c r="HM22" s="26"/>
      <c r="HN22" s="26"/>
      <c r="HO22" s="26"/>
      <c r="HP22" s="26"/>
      <c r="HQ22" s="26"/>
      <c r="HR22" s="26"/>
      <c r="HS22" s="26"/>
      <c r="HT22" s="26"/>
      <c r="HU22" s="26"/>
      <c r="HV22" s="26"/>
      <c r="HW22" s="26"/>
      <c r="HX22" s="26"/>
      <c r="HY22" s="26"/>
      <c r="HZ22" s="26"/>
      <c r="IA22" s="26"/>
      <c r="IB22" s="26"/>
      <c r="IC22" s="26"/>
      <c r="ID22" s="26"/>
      <c r="IE22" s="26"/>
      <c r="IF22" s="26"/>
      <c r="IG22" s="26"/>
      <c r="IH22" s="26"/>
      <c r="II22" s="26"/>
      <c r="IJ22" s="26"/>
      <c r="IK22" s="26"/>
      <c r="IL22" s="26"/>
      <c r="IM22" s="26"/>
      <c r="IN22" s="26"/>
      <c r="IO22" s="26"/>
      <c r="IP22" s="26"/>
      <c r="IQ22" s="26"/>
      <c r="IR22" s="26"/>
      <c r="IS22" s="26"/>
      <c r="IT22" s="26"/>
      <c r="IU22" s="26"/>
      <c r="IV22" s="26"/>
      <c r="IW22" s="26"/>
    </row>
    <row r="23" spans="1:257" ht="66" x14ac:dyDescent="0.25">
      <c r="A23" s="26"/>
      <c r="B23" s="26"/>
      <c r="C23" s="28" t="s">
        <v>49</v>
      </c>
      <c r="D23" s="28" t="s">
        <v>50</v>
      </c>
      <c r="E23" s="29">
        <v>518</v>
      </c>
      <c r="F23" s="29">
        <v>1432</v>
      </c>
      <c r="G23" s="29">
        <f t="shared" si="1"/>
        <v>2032</v>
      </c>
      <c r="H23" s="30">
        <f>'Instance - 8 _Hotgi_'!M21</f>
        <v>1845</v>
      </c>
      <c r="I23" s="31">
        <f t="shared" si="0"/>
        <v>-9.2027559055118113E-2</v>
      </c>
      <c r="J23" s="26">
        <v>0.97699999999999998</v>
      </c>
      <c r="K23" s="1">
        <f>'Instance - 8 _Hotgi_'!J21</f>
        <v>1889</v>
      </c>
      <c r="L23" s="68">
        <f>'Instance - 8 _Hotgi_'!M21</f>
        <v>1845</v>
      </c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  <c r="HU23" s="26"/>
      <c r="HV23" s="26"/>
      <c r="HW23" s="26"/>
      <c r="HX23" s="26"/>
      <c r="HY23" s="26"/>
      <c r="HZ23" s="26"/>
      <c r="IA23" s="26"/>
      <c r="IB23" s="26"/>
      <c r="IC23" s="26"/>
      <c r="ID23" s="26"/>
      <c r="IE23" s="26"/>
      <c r="IF23" s="26"/>
      <c r="IG23" s="26"/>
      <c r="IH23" s="26"/>
      <c r="II23" s="26"/>
      <c r="IJ23" s="26"/>
      <c r="IK23" s="26"/>
      <c r="IL23" s="26"/>
      <c r="IM23" s="26"/>
      <c r="IN23" s="26"/>
      <c r="IO23" s="26"/>
      <c r="IP23" s="26"/>
      <c r="IQ23" s="26"/>
      <c r="IR23" s="26"/>
      <c r="IS23" s="26"/>
      <c r="IT23" s="26"/>
      <c r="IU23" s="26"/>
      <c r="IV23" s="26"/>
      <c r="IW23" s="26"/>
    </row>
    <row r="24" spans="1:257" ht="79.2" x14ac:dyDescent="0.25">
      <c r="A24" s="26"/>
      <c r="B24" s="26"/>
      <c r="C24" s="28" t="s">
        <v>51</v>
      </c>
      <c r="D24" s="28" t="s">
        <v>52</v>
      </c>
      <c r="E24" s="29">
        <v>518</v>
      </c>
      <c r="F24" s="29">
        <v>8956</v>
      </c>
      <c r="G24" s="29">
        <f t="shared" si="1"/>
        <v>12710</v>
      </c>
      <c r="H24" s="30">
        <f>'Instance - 9 _Gotan_'!M21</f>
        <v>12233</v>
      </c>
      <c r="I24" s="141">
        <f t="shared" si="0"/>
        <v>-3.7529504327301337E-2</v>
      </c>
      <c r="J24" s="26">
        <v>0.97699999999999998</v>
      </c>
      <c r="K24" s="1">
        <f>'Instance - 9 _Gotan_'!J21</f>
        <v>11907</v>
      </c>
      <c r="L24" s="68">
        <f>'Instance - 9 _Gotan_'!M21</f>
        <v>12233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6"/>
      <c r="IF24" s="26"/>
      <c r="IG24" s="26"/>
      <c r="IH24" s="26"/>
      <c r="II24" s="26"/>
      <c r="IJ24" s="26"/>
      <c r="IK24" s="26"/>
      <c r="IL24" s="26"/>
      <c r="IM24" s="26"/>
      <c r="IN24" s="26"/>
      <c r="IO24" s="26"/>
      <c r="IP24" s="26"/>
      <c r="IQ24" s="26"/>
      <c r="IR24" s="26"/>
      <c r="IS24" s="26"/>
      <c r="IT24" s="26"/>
      <c r="IU24" s="26"/>
      <c r="IV24" s="26"/>
      <c r="IW24" s="26"/>
    </row>
    <row r="25" spans="1:257" ht="66" x14ac:dyDescent="0.25">
      <c r="A25" s="26"/>
      <c r="B25" s="26"/>
      <c r="C25" s="28" t="s">
        <v>53</v>
      </c>
      <c r="D25" s="28" t="s">
        <v>54</v>
      </c>
      <c r="E25" s="29">
        <v>518</v>
      </c>
      <c r="F25" s="29">
        <v>8956</v>
      </c>
      <c r="G25" s="29">
        <f t="shared" si="1"/>
        <v>12710</v>
      </c>
      <c r="H25" s="30">
        <f>'Instance - 10 _Sevagram'!M21</f>
        <v>11015</v>
      </c>
      <c r="I25" s="31">
        <f t="shared" si="0"/>
        <v>-0.13335955940204564</v>
      </c>
      <c r="J25" s="26">
        <v>0.97699999999999998</v>
      </c>
      <c r="K25" s="1">
        <f>'Instance - 10 _Sevagram'!J21</f>
        <v>11281</v>
      </c>
      <c r="L25" s="68">
        <f>'Instance - 10 _Sevagram'!M21</f>
        <v>11015</v>
      </c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  <c r="IU25" s="26"/>
      <c r="IV25" s="26"/>
      <c r="IW25" s="26"/>
    </row>
    <row r="26" spans="1:257" ht="66" x14ac:dyDescent="0.25">
      <c r="A26" s="26"/>
      <c r="B26" s="26"/>
      <c r="C26" s="28" t="s">
        <v>55</v>
      </c>
      <c r="D26" s="28" t="s">
        <v>56</v>
      </c>
      <c r="E26" s="29">
        <v>518</v>
      </c>
      <c r="F26" s="33">
        <v>1388</v>
      </c>
      <c r="G26" s="33">
        <f t="shared" si="1"/>
        <v>1969</v>
      </c>
      <c r="H26" s="34">
        <f>'Instance - 11 _Pune_'!$M$21</f>
        <v>1707</v>
      </c>
      <c r="I26" s="35">
        <f t="shared" si="0"/>
        <v>-0.13306246825799897</v>
      </c>
      <c r="J26" s="26">
        <v>0.97699999999999998</v>
      </c>
      <c r="K26" s="1">
        <f>'Instance - 11 _Pune_'!J21</f>
        <v>1755</v>
      </c>
      <c r="L26" s="68">
        <f>'Instance - 11 _Pune_'!M21</f>
        <v>1707</v>
      </c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  <c r="IU26" s="26"/>
      <c r="IV26" s="26"/>
      <c r="IW26" s="26"/>
    </row>
    <row r="27" spans="1:257" ht="14.4" x14ac:dyDescent="0.3">
      <c r="A27" s="26"/>
      <c r="B27" s="26"/>
      <c r="C27" s="26"/>
      <c r="D27" s="26"/>
      <c r="E27" s="10"/>
      <c r="F27" s="11" t="s">
        <v>57</v>
      </c>
      <c r="G27" s="36">
        <f>SUM(G13:G26)</f>
        <v>350706</v>
      </c>
      <c r="H27" s="36">
        <f>SUM(H13:H26)</f>
        <v>333062</v>
      </c>
      <c r="I27" s="37">
        <f t="shared" si="0"/>
        <v>-5.0309946222762088E-2</v>
      </c>
      <c r="J27" s="26"/>
      <c r="K27" s="69">
        <f>SUM(K13:K26)</f>
        <v>338522</v>
      </c>
      <c r="L27" s="69">
        <f>SUM(L13:L26)</f>
        <v>333062</v>
      </c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  <c r="IU27" s="26"/>
      <c r="IV27" s="26"/>
      <c r="IW27" s="26"/>
    </row>
    <row r="28" spans="1:257" ht="14.4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  <c r="IU28" s="26"/>
      <c r="IV28" s="26"/>
      <c r="IW28" s="26"/>
    </row>
    <row r="29" spans="1:257" ht="13.8" thickBot="1" x14ac:dyDescent="0.3"/>
    <row r="30" spans="1:257" ht="13.8" thickBot="1" x14ac:dyDescent="0.3">
      <c r="C30" s="274" t="s">
        <v>174</v>
      </c>
      <c r="D30" s="275"/>
      <c r="E30" s="204" t="s">
        <v>61</v>
      </c>
      <c r="F30" s="205" t="s">
        <v>171</v>
      </c>
    </row>
    <row r="31" spans="1:257" ht="28.8" x14ac:dyDescent="0.3">
      <c r="C31" s="206" t="s">
        <v>157</v>
      </c>
      <c r="D31" s="207" t="s">
        <v>158</v>
      </c>
      <c r="E31" s="208">
        <f>L13</f>
        <v>48384</v>
      </c>
      <c r="F31" s="208">
        <f>L21</f>
        <v>40025</v>
      </c>
    </row>
    <row r="32" spans="1:257" ht="14.4" x14ac:dyDescent="0.3">
      <c r="C32" s="195" t="s">
        <v>159</v>
      </c>
      <c r="D32" s="209" t="s">
        <v>160</v>
      </c>
      <c r="E32" s="210">
        <f>K13</f>
        <v>49530</v>
      </c>
      <c r="F32" s="210">
        <f>K21</f>
        <v>40779</v>
      </c>
      <c r="L32" t="s">
        <v>82</v>
      </c>
    </row>
    <row r="33" spans="2:10" ht="14.4" x14ac:dyDescent="0.3">
      <c r="C33" s="195" t="s">
        <v>161</v>
      </c>
      <c r="D33" s="211"/>
      <c r="E33" s="210">
        <v>518</v>
      </c>
      <c r="F33" s="210">
        <v>518</v>
      </c>
    </row>
    <row r="34" spans="2:10" ht="14.4" x14ac:dyDescent="0.3">
      <c r="C34" s="195" t="s">
        <v>162</v>
      </c>
      <c r="D34" s="211"/>
      <c r="E34" s="210">
        <v>24</v>
      </c>
      <c r="F34" s="210">
        <v>24</v>
      </c>
    </row>
    <row r="35" spans="2:10" ht="14.4" x14ac:dyDescent="0.3">
      <c r="C35" s="195" t="s">
        <v>172</v>
      </c>
      <c r="D35" s="211" t="s">
        <v>160</v>
      </c>
      <c r="E35" s="210">
        <v>20</v>
      </c>
      <c r="F35" s="210">
        <v>17</v>
      </c>
      <c r="H35" s="58"/>
    </row>
    <row r="36" spans="2:10" ht="28.8" x14ac:dyDescent="0.3">
      <c r="C36" s="195" t="s">
        <v>163</v>
      </c>
      <c r="D36" s="211"/>
      <c r="E36" s="212">
        <f>E32/(E33*E34*E35)</f>
        <v>0.19920366795366795</v>
      </c>
      <c r="F36" s="212">
        <f>F32/(F33*F34*F35)</f>
        <v>0.19295082898024074</v>
      </c>
    </row>
    <row r="37" spans="2:10" ht="28.8" x14ac:dyDescent="0.3">
      <c r="C37" s="195" t="s">
        <v>164</v>
      </c>
      <c r="D37" s="196"/>
      <c r="E37" s="213">
        <v>0.17100000000000001</v>
      </c>
      <c r="F37" s="213">
        <v>0.18099999999999999</v>
      </c>
    </row>
    <row r="38" spans="2:10" x14ac:dyDescent="0.25">
      <c r="D38" s="194"/>
    </row>
    <row r="39" spans="2:10" x14ac:dyDescent="0.25">
      <c r="J39" s="58"/>
    </row>
    <row r="41" spans="2:10" ht="43.2" x14ac:dyDescent="0.3">
      <c r="B41" s="197" t="s">
        <v>177</v>
      </c>
      <c r="C41" s="197" t="s">
        <v>173</v>
      </c>
      <c r="D41" s="198" t="s">
        <v>165</v>
      </c>
      <c r="E41" s="197" t="s">
        <v>166</v>
      </c>
      <c r="F41" s="197" t="s">
        <v>167</v>
      </c>
      <c r="G41" s="197" t="s">
        <v>168</v>
      </c>
      <c r="H41" s="199" t="s">
        <v>169</v>
      </c>
    </row>
    <row r="42" spans="2:10" ht="29.4" thickBot="1" x14ac:dyDescent="0.35">
      <c r="B42" s="197" t="s">
        <v>178</v>
      </c>
      <c r="C42" s="193" t="s">
        <v>176</v>
      </c>
      <c r="D42" s="200">
        <f>F37</f>
        <v>0.18099999999999999</v>
      </c>
      <c r="E42" s="201">
        <f>F36</f>
        <v>0.19295082898024074</v>
      </c>
      <c r="F42" s="202">
        <v>5.2400000000000002E-2</v>
      </c>
      <c r="G42" s="202">
        <v>0.15429999999999999</v>
      </c>
      <c r="H42" s="203" t="s">
        <v>170</v>
      </c>
    </row>
    <row r="43" spans="2:10" ht="14.4" x14ac:dyDescent="0.3">
      <c r="B43" s="197"/>
    </row>
    <row r="45" spans="2:10" x14ac:dyDescent="0.25">
      <c r="C45" s="214" t="s">
        <v>175</v>
      </c>
      <c r="D45" s="214"/>
      <c r="E45" s="214"/>
      <c r="F45" s="214"/>
      <c r="G45" s="214"/>
    </row>
    <row r="54" spans="9:9" x14ac:dyDescent="0.25">
      <c r="I54" s="217"/>
    </row>
  </sheetData>
  <mergeCells count="4">
    <mergeCell ref="C11:I11"/>
    <mergeCell ref="C18:C21"/>
    <mergeCell ref="D18:D21"/>
    <mergeCell ref="C30:D30"/>
  </mergeCells>
  <pageMargins left="0.78749999999999998" right="0.78749999999999998" top="1.0249999999999999" bottom="1.0249999999999999" header="0.78749999999999998" footer="0.78749999999999998"/>
  <pageSetup orientation="portrait" horizontalDpi="300" verticalDpi="300" r:id="rId1"/>
  <headerFooter>
    <oddHeader>&amp;C&amp;A</oddHeader>
    <oddFooter>&amp;CPage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I23"/>
  <sheetViews>
    <sheetView topLeftCell="A6" workbookViewId="0">
      <selection activeCell="K9" sqref="K9"/>
    </sheetView>
  </sheetViews>
  <sheetFormatPr defaultRowHeight="13.2" x14ac:dyDescent="0.25"/>
  <cols>
    <col min="2" max="2" width="16.6640625" customWidth="1"/>
    <col min="3" max="3" width="17.6640625" customWidth="1"/>
    <col min="4" max="4" width="15.33203125" customWidth="1"/>
    <col min="5" max="5" width="13.6640625" customWidth="1"/>
    <col min="6" max="7" width="10.88671875" customWidth="1"/>
    <col min="8" max="9" width="18.109375" style="98" bestFit="1" customWidth="1"/>
  </cols>
  <sheetData>
    <row r="1" spans="2:9" ht="13.8" thickBot="1" x14ac:dyDescent="0.3"/>
    <row r="2" spans="2:9" ht="28.2" thickBot="1" x14ac:dyDescent="0.3">
      <c r="B2" s="99" t="s">
        <v>84</v>
      </c>
      <c r="C2" s="100" t="s">
        <v>85</v>
      </c>
      <c r="D2" s="100" t="s">
        <v>86</v>
      </c>
      <c r="E2" s="100" t="s">
        <v>87</v>
      </c>
      <c r="F2" s="100" t="s">
        <v>88</v>
      </c>
      <c r="G2" s="100" t="s">
        <v>89</v>
      </c>
      <c r="H2" s="101" t="s">
        <v>90</v>
      </c>
      <c r="I2" s="101" t="s">
        <v>91</v>
      </c>
    </row>
    <row r="3" spans="2:9" ht="28.2" thickBot="1" x14ac:dyDescent="0.3">
      <c r="B3" s="102" t="s">
        <v>92</v>
      </c>
      <c r="C3" s="103" t="s">
        <v>93</v>
      </c>
      <c r="D3" s="103">
        <v>13194946</v>
      </c>
      <c r="E3" s="103">
        <v>13194947</v>
      </c>
      <c r="F3" s="103" t="s">
        <v>94</v>
      </c>
      <c r="G3" s="103" t="s">
        <v>95</v>
      </c>
      <c r="H3" s="104">
        <v>43677</v>
      </c>
      <c r="I3" s="104">
        <v>45503</v>
      </c>
    </row>
    <row r="4" spans="2:9" ht="13.8" x14ac:dyDescent="0.25">
      <c r="B4" s="284" t="s">
        <v>96</v>
      </c>
      <c r="C4" s="105" t="s">
        <v>97</v>
      </c>
      <c r="D4" s="284">
        <v>2781573</v>
      </c>
      <c r="E4" s="284">
        <v>2781574</v>
      </c>
      <c r="F4" s="280" t="s">
        <v>98</v>
      </c>
      <c r="G4" s="280" t="s">
        <v>95</v>
      </c>
      <c r="H4" s="282">
        <v>44048</v>
      </c>
      <c r="I4" s="282">
        <v>45873</v>
      </c>
    </row>
    <row r="5" spans="2:9" ht="14.4" thickBot="1" x14ac:dyDescent="0.3">
      <c r="B5" s="285"/>
      <c r="C5" s="103" t="s">
        <v>99</v>
      </c>
      <c r="D5" s="285"/>
      <c r="E5" s="285"/>
      <c r="F5" s="281"/>
      <c r="G5" s="281"/>
      <c r="H5" s="283"/>
      <c r="I5" s="283"/>
    </row>
    <row r="6" spans="2:9" ht="28.2" thickBot="1" x14ac:dyDescent="0.3">
      <c r="B6" s="102" t="s">
        <v>100</v>
      </c>
      <c r="C6" s="103" t="s">
        <v>101</v>
      </c>
      <c r="D6" s="103">
        <v>2781577</v>
      </c>
      <c r="E6" s="103">
        <v>2781578</v>
      </c>
      <c r="F6" s="103" t="s">
        <v>98</v>
      </c>
      <c r="G6" s="103" t="s">
        <v>95</v>
      </c>
      <c r="H6" s="106">
        <v>44048</v>
      </c>
      <c r="I6" s="106">
        <v>45873</v>
      </c>
    </row>
    <row r="7" spans="2:9" ht="28.2" thickBot="1" x14ac:dyDescent="0.3">
      <c r="B7" s="102" t="s">
        <v>102</v>
      </c>
      <c r="C7" s="103" t="s">
        <v>103</v>
      </c>
      <c r="D7" s="103">
        <v>13194257</v>
      </c>
      <c r="E7" s="103">
        <v>13193555</v>
      </c>
      <c r="F7" s="103" t="s">
        <v>94</v>
      </c>
      <c r="G7" s="103" t="s">
        <v>95</v>
      </c>
      <c r="H7" s="104">
        <v>43650</v>
      </c>
      <c r="I7" s="104">
        <v>45476</v>
      </c>
    </row>
    <row r="8" spans="2:9" ht="28.2" thickBot="1" x14ac:dyDescent="0.3">
      <c r="B8" s="102" t="s">
        <v>104</v>
      </c>
      <c r="C8" s="103" t="s">
        <v>105</v>
      </c>
      <c r="D8" s="103">
        <v>2781621</v>
      </c>
      <c r="E8" s="103">
        <v>2781631</v>
      </c>
      <c r="F8" s="103" t="s">
        <v>98</v>
      </c>
      <c r="G8" s="103" t="s">
        <v>95</v>
      </c>
      <c r="H8" s="104">
        <v>43570</v>
      </c>
      <c r="I8" s="104">
        <v>45396</v>
      </c>
    </row>
    <row r="9" spans="2:9" ht="28.2" thickBot="1" x14ac:dyDescent="0.3">
      <c r="B9" s="284" t="s">
        <v>106</v>
      </c>
      <c r="C9" s="103" t="s">
        <v>107</v>
      </c>
      <c r="D9" s="103">
        <v>16102125</v>
      </c>
      <c r="E9" s="103">
        <v>16102130</v>
      </c>
      <c r="F9" s="103" t="s">
        <v>94</v>
      </c>
      <c r="G9" s="103" t="s">
        <v>95</v>
      </c>
      <c r="H9" s="104">
        <v>44107</v>
      </c>
      <c r="I9" s="104">
        <v>45932</v>
      </c>
    </row>
    <row r="10" spans="2:9" ht="13.8" x14ac:dyDescent="0.25">
      <c r="B10" s="286"/>
      <c r="C10" s="105" t="s">
        <v>108</v>
      </c>
      <c r="D10" s="284">
        <v>16102135</v>
      </c>
      <c r="E10" s="284">
        <v>16102133</v>
      </c>
      <c r="F10" s="280" t="s">
        <v>94</v>
      </c>
      <c r="G10" s="280" t="s">
        <v>95</v>
      </c>
      <c r="H10" s="282">
        <v>43967</v>
      </c>
      <c r="I10" s="282">
        <v>45792</v>
      </c>
    </row>
    <row r="11" spans="2:9" ht="14.4" thickBot="1" x14ac:dyDescent="0.3">
      <c r="B11" s="286"/>
      <c r="C11" s="103" t="s">
        <v>109</v>
      </c>
      <c r="D11" s="285"/>
      <c r="E11" s="285"/>
      <c r="F11" s="281"/>
      <c r="G11" s="281"/>
      <c r="H11" s="283"/>
      <c r="I11" s="283"/>
    </row>
    <row r="12" spans="2:9" ht="13.8" x14ac:dyDescent="0.25">
      <c r="B12" s="286"/>
      <c r="C12" s="105" t="s">
        <v>110</v>
      </c>
      <c r="D12" s="284">
        <v>14194780</v>
      </c>
      <c r="E12" s="284">
        <v>14194782</v>
      </c>
      <c r="F12" s="280" t="s">
        <v>94</v>
      </c>
      <c r="G12" s="280" t="s">
        <v>95</v>
      </c>
      <c r="H12" s="282">
        <v>43523</v>
      </c>
      <c r="I12" s="282">
        <v>45348</v>
      </c>
    </row>
    <row r="13" spans="2:9" ht="14.4" thickBot="1" x14ac:dyDescent="0.3">
      <c r="B13" s="286"/>
      <c r="C13" s="103" t="s">
        <v>109</v>
      </c>
      <c r="D13" s="285"/>
      <c r="E13" s="285"/>
      <c r="F13" s="281"/>
      <c r="G13" s="281"/>
      <c r="H13" s="283"/>
      <c r="I13" s="283"/>
    </row>
    <row r="14" spans="2:9" ht="28.2" thickBot="1" x14ac:dyDescent="0.3">
      <c r="B14" s="285"/>
      <c r="C14" s="103" t="s">
        <v>111</v>
      </c>
      <c r="D14" s="103" t="s">
        <v>112</v>
      </c>
      <c r="E14" s="103" t="s">
        <v>113</v>
      </c>
      <c r="F14" s="103" t="s">
        <v>114</v>
      </c>
      <c r="G14" s="103" t="s">
        <v>95</v>
      </c>
      <c r="H14" s="104">
        <v>43773</v>
      </c>
      <c r="I14" s="104">
        <v>45599</v>
      </c>
    </row>
    <row r="15" spans="2:9" ht="28.2" thickBot="1" x14ac:dyDescent="0.3">
      <c r="B15" s="102" t="s">
        <v>115</v>
      </c>
      <c r="C15" s="103" t="s">
        <v>111</v>
      </c>
      <c r="D15" s="103" t="s">
        <v>116</v>
      </c>
      <c r="E15" s="103" t="s">
        <v>117</v>
      </c>
      <c r="F15" s="103" t="s">
        <v>114</v>
      </c>
      <c r="G15" s="103" t="s">
        <v>95</v>
      </c>
      <c r="H15" s="104">
        <v>43773</v>
      </c>
      <c r="I15" s="104">
        <v>45599</v>
      </c>
    </row>
    <row r="16" spans="2:9" ht="28.2" thickBot="1" x14ac:dyDescent="0.3">
      <c r="B16" s="102" t="s">
        <v>118</v>
      </c>
      <c r="C16" s="103" t="s">
        <v>119</v>
      </c>
      <c r="D16" s="103" t="s">
        <v>120</v>
      </c>
      <c r="E16" s="103" t="s">
        <v>121</v>
      </c>
      <c r="F16" s="103" t="s">
        <v>114</v>
      </c>
      <c r="G16" s="103" t="s">
        <v>95</v>
      </c>
      <c r="H16" s="104">
        <v>43208</v>
      </c>
      <c r="I16" s="104">
        <v>45033</v>
      </c>
    </row>
    <row r="17" spans="2:9" ht="13.8" x14ac:dyDescent="0.25">
      <c r="B17" s="284" t="s">
        <v>122</v>
      </c>
      <c r="C17" s="105" t="s">
        <v>123</v>
      </c>
      <c r="D17" s="284" t="s">
        <v>124</v>
      </c>
      <c r="E17" s="284" t="s">
        <v>125</v>
      </c>
      <c r="F17" s="280" t="s">
        <v>114</v>
      </c>
      <c r="G17" s="280" t="s">
        <v>95</v>
      </c>
      <c r="H17" s="282">
        <v>43117</v>
      </c>
      <c r="I17" s="282">
        <v>44942</v>
      </c>
    </row>
    <row r="18" spans="2:9" ht="14.4" thickBot="1" x14ac:dyDescent="0.3">
      <c r="B18" s="285"/>
      <c r="C18" s="103" t="s">
        <v>126</v>
      </c>
      <c r="D18" s="285"/>
      <c r="E18" s="285"/>
      <c r="F18" s="281"/>
      <c r="G18" s="281"/>
      <c r="H18" s="283"/>
      <c r="I18" s="283"/>
    </row>
    <row r="19" spans="2:9" ht="13.8" x14ac:dyDescent="0.25">
      <c r="B19" s="276" t="s">
        <v>127</v>
      </c>
      <c r="C19" s="107" t="s">
        <v>79</v>
      </c>
      <c r="D19" s="276" t="s">
        <v>128</v>
      </c>
      <c r="E19" s="276" t="s">
        <v>129</v>
      </c>
      <c r="F19" s="108" t="s">
        <v>130</v>
      </c>
      <c r="G19" s="108" t="s">
        <v>95</v>
      </c>
      <c r="H19" s="278">
        <v>43298</v>
      </c>
      <c r="I19" s="278">
        <v>45123</v>
      </c>
    </row>
    <row r="20" spans="2:9" ht="14.4" thickBot="1" x14ac:dyDescent="0.3">
      <c r="B20" s="277"/>
      <c r="C20" s="109" t="s">
        <v>131</v>
      </c>
      <c r="D20" s="277"/>
      <c r="E20" s="277"/>
      <c r="F20" s="110"/>
      <c r="G20" s="110"/>
      <c r="H20" s="279"/>
      <c r="I20" s="279"/>
    </row>
    <row r="21" spans="2:9" ht="28.2" thickBot="1" x14ac:dyDescent="0.3">
      <c r="B21" s="110" t="s">
        <v>132</v>
      </c>
      <c r="C21" s="109" t="s">
        <v>133</v>
      </c>
      <c r="D21" s="109" t="s">
        <v>134</v>
      </c>
      <c r="E21" s="109" t="s">
        <v>135</v>
      </c>
      <c r="F21" s="109" t="s">
        <v>114</v>
      </c>
      <c r="G21" s="109" t="s">
        <v>95</v>
      </c>
      <c r="H21" s="111">
        <v>43131</v>
      </c>
      <c r="I21" s="111">
        <v>44956</v>
      </c>
    </row>
    <row r="22" spans="2:9" ht="15" x14ac:dyDescent="0.25">
      <c r="B22" s="112" t="s">
        <v>136</v>
      </c>
    </row>
    <row r="23" spans="2:9" ht="15" x14ac:dyDescent="0.25">
      <c r="B23" s="112" t="s">
        <v>137</v>
      </c>
    </row>
  </sheetData>
  <mergeCells count="32">
    <mergeCell ref="I4:I5"/>
    <mergeCell ref="B9:B14"/>
    <mergeCell ref="D10:D11"/>
    <mergeCell ref="E10:E11"/>
    <mergeCell ref="F10:F11"/>
    <mergeCell ref="G10:G11"/>
    <mergeCell ref="H10:H11"/>
    <mergeCell ref="I10:I11"/>
    <mergeCell ref="D12:D13"/>
    <mergeCell ref="E12:E13"/>
    <mergeCell ref="B4:B5"/>
    <mergeCell ref="D4:D5"/>
    <mergeCell ref="E4:E5"/>
    <mergeCell ref="F4:F5"/>
    <mergeCell ref="G4:G5"/>
    <mergeCell ref="H4:H5"/>
    <mergeCell ref="F12:F13"/>
    <mergeCell ref="G12:G13"/>
    <mergeCell ref="H12:H13"/>
    <mergeCell ref="I12:I13"/>
    <mergeCell ref="B17:B18"/>
    <mergeCell ref="D17:D18"/>
    <mergeCell ref="E17:E18"/>
    <mergeCell ref="F17:F18"/>
    <mergeCell ref="G17:G18"/>
    <mergeCell ref="H17:H18"/>
    <mergeCell ref="I17:I18"/>
    <mergeCell ref="B19:B20"/>
    <mergeCell ref="D19:D20"/>
    <mergeCell ref="E19:E20"/>
    <mergeCell ref="H19:H20"/>
    <mergeCell ref="I19:I2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DAA5A-7890-46A3-B437-101EA9B1E858}">
  <dimension ref="C3:G22"/>
  <sheetViews>
    <sheetView zoomScale="115" zoomScaleNormal="115" workbookViewId="0">
      <selection activeCell="F19" sqref="F19"/>
    </sheetView>
  </sheetViews>
  <sheetFormatPr defaultRowHeight="13.2" x14ac:dyDescent="0.25"/>
  <sheetData>
    <row r="3" spans="3:7" ht="13.8" thickBot="1" x14ac:dyDescent="0.3">
      <c r="E3" s="29">
        <v>29270</v>
      </c>
      <c r="G3" s="215">
        <v>518</v>
      </c>
    </row>
    <row r="4" spans="3:7" x14ac:dyDescent="0.25">
      <c r="E4" s="29">
        <v>7171</v>
      </c>
      <c r="G4" s="216">
        <v>518</v>
      </c>
    </row>
    <row r="5" spans="3:7" ht="13.8" thickBot="1" x14ac:dyDescent="0.3">
      <c r="C5" s="215">
        <v>29270</v>
      </c>
      <c r="E5" s="29">
        <v>14524</v>
      </c>
      <c r="G5" s="215">
        <v>518</v>
      </c>
    </row>
    <row r="6" spans="3:7" ht="13.8" thickBot="1" x14ac:dyDescent="0.3">
      <c r="C6" s="216">
        <v>7171</v>
      </c>
      <c r="E6" s="29">
        <v>14240</v>
      </c>
      <c r="G6" s="215">
        <v>518</v>
      </c>
    </row>
    <row r="7" spans="3:7" ht="13.8" thickBot="1" x14ac:dyDescent="0.3">
      <c r="C7" s="215">
        <v>14524</v>
      </c>
      <c r="E7" s="29">
        <v>14679</v>
      </c>
      <c r="G7" s="215">
        <v>518</v>
      </c>
    </row>
    <row r="8" spans="3:7" ht="13.8" thickBot="1" x14ac:dyDescent="0.3">
      <c r="C8" s="215">
        <v>14240</v>
      </c>
      <c r="E8" s="29">
        <v>36410</v>
      </c>
      <c r="G8" s="215">
        <v>518</v>
      </c>
    </row>
    <row r="9" spans="3:7" ht="13.8" thickBot="1" x14ac:dyDescent="0.3">
      <c r="C9" s="215">
        <v>14679</v>
      </c>
      <c r="E9" s="29">
        <v>36513</v>
      </c>
      <c r="G9" s="215">
        <v>518</v>
      </c>
    </row>
    <row r="10" spans="3:7" ht="13.8" thickBot="1" x14ac:dyDescent="0.3">
      <c r="C10" s="215">
        <v>36410</v>
      </c>
      <c r="E10" s="29">
        <v>36599</v>
      </c>
      <c r="G10" s="215">
        <v>518</v>
      </c>
    </row>
    <row r="11" spans="3:7" ht="13.8" thickBot="1" x14ac:dyDescent="0.3">
      <c r="C11" s="215">
        <v>36513</v>
      </c>
      <c r="E11" s="29">
        <v>26460</v>
      </c>
      <c r="G11" s="215">
        <v>518</v>
      </c>
    </row>
    <row r="12" spans="3:7" ht="13.8" thickBot="1" x14ac:dyDescent="0.3">
      <c r="C12" s="215">
        <v>36599</v>
      </c>
      <c r="E12" s="29">
        <v>10525</v>
      </c>
      <c r="G12" s="215">
        <v>518</v>
      </c>
    </row>
    <row r="13" spans="3:7" ht="13.8" thickBot="1" x14ac:dyDescent="0.3">
      <c r="C13" s="215">
        <v>26460</v>
      </c>
      <c r="E13" s="29">
        <v>1432</v>
      </c>
      <c r="G13" s="215">
        <v>518</v>
      </c>
    </row>
    <row r="14" spans="3:7" ht="13.8" thickBot="1" x14ac:dyDescent="0.3">
      <c r="C14" s="215">
        <v>10525</v>
      </c>
      <c r="E14" s="29">
        <v>8956</v>
      </c>
      <c r="G14" s="215">
        <v>518</v>
      </c>
    </row>
    <row r="15" spans="3:7" ht="13.8" thickBot="1" x14ac:dyDescent="0.3">
      <c r="C15" s="215">
        <v>1432</v>
      </c>
      <c r="E15" s="29">
        <v>8956</v>
      </c>
      <c r="G15" s="215">
        <v>518</v>
      </c>
    </row>
    <row r="16" spans="3:7" ht="13.8" thickBot="1" x14ac:dyDescent="0.3">
      <c r="C16" s="215">
        <v>8956</v>
      </c>
      <c r="E16" s="33">
        <v>1388</v>
      </c>
      <c r="G16" s="215">
        <v>518</v>
      </c>
    </row>
    <row r="17" spans="3:7" ht="13.8" thickBot="1" x14ac:dyDescent="0.3">
      <c r="C17" s="215">
        <v>8956</v>
      </c>
      <c r="E17">
        <f>SUM(E3:E16)</f>
        <v>247123</v>
      </c>
      <c r="G17">
        <f>SUM(G3:G16)</f>
        <v>7252</v>
      </c>
    </row>
    <row r="18" spans="3:7" x14ac:dyDescent="0.25">
      <c r="C18" s="216">
        <v>1388</v>
      </c>
      <c r="E18">
        <f>E17/365</f>
        <v>677.04931506849312</v>
      </c>
      <c r="F18">
        <f>E18*G17</f>
        <v>4909961.6328767119</v>
      </c>
    </row>
    <row r="19" spans="3:7" x14ac:dyDescent="0.25">
      <c r="C19">
        <f>SUM(C5:C18)</f>
        <v>247123</v>
      </c>
    </row>
    <row r="21" spans="3:7" x14ac:dyDescent="0.25">
      <c r="E21">
        <f>C19/365</f>
        <v>677.04931506849312</v>
      </c>
    </row>
    <row r="22" spans="3:7" x14ac:dyDescent="0.25">
      <c r="E22">
        <f>E21*518</f>
        <v>350711.54520547943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8"/>
  <sheetViews>
    <sheetView zoomScale="90" zoomScaleNormal="90" zoomScalePageLayoutView="60" workbookViewId="0">
      <selection activeCell="L13" sqref="L13:L20"/>
    </sheetView>
  </sheetViews>
  <sheetFormatPr defaultRowHeight="13.2" x14ac:dyDescent="0.25"/>
  <cols>
    <col min="1" max="2" width="11.6640625" customWidth="1"/>
    <col min="3" max="3" width="11.33203125" customWidth="1"/>
    <col min="4" max="4" width="14" customWidth="1"/>
    <col min="5" max="5" width="13" customWidth="1"/>
    <col min="6" max="6" width="12.109375" customWidth="1"/>
    <col min="7" max="7" width="15.88671875" customWidth="1"/>
    <col min="8" max="8" width="15.6640625" customWidth="1"/>
    <col min="9" max="9" width="14.33203125" customWidth="1"/>
    <col min="10" max="256" width="11.6640625" customWidth="1"/>
    <col min="257" max="1025" width="11.5546875"/>
  </cols>
  <sheetData>
    <row r="1" spans="2:13" ht="13.8" thickBot="1" x14ac:dyDescent="0.3"/>
    <row r="2" spans="2:13" ht="15" customHeight="1" x14ac:dyDescent="0.25">
      <c r="B2" s="228" t="s">
        <v>0</v>
      </c>
      <c r="C2" s="229" t="s">
        <v>1</v>
      </c>
      <c r="D2" s="230"/>
      <c r="E2" s="231" t="s">
        <v>2</v>
      </c>
      <c r="F2" s="233" t="s">
        <v>3</v>
      </c>
      <c r="G2" s="234" t="s">
        <v>4</v>
      </c>
      <c r="H2" s="219" t="s">
        <v>5</v>
      </c>
      <c r="I2" s="221" t="s">
        <v>6</v>
      </c>
      <c r="J2" s="222" t="s">
        <v>7</v>
      </c>
      <c r="K2" s="222" t="s">
        <v>8</v>
      </c>
      <c r="L2" s="226" t="s">
        <v>9</v>
      </c>
    </row>
    <row r="3" spans="2:13" ht="53.25" customHeight="1" x14ac:dyDescent="0.25">
      <c r="B3" s="228"/>
      <c r="C3" s="2" t="s">
        <v>10</v>
      </c>
      <c r="D3" s="47" t="s">
        <v>11</v>
      </c>
      <c r="E3" s="232"/>
      <c r="F3" s="222"/>
      <c r="G3" s="235"/>
      <c r="H3" s="220"/>
      <c r="I3" s="221"/>
      <c r="J3" s="222"/>
      <c r="K3" s="222"/>
      <c r="L3" s="227"/>
    </row>
    <row r="4" spans="2:13" ht="14.4" x14ac:dyDescent="0.3">
      <c r="B4" s="46">
        <v>44287</v>
      </c>
      <c r="C4" s="38">
        <v>44287</v>
      </c>
      <c r="D4" s="48">
        <v>44316</v>
      </c>
      <c r="E4" s="188">
        <v>3350287.2</v>
      </c>
      <c r="F4" s="72">
        <v>12705.6</v>
      </c>
      <c r="G4" s="189">
        <f t="shared" ref="G4:G20" si="0">E4-F4</f>
        <v>3337581.6</v>
      </c>
      <c r="H4" s="142">
        <v>3337581.6</v>
      </c>
      <c r="I4" s="191">
        <f>MIN(G4,H4)/1000</f>
        <v>3337.5816</v>
      </c>
      <c r="J4" s="72">
        <v>0.97699999999999998</v>
      </c>
      <c r="K4" s="80">
        <f t="shared" ref="K4:K20" si="1">ROUNDDOWN(I4*J4,0)</f>
        <v>3260</v>
      </c>
      <c r="L4" s="223">
        <f>ROUNDDOWN((SUM(K4:K12)),0)</f>
        <v>26847</v>
      </c>
      <c r="M4" s="66">
        <f>L4</f>
        <v>26847</v>
      </c>
    </row>
    <row r="5" spans="2:13" ht="14.4" x14ac:dyDescent="0.3">
      <c r="B5" s="46">
        <v>44317</v>
      </c>
      <c r="C5" s="38">
        <v>44317</v>
      </c>
      <c r="D5" s="48">
        <v>44347</v>
      </c>
      <c r="E5" s="190">
        <v>3339463.2</v>
      </c>
      <c r="F5" s="79">
        <v>13711.2</v>
      </c>
      <c r="G5" s="189">
        <f t="shared" si="0"/>
        <v>3325752</v>
      </c>
      <c r="H5" s="143">
        <v>3325752</v>
      </c>
      <c r="I5" s="191">
        <f t="shared" ref="I5:I20" si="2">MIN(G5,H5)/1000</f>
        <v>3325.752</v>
      </c>
      <c r="J5" s="72">
        <v>0.97699999999999998</v>
      </c>
      <c r="K5" s="80">
        <f t="shared" si="1"/>
        <v>3249</v>
      </c>
      <c r="L5" s="224"/>
    </row>
    <row r="6" spans="2:13" ht="14.4" x14ac:dyDescent="0.3">
      <c r="B6" s="46">
        <v>44348</v>
      </c>
      <c r="C6" s="38">
        <v>44348</v>
      </c>
      <c r="D6" s="48">
        <v>44377</v>
      </c>
      <c r="E6" s="190">
        <v>3209853.6</v>
      </c>
      <c r="F6" s="79">
        <v>12976.8</v>
      </c>
      <c r="G6" s="189">
        <f t="shared" si="0"/>
        <v>3196876.8000000003</v>
      </c>
      <c r="H6" s="143">
        <v>3196876.7999999998</v>
      </c>
      <c r="I6" s="191">
        <f t="shared" si="2"/>
        <v>3196.8768</v>
      </c>
      <c r="J6" s="72">
        <v>0.97699999999999998</v>
      </c>
      <c r="K6" s="80">
        <f t="shared" si="1"/>
        <v>3123</v>
      </c>
      <c r="L6" s="224"/>
    </row>
    <row r="7" spans="2:13" ht="14.4" x14ac:dyDescent="0.3">
      <c r="B7" s="186">
        <v>44378</v>
      </c>
      <c r="C7" s="77">
        <v>44378</v>
      </c>
      <c r="D7" s="187">
        <v>44408</v>
      </c>
      <c r="E7" s="190">
        <v>3073202.4</v>
      </c>
      <c r="F7" s="79">
        <v>13660.8</v>
      </c>
      <c r="G7" s="189">
        <f t="shared" si="0"/>
        <v>3059541.6</v>
      </c>
      <c r="H7" s="143">
        <v>3059541.6</v>
      </c>
      <c r="I7" s="191">
        <f t="shared" si="2"/>
        <v>3059.5416</v>
      </c>
      <c r="J7" s="72">
        <v>0.97699999999999998</v>
      </c>
      <c r="K7" s="80">
        <f t="shared" si="1"/>
        <v>2989</v>
      </c>
      <c r="L7" s="224"/>
    </row>
    <row r="8" spans="2:13" ht="14.4" x14ac:dyDescent="0.3">
      <c r="B8" s="186">
        <v>44409</v>
      </c>
      <c r="C8" s="77">
        <v>44409</v>
      </c>
      <c r="D8" s="187">
        <v>44439</v>
      </c>
      <c r="E8" s="190">
        <v>3290544</v>
      </c>
      <c r="F8" s="79">
        <v>14155.2</v>
      </c>
      <c r="G8" s="189">
        <f t="shared" si="0"/>
        <v>3276388.8</v>
      </c>
      <c r="H8" s="143">
        <v>3276388.8</v>
      </c>
      <c r="I8" s="191">
        <f t="shared" si="2"/>
        <v>3276.3887999999997</v>
      </c>
      <c r="J8" s="72">
        <v>0.97699999999999998</v>
      </c>
      <c r="K8" s="80">
        <f t="shared" si="1"/>
        <v>3201</v>
      </c>
      <c r="L8" s="224"/>
    </row>
    <row r="9" spans="2:13" ht="14.4" x14ac:dyDescent="0.3">
      <c r="B9" s="186">
        <v>44440</v>
      </c>
      <c r="C9" s="77">
        <v>44440</v>
      </c>
      <c r="D9" s="187">
        <v>44469</v>
      </c>
      <c r="E9" s="190">
        <v>2822479.2</v>
      </c>
      <c r="F9" s="79">
        <v>14896.8</v>
      </c>
      <c r="G9" s="189">
        <f t="shared" si="0"/>
        <v>2807582.4000000004</v>
      </c>
      <c r="H9" s="143">
        <v>2807582.4</v>
      </c>
      <c r="I9" s="191">
        <f t="shared" si="2"/>
        <v>2807.5823999999998</v>
      </c>
      <c r="J9" s="72">
        <v>0.97699999999999998</v>
      </c>
      <c r="K9" s="80">
        <f t="shared" si="1"/>
        <v>2743</v>
      </c>
      <c r="L9" s="224"/>
    </row>
    <row r="10" spans="2:13" ht="14.4" x14ac:dyDescent="0.3">
      <c r="B10" s="186">
        <v>44470</v>
      </c>
      <c r="C10" s="77">
        <v>44470</v>
      </c>
      <c r="D10" s="187">
        <v>44500</v>
      </c>
      <c r="E10" s="190">
        <v>3272544</v>
      </c>
      <c r="F10" s="79">
        <v>15672</v>
      </c>
      <c r="G10" s="189">
        <f t="shared" si="0"/>
        <v>3256872</v>
      </c>
      <c r="H10" s="143">
        <v>3256872</v>
      </c>
      <c r="I10" s="191">
        <f t="shared" si="2"/>
        <v>3256.8719999999998</v>
      </c>
      <c r="J10" s="72">
        <v>0.97699999999999998</v>
      </c>
      <c r="K10" s="80">
        <f t="shared" si="1"/>
        <v>3181</v>
      </c>
      <c r="L10" s="224"/>
    </row>
    <row r="11" spans="2:13" ht="14.4" x14ac:dyDescent="0.3">
      <c r="B11" s="186">
        <v>44501</v>
      </c>
      <c r="C11" s="77">
        <v>44501</v>
      </c>
      <c r="D11" s="187">
        <v>44530</v>
      </c>
      <c r="E11" s="190">
        <v>2767377.6</v>
      </c>
      <c r="F11" s="79">
        <v>15895.2</v>
      </c>
      <c r="G11" s="189">
        <f t="shared" si="0"/>
        <v>2751482.4</v>
      </c>
      <c r="H11" s="143">
        <v>2751482.4</v>
      </c>
      <c r="I11" s="191">
        <f t="shared" si="2"/>
        <v>2751.4823999999999</v>
      </c>
      <c r="J11" s="72">
        <v>0.97699999999999998</v>
      </c>
      <c r="K11" s="80">
        <f t="shared" si="1"/>
        <v>2688</v>
      </c>
      <c r="L11" s="224"/>
    </row>
    <row r="12" spans="2:13" ht="14.4" x14ac:dyDescent="0.3">
      <c r="B12" s="186">
        <v>44531</v>
      </c>
      <c r="C12" s="77">
        <v>44531</v>
      </c>
      <c r="D12" s="187">
        <v>44561</v>
      </c>
      <c r="E12" s="190">
        <v>2486853.6</v>
      </c>
      <c r="F12" s="79">
        <v>16408.8</v>
      </c>
      <c r="G12" s="189">
        <f t="shared" si="0"/>
        <v>2470444.8000000003</v>
      </c>
      <c r="H12" s="143">
        <v>2470444.7999999998</v>
      </c>
      <c r="I12" s="191">
        <f t="shared" si="2"/>
        <v>2470.4447999999998</v>
      </c>
      <c r="J12" s="72">
        <v>0.97699999999999998</v>
      </c>
      <c r="K12" s="80">
        <f t="shared" si="1"/>
        <v>2413</v>
      </c>
      <c r="L12" s="224"/>
    </row>
    <row r="13" spans="2:13" ht="14.4" x14ac:dyDescent="0.3">
      <c r="B13" s="186">
        <v>44562</v>
      </c>
      <c r="C13" s="77">
        <v>44562</v>
      </c>
      <c r="D13" s="187">
        <v>44592</v>
      </c>
      <c r="E13" s="190">
        <v>2816210.4</v>
      </c>
      <c r="F13" s="79">
        <v>16188</v>
      </c>
      <c r="G13" s="189">
        <f t="shared" si="0"/>
        <v>2800022.4</v>
      </c>
      <c r="H13" s="143">
        <v>2800022.4</v>
      </c>
      <c r="I13" s="191">
        <f t="shared" si="2"/>
        <v>2800.0223999999998</v>
      </c>
      <c r="J13" s="72">
        <v>0.97699999999999998</v>
      </c>
      <c r="K13" s="80">
        <f t="shared" si="1"/>
        <v>2735</v>
      </c>
      <c r="L13" s="224">
        <f>ROUNDDOWN((SUM(K13:K20)),0)</f>
        <v>21537</v>
      </c>
      <c r="M13" s="66">
        <f>L13</f>
        <v>21537</v>
      </c>
    </row>
    <row r="14" spans="2:13" ht="14.4" x14ac:dyDescent="0.3">
      <c r="B14" s="186">
        <v>44593</v>
      </c>
      <c r="C14" s="77">
        <v>44593</v>
      </c>
      <c r="D14" s="187">
        <v>44620</v>
      </c>
      <c r="E14" s="190">
        <v>3131692.8</v>
      </c>
      <c r="F14" s="79">
        <v>13454.4</v>
      </c>
      <c r="G14" s="189">
        <f t="shared" si="0"/>
        <v>3118238.4</v>
      </c>
      <c r="H14" s="143">
        <v>3118238.4</v>
      </c>
      <c r="I14" s="191">
        <f t="shared" si="2"/>
        <v>3118.2383999999997</v>
      </c>
      <c r="J14" s="72">
        <v>0.97699999999999998</v>
      </c>
      <c r="K14" s="80">
        <f t="shared" si="1"/>
        <v>3046</v>
      </c>
      <c r="L14" s="224"/>
    </row>
    <row r="15" spans="2:13" ht="14.4" x14ac:dyDescent="0.3">
      <c r="B15" s="186">
        <v>44621</v>
      </c>
      <c r="C15" s="77">
        <v>44621</v>
      </c>
      <c r="D15" s="187">
        <v>44651</v>
      </c>
      <c r="E15" s="190">
        <v>3646300.8</v>
      </c>
      <c r="F15" s="79">
        <v>14856</v>
      </c>
      <c r="G15" s="189">
        <f t="shared" si="0"/>
        <v>3631444.8</v>
      </c>
      <c r="H15" s="143">
        <v>3631444.8</v>
      </c>
      <c r="I15" s="191">
        <f t="shared" si="2"/>
        <v>3631.4447999999998</v>
      </c>
      <c r="J15" s="72">
        <v>0.97699999999999998</v>
      </c>
      <c r="K15" s="80">
        <f t="shared" si="1"/>
        <v>3547</v>
      </c>
      <c r="L15" s="224"/>
    </row>
    <row r="16" spans="2:13" ht="14.4" x14ac:dyDescent="0.3">
      <c r="B16" s="186">
        <v>44652</v>
      </c>
      <c r="C16" s="77">
        <v>44652</v>
      </c>
      <c r="D16" s="187">
        <v>44681</v>
      </c>
      <c r="E16" s="190">
        <v>3503632.8</v>
      </c>
      <c r="F16" s="79">
        <v>13828.8</v>
      </c>
      <c r="G16" s="189">
        <f t="shared" si="0"/>
        <v>3489804</v>
      </c>
      <c r="H16" s="143">
        <v>3489804</v>
      </c>
      <c r="I16" s="191">
        <f t="shared" si="2"/>
        <v>3489.8040000000001</v>
      </c>
      <c r="J16" s="72">
        <v>0.97699999999999998</v>
      </c>
      <c r="K16" s="80">
        <f t="shared" si="1"/>
        <v>3409</v>
      </c>
      <c r="L16" s="224"/>
    </row>
    <row r="17" spans="2:12" ht="14.4" x14ac:dyDescent="0.3">
      <c r="B17" s="186">
        <v>44682</v>
      </c>
      <c r="C17" s="77">
        <v>44682</v>
      </c>
      <c r="D17" s="187">
        <v>44712</v>
      </c>
      <c r="E17" s="190">
        <v>3336494.4</v>
      </c>
      <c r="F17" s="79">
        <v>13912.8</v>
      </c>
      <c r="G17" s="189">
        <f t="shared" si="0"/>
        <v>3322581.6</v>
      </c>
      <c r="H17" s="143">
        <v>3322581.6</v>
      </c>
      <c r="I17" s="191">
        <f t="shared" si="2"/>
        <v>3322.5816</v>
      </c>
      <c r="J17" s="72">
        <v>0.97699999999999998</v>
      </c>
      <c r="K17" s="80">
        <f t="shared" si="1"/>
        <v>3246</v>
      </c>
      <c r="L17" s="224"/>
    </row>
    <row r="18" spans="2:12" ht="14.4" x14ac:dyDescent="0.3">
      <c r="B18" s="186">
        <v>44713</v>
      </c>
      <c r="C18" s="77">
        <v>44713</v>
      </c>
      <c r="D18" s="187">
        <v>44742</v>
      </c>
      <c r="E18" s="190">
        <v>3093160.8</v>
      </c>
      <c r="F18" s="180">
        <v>13900.8</v>
      </c>
      <c r="G18" s="189">
        <f t="shared" si="0"/>
        <v>3079260</v>
      </c>
      <c r="H18" s="143">
        <v>3079260</v>
      </c>
      <c r="I18" s="191">
        <f t="shared" si="2"/>
        <v>3079.26</v>
      </c>
      <c r="J18" s="72">
        <v>0.97699999999999998</v>
      </c>
      <c r="K18" s="80">
        <f t="shared" si="1"/>
        <v>3008</v>
      </c>
      <c r="L18" s="224"/>
    </row>
    <row r="19" spans="2:12" ht="14.4" x14ac:dyDescent="0.3">
      <c r="B19" s="186">
        <v>44743</v>
      </c>
      <c r="C19" s="77">
        <v>44743</v>
      </c>
      <c r="D19" s="187">
        <v>44773</v>
      </c>
      <c r="E19" s="190">
        <f>1341393.6+1279329.6</f>
        <v>2620723.2000000002</v>
      </c>
      <c r="F19" s="79">
        <f>7644+6450</f>
        <v>14094</v>
      </c>
      <c r="G19" s="189">
        <f t="shared" si="0"/>
        <v>2606629.2000000002</v>
      </c>
      <c r="H19" s="143">
        <v>2606629.2000000002</v>
      </c>
      <c r="I19" s="191">
        <f t="shared" si="2"/>
        <v>2606.6292000000003</v>
      </c>
      <c r="J19" s="72">
        <v>0.97699999999999998</v>
      </c>
      <c r="K19" s="80">
        <f t="shared" si="1"/>
        <v>2546</v>
      </c>
      <c r="L19" s="224"/>
    </row>
    <row r="20" spans="2:12" ht="14.4" x14ac:dyDescent="0.3">
      <c r="B20" s="186">
        <v>44774</v>
      </c>
      <c r="C20" s="77">
        <v>44774</v>
      </c>
      <c r="D20" s="187">
        <v>44804</v>
      </c>
      <c r="E20" s="190">
        <v>2685400.8</v>
      </c>
      <c r="F20" s="79">
        <v>14366.4</v>
      </c>
      <c r="G20" s="189">
        <f t="shared" si="0"/>
        <v>2671034.4</v>
      </c>
      <c r="H20" s="143">
        <v>0</v>
      </c>
      <c r="I20" s="191">
        <f t="shared" si="2"/>
        <v>0</v>
      </c>
      <c r="J20" s="72">
        <v>0.97699999999999998</v>
      </c>
      <c r="K20" s="80">
        <f t="shared" si="1"/>
        <v>0</v>
      </c>
      <c r="L20" s="225"/>
    </row>
    <row r="21" spans="2:12" ht="15" thickBot="1" x14ac:dyDescent="0.35">
      <c r="B21" s="218" t="s">
        <v>12</v>
      </c>
      <c r="C21" s="218"/>
      <c r="D21" s="218"/>
      <c r="E21" s="49"/>
      <c r="F21" s="50"/>
      <c r="G21" s="51">
        <f>ROUNDDOWN((SUM(G4:G20)),0)</f>
        <v>52201537</v>
      </c>
      <c r="H21" s="52">
        <f t="shared" ref="H21" si="3">ROUNDDOWN((SUM(H4:H20)),0)</f>
        <v>49530502</v>
      </c>
      <c r="I21" s="9">
        <f>ROUNDDOWN((SUM(I4:I20)),0)</f>
        <v>49530</v>
      </c>
      <c r="J21" s="6"/>
      <c r="K21" s="8">
        <f>ROUNDDOWN((SUM(K4:K20)),0)</f>
        <v>48384</v>
      </c>
      <c r="L21" s="9">
        <f>L4+L13</f>
        <v>48384</v>
      </c>
    </row>
    <row r="24" spans="2:12" x14ac:dyDescent="0.25">
      <c r="E24">
        <f>D20-C4+1</f>
        <v>518</v>
      </c>
    </row>
    <row r="25" spans="2:12" x14ac:dyDescent="0.25">
      <c r="I25" s="41"/>
    </row>
    <row r="26" spans="2:12" x14ac:dyDescent="0.25">
      <c r="I26" s="41"/>
    </row>
    <row r="28" spans="2:12" x14ac:dyDescent="0.25">
      <c r="G28" s="45"/>
    </row>
  </sheetData>
  <mergeCells count="13">
    <mergeCell ref="L4:L12"/>
    <mergeCell ref="L13:L20"/>
    <mergeCell ref="L2:L3"/>
    <mergeCell ref="B2:B3"/>
    <mergeCell ref="C2:D2"/>
    <mergeCell ref="E2:E3"/>
    <mergeCell ref="F2:F3"/>
    <mergeCell ref="G2:G3"/>
    <mergeCell ref="B21:D21"/>
    <mergeCell ref="H2:H3"/>
    <mergeCell ref="I2:I3"/>
    <mergeCell ref="J2:J3"/>
    <mergeCell ref="K2:K3"/>
  </mergeCells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 r:id="rId1"/>
  <headerFooter>
    <oddHeader>&amp;C&amp;A</oddHeader>
    <oddFooter>&amp;CPage &amp;P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W41"/>
  <sheetViews>
    <sheetView zoomScaleNormal="100" zoomScalePageLayoutView="60" workbookViewId="0">
      <selection activeCell="W40" sqref="W40"/>
    </sheetView>
  </sheetViews>
  <sheetFormatPr defaultRowHeight="13.2" x14ac:dyDescent="0.25"/>
  <cols>
    <col min="1" max="2" width="11.6640625" customWidth="1"/>
    <col min="3" max="3" width="16" customWidth="1"/>
    <col min="4" max="4" width="12.5546875" customWidth="1"/>
    <col min="5" max="5" width="12.44140625" customWidth="1"/>
    <col min="6" max="6" width="11.44140625"/>
    <col min="7" max="7" width="15.5546875" customWidth="1"/>
    <col min="8" max="8" width="16.6640625" customWidth="1"/>
    <col min="9" max="9" width="16.5546875" customWidth="1"/>
    <col min="10" max="11" width="11.6640625" customWidth="1"/>
    <col min="12" max="12" width="12.6640625" customWidth="1"/>
    <col min="13" max="256" width="11.6640625" customWidth="1"/>
    <col min="257" max="1025" width="11.5546875"/>
  </cols>
  <sheetData>
    <row r="1" spans="2:23" ht="13.8" thickBot="1" x14ac:dyDescent="0.3"/>
    <row r="2" spans="2:23" ht="13.95" customHeight="1" x14ac:dyDescent="0.25">
      <c r="B2" s="228" t="s">
        <v>0</v>
      </c>
      <c r="C2" s="229" t="s">
        <v>1</v>
      </c>
      <c r="D2" s="229"/>
      <c r="E2" s="222" t="s">
        <v>2</v>
      </c>
      <c r="F2" s="222" t="s">
        <v>3</v>
      </c>
      <c r="G2" s="229" t="s">
        <v>4</v>
      </c>
      <c r="H2" s="229" t="s">
        <v>5</v>
      </c>
      <c r="I2" s="222" t="s">
        <v>6</v>
      </c>
      <c r="J2" s="222" t="s">
        <v>7</v>
      </c>
      <c r="K2" s="222" t="s">
        <v>8</v>
      </c>
      <c r="L2" s="226" t="s">
        <v>9</v>
      </c>
      <c r="O2" s="236">
        <v>44287</v>
      </c>
      <c r="P2" s="237"/>
      <c r="Q2" s="237"/>
      <c r="R2" s="238"/>
      <c r="T2" s="236">
        <v>44774</v>
      </c>
      <c r="U2" s="237"/>
      <c r="V2" s="237"/>
      <c r="W2" s="238"/>
    </row>
    <row r="3" spans="2:23" ht="33.75" customHeight="1" x14ac:dyDescent="0.25">
      <c r="B3" s="228"/>
      <c r="C3" s="2" t="s">
        <v>10</v>
      </c>
      <c r="D3" s="1" t="s">
        <v>11</v>
      </c>
      <c r="E3" s="222"/>
      <c r="F3" s="222"/>
      <c r="G3" s="229"/>
      <c r="H3" s="229"/>
      <c r="I3" s="222"/>
      <c r="J3" s="222"/>
      <c r="K3" s="222"/>
      <c r="L3" s="227"/>
      <c r="O3" s="114" t="s">
        <v>138</v>
      </c>
      <c r="P3" s="115" t="s">
        <v>139</v>
      </c>
      <c r="Q3" s="116"/>
      <c r="R3" s="117"/>
      <c r="T3" s="114" t="s">
        <v>138</v>
      </c>
      <c r="U3" s="115" t="s">
        <v>139</v>
      </c>
      <c r="V3" s="116"/>
      <c r="W3" s="117"/>
    </row>
    <row r="4" spans="2:23" ht="18" customHeight="1" x14ac:dyDescent="0.3">
      <c r="B4" s="81">
        <v>44287</v>
      </c>
      <c r="C4" s="77">
        <v>44275</v>
      </c>
      <c r="D4" s="78">
        <v>44306</v>
      </c>
      <c r="E4" s="146">
        <f>789260*R41</f>
        <v>510457.15590409248</v>
      </c>
      <c r="F4" s="72">
        <v>6670</v>
      </c>
      <c r="G4" s="72">
        <f t="shared" ref="G4:G21" si="0">E4-F4</f>
        <v>503787.15590409248</v>
      </c>
      <c r="H4" s="72">
        <v>789260</v>
      </c>
      <c r="I4" s="80">
        <f>MIN(G4,H4)/1000</f>
        <v>503.78715590409246</v>
      </c>
      <c r="J4" s="72">
        <v>0.98170000000000002</v>
      </c>
      <c r="K4" s="80">
        <f t="shared" ref="K4:K21" si="1">ROUNDDOWN(I4*J4,0)</f>
        <v>494</v>
      </c>
      <c r="L4" s="239">
        <f>ROUNDDOWN((SUM(K4:K12)),0)</f>
        <v>5136</v>
      </c>
      <c r="O4" s="114"/>
      <c r="P4" s="137"/>
      <c r="Q4" s="116"/>
      <c r="R4" s="116"/>
      <c r="T4" s="114"/>
      <c r="U4" s="137"/>
      <c r="V4" s="116"/>
      <c r="W4" s="116"/>
    </row>
    <row r="5" spans="2:23" ht="14.4" x14ac:dyDescent="0.3">
      <c r="B5" s="81">
        <v>44317</v>
      </c>
      <c r="C5" s="77">
        <v>44306</v>
      </c>
      <c r="D5" s="78">
        <v>44336</v>
      </c>
      <c r="E5" s="72">
        <v>699680</v>
      </c>
      <c r="F5" s="72">
        <v>6420</v>
      </c>
      <c r="G5" s="72">
        <f t="shared" si="0"/>
        <v>693260</v>
      </c>
      <c r="H5" s="79">
        <v>693260</v>
      </c>
      <c r="I5" s="80">
        <f t="shared" ref="I5:I21" si="2">MIN(G5,H5)/1000</f>
        <v>693.26</v>
      </c>
      <c r="J5" s="72">
        <v>0.98170000000000002</v>
      </c>
      <c r="K5" s="80">
        <f t="shared" si="1"/>
        <v>680</v>
      </c>
      <c r="L5" s="239"/>
      <c r="M5" s="66">
        <f>L4</f>
        <v>5136</v>
      </c>
      <c r="O5" s="118">
        <v>44275</v>
      </c>
      <c r="P5" s="119">
        <v>8211.8978338193119</v>
      </c>
      <c r="Q5" s="120"/>
      <c r="R5" s="120"/>
      <c r="T5" s="118">
        <v>44428</v>
      </c>
      <c r="U5" s="119">
        <v>17631.077603928159</v>
      </c>
      <c r="V5" s="120"/>
      <c r="W5" s="120"/>
    </row>
    <row r="6" spans="2:23" ht="14.4" x14ac:dyDescent="0.3">
      <c r="B6" s="140">
        <v>44348</v>
      </c>
      <c r="C6" s="77">
        <v>44336</v>
      </c>
      <c r="D6" s="78">
        <v>44367</v>
      </c>
      <c r="E6" s="79">
        <v>669180</v>
      </c>
      <c r="F6" s="79">
        <v>6620</v>
      </c>
      <c r="G6" s="72">
        <f t="shared" si="0"/>
        <v>662560</v>
      </c>
      <c r="H6" s="79">
        <v>699680</v>
      </c>
      <c r="I6" s="80">
        <f t="shared" si="2"/>
        <v>662.56</v>
      </c>
      <c r="J6" s="72">
        <v>0.98170000000000002</v>
      </c>
      <c r="K6" s="80">
        <f t="shared" si="1"/>
        <v>650</v>
      </c>
      <c r="L6" s="239"/>
      <c r="O6" s="118">
        <v>44276</v>
      </c>
      <c r="P6" s="119">
        <v>44151.514134071796</v>
      </c>
      <c r="Q6" s="121"/>
      <c r="R6" s="120"/>
      <c r="T6" s="118">
        <v>44429</v>
      </c>
      <c r="U6" s="119">
        <v>14541.122999824724</v>
      </c>
      <c r="V6" s="121"/>
      <c r="W6" s="120"/>
    </row>
    <row r="7" spans="2:23" ht="14.4" x14ac:dyDescent="0.3">
      <c r="B7" s="140">
        <v>44378</v>
      </c>
      <c r="C7" s="77">
        <v>44367</v>
      </c>
      <c r="D7" s="78">
        <v>44397</v>
      </c>
      <c r="E7" s="79">
        <v>545890</v>
      </c>
      <c r="F7" s="79">
        <v>6640</v>
      </c>
      <c r="G7" s="72">
        <f t="shared" si="0"/>
        <v>539250</v>
      </c>
      <c r="H7" s="79">
        <v>539250</v>
      </c>
      <c r="I7" s="80">
        <f t="shared" si="2"/>
        <v>539.25</v>
      </c>
      <c r="J7" s="72">
        <v>0.98170000000000002</v>
      </c>
      <c r="K7" s="80">
        <f t="shared" si="1"/>
        <v>529</v>
      </c>
      <c r="L7" s="239"/>
      <c r="O7" s="118">
        <v>44277</v>
      </c>
      <c r="P7" s="119">
        <v>2679.9436476796382</v>
      </c>
      <c r="Q7" s="121"/>
      <c r="R7" s="120"/>
      <c r="T7" s="118">
        <v>44430</v>
      </c>
      <c r="U7" s="119">
        <v>17176.418837329111</v>
      </c>
      <c r="V7" s="121"/>
      <c r="W7" s="120"/>
    </row>
    <row r="8" spans="2:23" ht="14.4" x14ac:dyDescent="0.3">
      <c r="B8" s="140">
        <v>44409</v>
      </c>
      <c r="C8" s="77">
        <v>44397</v>
      </c>
      <c r="D8" s="78">
        <v>44428</v>
      </c>
      <c r="E8" s="79">
        <v>571230</v>
      </c>
      <c r="F8" s="79">
        <v>6910</v>
      </c>
      <c r="G8" s="72">
        <f t="shared" si="0"/>
        <v>564320</v>
      </c>
      <c r="H8" s="70">
        <v>564320</v>
      </c>
      <c r="I8" s="80">
        <f t="shared" si="2"/>
        <v>564.32000000000005</v>
      </c>
      <c r="J8" s="72">
        <v>0.98170000000000002</v>
      </c>
      <c r="K8" s="80">
        <f t="shared" si="1"/>
        <v>553</v>
      </c>
      <c r="L8" s="239"/>
      <c r="O8" s="118">
        <v>44278</v>
      </c>
      <c r="P8" s="119">
        <v>52648.823759838066</v>
      </c>
      <c r="Q8" s="121"/>
      <c r="R8" s="120"/>
      <c r="T8" s="118">
        <v>44431</v>
      </c>
      <c r="U8" s="119">
        <v>21117.921692234097</v>
      </c>
      <c r="V8" s="121"/>
      <c r="W8" s="120"/>
    </row>
    <row r="9" spans="2:23" ht="14.4" x14ac:dyDescent="0.3">
      <c r="B9" s="140">
        <v>44440</v>
      </c>
      <c r="C9" s="77">
        <v>44428</v>
      </c>
      <c r="D9" s="78">
        <v>44459</v>
      </c>
      <c r="E9" s="79">
        <v>560320</v>
      </c>
      <c r="F9" s="79">
        <v>7180</v>
      </c>
      <c r="G9" s="72">
        <f t="shared" si="0"/>
        <v>553140</v>
      </c>
      <c r="H9" s="79">
        <v>560320</v>
      </c>
      <c r="I9" s="80">
        <f t="shared" si="2"/>
        <v>553.14</v>
      </c>
      <c r="J9" s="72">
        <v>0.98170000000000002</v>
      </c>
      <c r="K9" s="80">
        <f t="shared" si="1"/>
        <v>543</v>
      </c>
      <c r="L9" s="239"/>
      <c r="O9" s="118">
        <v>44279</v>
      </c>
      <c r="P9" s="119">
        <v>21866.56544473895</v>
      </c>
      <c r="Q9" s="121"/>
      <c r="R9" s="120"/>
      <c r="T9" s="118">
        <v>44432</v>
      </c>
      <c r="U9" s="119">
        <v>11409.471779253599</v>
      </c>
      <c r="V9" s="121"/>
      <c r="W9" s="120"/>
    </row>
    <row r="10" spans="2:23" ht="14.4" x14ac:dyDescent="0.3">
      <c r="B10" s="140">
        <v>44470</v>
      </c>
      <c r="C10" s="77">
        <v>44459</v>
      </c>
      <c r="D10" s="78">
        <v>44489</v>
      </c>
      <c r="E10" s="79">
        <v>613740</v>
      </c>
      <c r="F10" s="79">
        <v>6990</v>
      </c>
      <c r="G10" s="72">
        <f t="shared" si="0"/>
        <v>606750</v>
      </c>
      <c r="H10" s="79">
        <v>606750</v>
      </c>
      <c r="I10" s="80">
        <f t="shared" si="2"/>
        <v>606.75</v>
      </c>
      <c r="J10" s="72">
        <v>0.98170000000000002</v>
      </c>
      <c r="K10" s="80">
        <f t="shared" si="1"/>
        <v>595</v>
      </c>
      <c r="L10" s="239"/>
      <c r="O10" s="118">
        <v>44280</v>
      </c>
      <c r="P10" s="119">
        <v>14966.876833184177</v>
      </c>
      <c r="Q10" s="121"/>
      <c r="R10" s="120"/>
      <c r="T10" s="118">
        <v>44433</v>
      </c>
      <c r="U10" s="119">
        <v>16449.142110879773</v>
      </c>
      <c r="V10" s="121"/>
      <c r="W10" s="120"/>
    </row>
    <row r="11" spans="2:23" ht="14.4" x14ac:dyDescent="0.3">
      <c r="B11" s="140">
        <v>44501</v>
      </c>
      <c r="C11" s="77">
        <v>44489</v>
      </c>
      <c r="D11" s="78">
        <v>44520</v>
      </c>
      <c r="E11" s="79">
        <v>532840</v>
      </c>
      <c r="F11" s="79">
        <v>7630</v>
      </c>
      <c r="G11" s="72">
        <f t="shared" si="0"/>
        <v>525210</v>
      </c>
      <c r="H11" s="79">
        <v>525210</v>
      </c>
      <c r="I11" s="80">
        <f t="shared" si="2"/>
        <v>525.21</v>
      </c>
      <c r="J11" s="72">
        <v>0.98170000000000002</v>
      </c>
      <c r="K11" s="80">
        <f t="shared" si="1"/>
        <v>515</v>
      </c>
      <c r="L11" s="239"/>
      <c r="O11" s="118">
        <v>44281</v>
      </c>
      <c r="P11" s="119">
        <v>22921.467578449359</v>
      </c>
      <c r="Q11" s="121"/>
      <c r="R11" s="120"/>
      <c r="T11" s="118">
        <v>44434</v>
      </c>
      <c r="U11" s="119">
        <v>26163.882851893635</v>
      </c>
      <c r="V11" s="121"/>
      <c r="W11" s="120"/>
    </row>
    <row r="12" spans="2:23" ht="14.4" x14ac:dyDescent="0.3">
      <c r="B12" s="140">
        <v>44531</v>
      </c>
      <c r="C12" s="77">
        <v>44520</v>
      </c>
      <c r="D12" s="78">
        <v>44550</v>
      </c>
      <c r="E12" s="79">
        <v>595500</v>
      </c>
      <c r="F12" s="79">
        <v>7170</v>
      </c>
      <c r="G12" s="72">
        <f t="shared" si="0"/>
        <v>588330</v>
      </c>
      <c r="H12" s="79">
        <v>588330</v>
      </c>
      <c r="I12" s="80">
        <f t="shared" si="2"/>
        <v>588.33000000000004</v>
      </c>
      <c r="J12" s="72">
        <v>0.98170000000000002</v>
      </c>
      <c r="K12" s="80">
        <f t="shared" si="1"/>
        <v>577</v>
      </c>
      <c r="L12" s="239"/>
      <c r="O12" s="118">
        <v>44282</v>
      </c>
      <c r="P12" s="119">
        <v>42674.615254603006</v>
      </c>
      <c r="Q12" s="121"/>
      <c r="R12" s="120"/>
      <c r="T12" s="118">
        <v>44435</v>
      </c>
      <c r="U12" s="119">
        <v>18911.133516935537</v>
      </c>
      <c r="V12" s="121"/>
      <c r="W12" s="120"/>
    </row>
    <row r="13" spans="2:23" ht="14.4" x14ac:dyDescent="0.3">
      <c r="B13" s="140">
        <v>44562</v>
      </c>
      <c r="C13" s="77">
        <v>44550</v>
      </c>
      <c r="D13" s="78">
        <v>44581</v>
      </c>
      <c r="E13" s="79">
        <v>701880</v>
      </c>
      <c r="F13" s="79">
        <v>7330</v>
      </c>
      <c r="G13" s="72">
        <f t="shared" si="0"/>
        <v>694550</v>
      </c>
      <c r="H13" s="79">
        <v>694550</v>
      </c>
      <c r="I13" s="80">
        <f t="shared" si="2"/>
        <v>694.55</v>
      </c>
      <c r="J13" s="72">
        <v>0.98170000000000002</v>
      </c>
      <c r="K13" s="80">
        <f t="shared" si="1"/>
        <v>681</v>
      </c>
      <c r="L13" s="239"/>
      <c r="O13" s="118">
        <v>44283</v>
      </c>
      <c r="P13" s="119">
        <v>4625.6012548335675</v>
      </c>
      <c r="Q13" s="121"/>
      <c r="R13" s="120"/>
      <c r="T13" s="118">
        <v>44436</v>
      </c>
      <c r="U13" s="119">
        <v>17867.607750033723</v>
      </c>
      <c r="V13" s="121"/>
      <c r="W13" s="120"/>
    </row>
    <row r="14" spans="2:23" ht="14.4" x14ac:dyDescent="0.3">
      <c r="B14" s="140">
        <v>44593</v>
      </c>
      <c r="C14" s="77">
        <v>44581</v>
      </c>
      <c r="D14" s="78">
        <v>44612</v>
      </c>
      <c r="E14" s="79">
        <v>642380</v>
      </c>
      <c r="F14" s="79">
        <v>5840</v>
      </c>
      <c r="G14" s="72">
        <f t="shared" si="0"/>
        <v>636540</v>
      </c>
      <c r="H14" s="79">
        <v>636540</v>
      </c>
      <c r="I14" s="80">
        <f t="shared" si="2"/>
        <v>636.54</v>
      </c>
      <c r="J14" s="72">
        <v>0.98170000000000002</v>
      </c>
      <c r="K14" s="80">
        <f t="shared" si="1"/>
        <v>624</v>
      </c>
      <c r="L14" s="239">
        <f>ROUNDDOWN((SUM(K13:K21)),0)</f>
        <v>5358</v>
      </c>
      <c r="M14" s="66">
        <f>L14</f>
        <v>5358</v>
      </c>
      <c r="O14" s="118">
        <v>44284</v>
      </c>
      <c r="P14" s="119">
        <v>29060.73617137353</v>
      </c>
      <c r="Q14" s="121"/>
      <c r="R14" s="120"/>
      <c r="T14" s="118">
        <v>44437</v>
      </c>
      <c r="U14" s="119">
        <v>29235.10931397475</v>
      </c>
      <c r="V14" s="121"/>
      <c r="W14" s="120"/>
    </row>
    <row r="15" spans="2:23" ht="14.4" x14ac:dyDescent="0.3">
      <c r="B15" s="140">
        <v>44621</v>
      </c>
      <c r="C15" s="77">
        <v>44612</v>
      </c>
      <c r="D15" s="78">
        <v>44640</v>
      </c>
      <c r="E15" s="79">
        <v>752850</v>
      </c>
      <c r="F15" s="79">
        <v>5940</v>
      </c>
      <c r="G15" s="72">
        <f t="shared" si="0"/>
        <v>746910</v>
      </c>
      <c r="H15" s="79">
        <v>746910</v>
      </c>
      <c r="I15" s="80">
        <f t="shared" si="2"/>
        <v>746.91</v>
      </c>
      <c r="J15" s="72">
        <v>0.98170000000000002</v>
      </c>
      <c r="K15" s="80">
        <f t="shared" si="1"/>
        <v>733</v>
      </c>
      <c r="L15" s="239"/>
      <c r="O15" s="118">
        <v>44285</v>
      </c>
      <c r="P15" s="119">
        <v>5464.340472169325</v>
      </c>
      <c r="Q15" s="120"/>
      <c r="R15" s="120"/>
      <c r="T15" s="118">
        <v>44438</v>
      </c>
      <c r="U15" s="119">
        <v>10450.092255704038</v>
      </c>
      <c r="V15" s="120"/>
      <c r="W15" s="120"/>
    </row>
    <row r="16" spans="2:23" ht="14.4" x14ac:dyDescent="0.3">
      <c r="B16" s="140">
        <v>44652</v>
      </c>
      <c r="C16" s="77">
        <v>44640</v>
      </c>
      <c r="D16" s="78">
        <v>44671</v>
      </c>
      <c r="E16" s="79">
        <v>733600</v>
      </c>
      <c r="F16" s="79">
        <v>6550</v>
      </c>
      <c r="G16" s="72">
        <f t="shared" si="0"/>
        <v>727050</v>
      </c>
      <c r="H16" s="79">
        <v>727050</v>
      </c>
      <c r="I16" s="80">
        <f t="shared" si="2"/>
        <v>727.05</v>
      </c>
      <c r="J16" s="72">
        <v>0.98170000000000002</v>
      </c>
      <c r="K16" s="80">
        <f t="shared" si="1"/>
        <v>713</v>
      </c>
      <c r="L16" s="239"/>
      <c r="O16" s="118">
        <v>44286</v>
      </c>
      <c r="P16" s="122">
        <v>28988.906084516166</v>
      </c>
      <c r="Q16" s="116"/>
      <c r="R16" s="117"/>
      <c r="T16" s="118">
        <v>44439</v>
      </c>
      <c r="U16" s="122">
        <v>21451.985322637778</v>
      </c>
      <c r="V16" s="116"/>
      <c r="W16" s="117"/>
    </row>
    <row r="17" spans="2:23" ht="14.4" x14ac:dyDescent="0.3">
      <c r="B17" s="81">
        <v>44682</v>
      </c>
      <c r="C17" s="77">
        <v>44671</v>
      </c>
      <c r="D17" s="78">
        <v>44701</v>
      </c>
      <c r="E17" s="79">
        <v>665200</v>
      </c>
      <c r="F17" s="79">
        <v>6150</v>
      </c>
      <c r="G17" s="72">
        <f t="shared" si="0"/>
        <v>659050</v>
      </c>
      <c r="H17" s="79">
        <v>659050</v>
      </c>
      <c r="I17" s="80">
        <f t="shared" si="2"/>
        <v>659.05</v>
      </c>
      <c r="J17" s="72">
        <v>0.98170000000000002</v>
      </c>
      <c r="K17" s="80">
        <f t="shared" si="1"/>
        <v>646</v>
      </c>
      <c r="L17" s="239"/>
      <c r="O17" s="118">
        <v>44287</v>
      </c>
      <c r="P17" s="122">
        <v>24508.93359330704</v>
      </c>
      <c r="Q17" s="116"/>
      <c r="R17" s="117"/>
      <c r="T17" s="118">
        <v>44440</v>
      </c>
      <c r="U17" s="122">
        <v>24163.610089459467</v>
      </c>
      <c r="V17" s="116"/>
      <c r="W17" s="117"/>
    </row>
    <row r="18" spans="2:23" ht="14.4" x14ac:dyDescent="0.3">
      <c r="B18" s="81">
        <v>44713</v>
      </c>
      <c r="C18" s="77">
        <v>44701</v>
      </c>
      <c r="D18" s="78">
        <v>44732</v>
      </c>
      <c r="E18" s="79">
        <v>749600</v>
      </c>
      <c r="F18" s="79">
        <v>6330</v>
      </c>
      <c r="G18" s="72">
        <f t="shared" si="0"/>
        <v>743270</v>
      </c>
      <c r="H18" s="79">
        <v>743270</v>
      </c>
      <c r="I18" s="80">
        <f t="shared" si="2"/>
        <v>743.27</v>
      </c>
      <c r="J18" s="72">
        <v>0.98170000000000002</v>
      </c>
      <c r="K18" s="80">
        <f t="shared" si="1"/>
        <v>729</v>
      </c>
      <c r="L18" s="239"/>
      <c r="O18" s="118">
        <v>44288</v>
      </c>
      <c r="P18" s="122">
        <v>42128.702746332579</v>
      </c>
      <c r="Q18" s="116"/>
      <c r="R18" s="117"/>
      <c r="T18" s="118">
        <v>44441</v>
      </c>
      <c r="U18" s="122">
        <v>7726.0746491866303</v>
      </c>
      <c r="V18" s="116"/>
      <c r="W18" s="117"/>
    </row>
    <row r="19" spans="2:23" ht="14.4" x14ac:dyDescent="0.3">
      <c r="B19" s="81">
        <v>44743</v>
      </c>
      <c r="C19" s="77">
        <v>44732</v>
      </c>
      <c r="D19" s="78">
        <v>44762</v>
      </c>
      <c r="E19" s="79">
        <v>466830</v>
      </c>
      <c r="F19" s="79">
        <v>6450</v>
      </c>
      <c r="G19" s="72">
        <f t="shared" si="0"/>
        <v>460380</v>
      </c>
      <c r="H19" s="79">
        <v>460380</v>
      </c>
      <c r="I19" s="80">
        <f t="shared" si="2"/>
        <v>460.38</v>
      </c>
      <c r="J19" s="72">
        <v>0.98170000000000002</v>
      </c>
      <c r="K19" s="80">
        <f t="shared" si="1"/>
        <v>451</v>
      </c>
      <c r="L19" s="239"/>
      <c r="O19" s="118">
        <v>44289</v>
      </c>
      <c r="P19" s="122">
        <v>577.37350978163943</v>
      </c>
      <c r="Q19" s="116"/>
      <c r="R19" s="117"/>
      <c r="T19" s="118">
        <v>44442</v>
      </c>
      <c r="U19" s="122">
        <v>32428.9857090433</v>
      </c>
      <c r="V19" s="116"/>
      <c r="W19" s="117"/>
    </row>
    <row r="20" spans="2:23" ht="14.4" x14ac:dyDescent="0.3">
      <c r="B20" s="81">
        <v>44774</v>
      </c>
      <c r="C20" s="96">
        <v>44762</v>
      </c>
      <c r="D20" s="96">
        <v>44793</v>
      </c>
      <c r="E20" s="90">
        <f>587700</f>
        <v>587700</v>
      </c>
      <c r="F20" s="79">
        <v>6760</v>
      </c>
      <c r="G20" s="70">
        <f t="shared" si="0"/>
        <v>580940</v>
      </c>
      <c r="H20" s="79">
        <v>580940</v>
      </c>
      <c r="I20" s="97">
        <f t="shared" si="2"/>
        <v>580.94000000000005</v>
      </c>
      <c r="J20" s="70">
        <v>0.98170000000000002</v>
      </c>
      <c r="K20" s="97">
        <f t="shared" si="1"/>
        <v>570</v>
      </c>
      <c r="L20" s="239"/>
      <c r="O20" s="118">
        <v>44290</v>
      </c>
      <c r="P20" s="122">
        <v>17891.545384315585</v>
      </c>
      <c r="Q20" s="116"/>
      <c r="R20" s="117"/>
      <c r="T20" s="118">
        <v>44443</v>
      </c>
      <c r="U20" s="122">
        <v>31961.564108509985</v>
      </c>
      <c r="V20" s="116"/>
      <c r="W20" s="117"/>
    </row>
    <row r="21" spans="2:23" ht="14.4" x14ac:dyDescent="0.3">
      <c r="B21" s="81">
        <v>44805</v>
      </c>
      <c r="C21" s="96">
        <v>44793</v>
      </c>
      <c r="D21" s="96">
        <v>44824</v>
      </c>
      <c r="E21" s="148">
        <f>580210*W41</f>
        <v>222325.68921361651</v>
      </c>
      <c r="F21" s="147">
        <v>6940</v>
      </c>
      <c r="G21" s="70">
        <f t="shared" si="0"/>
        <v>215385.68921361651</v>
      </c>
      <c r="H21" s="147">
        <v>573270</v>
      </c>
      <c r="I21" s="147">
        <f t="shared" si="2"/>
        <v>215.3856892136165</v>
      </c>
      <c r="J21" s="70">
        <v>0.98170000000000002</v>
      </c>
      <c r="K21" s="97">
        <f t="shared" si="1"/>
        <v>211</v>
      </c>
      <c r="L21" s="239"/>
      <c r="O21" s="118">
        <v>44291</v>
      </c>
      <c r="P21" s="122">
        <v>43925.229284394634</v>
      </c>
      <c r="Q21" s="116"/>
      <c r="R21" s="117"/>
      <c r="T21" s="118">
        <v>44444</v>
      </c>
      <c r="U21" s="122">
        <v>7250.9371173354448</v>
      </c>
      <c r="V21" s="116"/>
      <c r="W21" s="117"/>
    </row>
    <row r="22" spans="2:23" ht="14.4" x14ac:dyDescent="0.3">
      <c r="B22" s="218" t="s">
        <v>12</v>
      </c>
      <c r="C22" s="218"/>
      <c r="D22" s="218"/>
      <c r="E22" s="6"/>
      <c r="F22" s="6"/>
      <c r="G22" s="6">
        <f>ROUNDDOWN((SUM(G4:G20)),0)</f>
        <v>10485297</v>
      </c>
      <c r="H22" s="6">
        <f>ROUNDDOWN((SUM(H4:H20)),0)</f>
        <v>10815070</v>
      </c>
      <c r="I22" s="6">
        <f>ROUNDDOWN((SUM(I4:I20)),0)</f>
        <v>10485</v>
      </c>
      <c r="J22" s="6"/>
      <c r="K22" s="6">
        <f>ROUNDDOWN((SUM(K4:K20)),0)</f>
        <v>10283</v>
      </c>
      <c r="L22" s="6">
        <f>ROUNDDOWN((SUM(L4:L21)),0)</f>
        <v>10494</v>
      </c>
      <c r="O22" s="118">
        <v>44292</v>
      </c>
      <c r="P22" s="122">
        <v>27056.806756150549</v>
      </c>
      <c r="Q22" s="116"/>
      <c r="R22" s="117"/>
      <c r="T22" s="118">
        <v>44445</v>
      </c>
      <c r="U22" s="122">
        <v>17188.038631526248</v>
      </c>
      <c r="V22" s="116"/>
      <c r="W22" s="117"/>
    </row>
    <row r="23" spans="2:23" x14ac:dyDescent="0.25">
      <c r="O23" s="118">
        <v>44293</v>
      </c>
      <c r="P23" s="122">
        <v>32060.074836302836</v>
      </c>
      <c r="Q23" s="116"/>
      <c r="R23" s="117"/>
      <c r="T23" s="118">
        <v>44446</v>
      </c>
      <c r="U23" s="122">
        <v>17450.483691190533</v>
      </c>
      <c r="V23" s="116"/>
      <c r="W23" s="117"/>
    </row>
    <row r="24" spans="2:23" x14ac:dyDescent="0.25">
      <c r="O24" s="118">
        <v>44294</v>
      </c>
      <c r="P24" s="122">
        <v>46114.323712527439</v>
      </c>
      <c r="Q24" s="116"/>
      <c r="R24" s="117"/>
      <c r="T24" s="118">
        <v>44447</v>
      </c>
      <c r="U24" s="122">
        <v>30121.445745914694</v>
      </c>
      <c r="V24" s="116"/>
      <c r="W24" s="117"/>
    </row>
    <row r="25" spans="2:23" x14ac:dyDescent="0.25">
      <c r="O25" s="118">
        <v>44295</v>
      </c>
      <c r="P25" s="122">
        <v>7772.0619327695722</v>
      </c>
      <c r="Q25" s="116"/>
      <c r="R25" s="117"/>
      <c r="T25" s="118">
        <v>44448</v>
      </c>
      <c r="U25" s="122">
        <v>26376.994736729484</v>
      </c>
      <c r="V25" s="116"/>
      <c r="W25" s="117"/>
    </row>
    <row r="26" spans="2:23" x14ac:dyDescent="0.25">
      <c r="O26" s="118">
        <v>44296</v>
      </c>
      <c r="P26" s="122">
        <v>27919.64875414344</v>
      </c>
      <c r="Q26" s="116"/>
      <c r="R26" s="117"/>
      <c r="T26" s="118">
        <v>44449</v>
      </c>
      <c r="U26" s="122">
        <v>14124.6305605004</v>
      </c>
      <c r="V26" s="116"/>
      <c r="W26" s="117"/>
    </row>
    <row r="27" spans="2:23" x14ac:dyDescent="0.25">
      <c r="O27" s="118">
        <v>44297</v>
      </c>
      <c r="P27" s="122">
        <v>29359.544340309076</v>
      </c>
      <c r="Q27" s="116"/>
      <c r="R27" s="117"/>
      <c r="T27" s="118">
        <v>44450</v>
      </c>
      <c r="U27" s="122">
        <v>25881.984935204542</v>
      </c>
      <c r="V27" s="116"/>
      <c r="W27" s="117"/>
    </row>
    <row r="28" spans="2:23" x14ac:dyDescent="0.25">
      <c r="O28" s="118">
        <v>44298</v>
      </c>
      <c r="P28" s="122">
        <v>51745.183331865133</v>
      </c>
      <c r="Q28" s="116"/>
      <c r="R28" s="117"/>
      <c r="T28" s="118">
        <v>44451</v>
      </c>
      <c r="U28" s="122">
        <v>24940.794931594159</v>
      </c>
      <c r="V28" s="116"/>
      <c r="W28" s="117"/>
    </row>
    <row r="29" spans="2:23" x14ac:dyDescent="0.25">
      <c r="O29" s="118">
        <v>44299</v>
      </c>
      <c r="P29" s="122">
        <v>14654.400262534242</v>
      </c>
      <c r="Q29" s="116"/>
      <c r="R29" s="117"/>
      <c r="T29" s="118">
        <v>44452</v>
      </c>
      <c r="U29" s="122">
        <v>23071.134078194671</v>
      </c>
      <c r="V29" s="116"/>
      <c r="W29" s="117"/>
    </row>
    <row r="30" spans="2:23" x14ac:dyDescent="0.25">
      <c r="O30" s="118">
        <v>44300</v>
      </c>
      <c r="P30" s="122">
        <v>26726.167211581203</v>
      </c>
      <c r="Q30" s="116"/>
      <c r="R30" s="117"/>
      <c r="T30" s="118">
        <v>44453</v>
      </c>
      <c r="U30" s="122">
        <v>24347.507437485227</v>
      </c>
      <c r="V30" s="116"/>
      <c r="W30" s="117"/>
    </row>
    <row r="31" spans="2:23" x14ac:dyDescent="0.25">
      <c r="O31" s="118">
        <v>44301</v>
      </c>
      <c r="P31" s="122">
        <v>2625.9579573352116</v>
      </c>
      <c r="Q31" s="116"/>
      <c r="R31" s="117"/>
      <c r="T31" s="118">
        <v>44454</v>
      </c>
      <c r="U31" s="122">
        <v>10094.955349276586</v>
      </c>
      <c r="V31" s="116"/>
      <c r="W31" s="117"/>
    </row>
    <row r="32" spans="2:23" x14ac:dyDescent="0.25">
      <c r="O32" s="118">
        <v>44302</v>
      </c>
      <c r="P32" s="122">
        <v>20869.331754917745</v>
      </c>
      <c r="Q32" s="116"/>
      <c r="R32" s="117"/>
      <c r="T32" s="118">
        <v>44455</v>
      </c>
      <c r="U32" s="122">
        <v>113.5538634384697</v>
      </c>
      <c r="V32" s="116"/>
      <c r="W32" s="117"/>
    </row>
    <row r="33" spans="15:23" x14ac:dyDescent="0.25">
      <c r="O33" s="118">
        <v>44303</v>
      </c>
      <c r="P33" s="122">
        <v>9650.2072997134328</v>
      </c>
      <c r="Q33" s="116"/>
      <c r="R33" s="117"/>
      <c r="T33" s="118">
        <v>44456</v>
      </c>
      <c r="U33" s="122">
        <v>17381.957158125417</v>
      </c>
      <c r="V33" s="116"/>
      <c r="W33" s="117"/>
    </row>
    <row r="34" spans="15:23" x14ac:dyDescent="0.25">
      <c r="O34" s="118">
        <v>44304</v>
      </c>
      <c r="P34" s="122">
        <v>34574.134810661177</v>
      </c>
      <c r="Q34" s="116"/>
      <c r="R34" s="117"/>
      <c r="T34" s="118">
        <v>44457</v>
      </c>
      <c r="U34" s="122">
        <v>19637.272263299994</v>
      </c>
      <c r="V34" s="116"/>
      <c r="W34" s="117"/>
    </row>
    <row r="35" spans="15:23" x14ac:dyDescent="0.25">
      <c r="O35" s="118">
        <v>44305</v>
      </c>
      <c r="P35" s="122">
        <v>27056</v>
      </c>
      <c r="Q35" s="116"/>
      <c r="R35" s="117"/>
      <c r="T35" s="118">
        <v>44458</v>
      </c>
      <c r="U35" s="122">
        <v>1800</v>
      </c>
      <c r="V35" s="116"/>
      <c r="W35" s="117"/>
    </row>
    <row r="36" spans="15:23" x14ac:dyDescent="0.25">
      <c r="O36" s="118">
        <v>44306</v>
      </c>
      <c r="P36" s="122">
        <v>22250</v>
      </c>
      <c r="Q36" s="116"/>
      <c r="R36" s="117"/>
      <c r="T36" s="118">
        <v>44459</v>
      </c>
      <c r="U36" s="122">
        <v>1950</v>
      </c>
      <c r="V36" s="116"/>
      <c r="W36" s="117"/>
    </row>
    <row r="37" spans="15:23" x14ac:dyDescent="0.25">
      <c r="O37" s="123" t="s">
        <v>140</v>
      </c>
      <c r="P37" s="124">
        <f>SUM(P5:P36)</f>
        <v>787726.91594821948</v>
      </c>
      <c r="Q37" s="116"/>
      <c r="R37" s="117"/>
      <c r="T37" s="123" t="s">
        <v>140</v>
      </c>
      <c r="U37" s="124">
        <f>SUM(U5:U36)</f>
        <v>580416.89109064417</v>
      </c>
      <c r="V37" s="116"/>
      <c r="W37" s="117"/>
    </row>
    <row r="38" spans="15:23" ht="13.8" thickBot="1" x14ac:dyDescent="0.3">
      <c r="O38" s="125"/>
      <c r="P38" s="116"/>
      <c r="Q38" s="116"/>
      <c r="R38" s="117"/>
      <c r="T38" s="125"/>
      <c r="U38" s="116"/>
      <c r="V38" s="116"/>
      <c r="W38" s="117"/>
    </row>
    <row r="39" spans="15:23" x14ac:dyDescent="0.25">
      <c r="O39" s="127" t="s">
        <v>146</v>
      </c>
      <c r="P39" s="128"/>
      <c r="Q39" s="129"/>
      <c r="R39" s="120">
        <f>P37</f>
        <v>787726.91594821948</v>
      </c>
      <c r="T39" s="127" t="s">
        <v>148</v>
      </c>
      <c r="U39" s="128"/>
      <c r="V39" s="129"/>
      <c r="W39" s="120">
        <f>U37</f>
        <v>580416.89109064417</v>
      </c>
    </row>
    <row r="40" spans="15:23" x14ac:dyDescent="0.25">
      <c r="O40" s="130" t="s">
        <v>147</v>
      </c>
      <c r="P40" s="131"/>
      <c r="Q40" s="132"/>
      <c r="R40" s="120">
        <f>SUM(P17:P36)</f>
        <v>509465.62747894257</v>
      </c>
      <c r="T40" s="130" t="s">
        <v>143</v>
      </c>
      <c r="U40" s="131"/>
      <c r="V40" s="132"/>
      <c r="W40" s="120">
        <f>SUM(U5:U16)</f>
        <v>222404.96603462892</v>
      </c>
    </row>
    <row r="41" spans="15:23" ht="13.8" thickBot="1" x14ac:dyDescent="0.3">
      <c r="O41" s="133" t="s">
        <v>141</v>
      </c>
      <c r="P41" s="134"/>
      <c r="Q41" s="135"/>
      <c r="R41" s="126">
        <f>R40/R39</f>
        <v>0.64675411892670664</v>
      </c>
      <c r="T41" s="133" t="s">
        <v>141</v>
      </c>
      <c r="U41" s="134"/>
      <c r="V41" s="135"/>
      <c r="W41" s="126">
        <f>W40/W39</f>
        <v>0.3831814157177858</v>
      </c>
    </row>
  </sheetData>
  <mergeCells count="15">
    <mergeCell ref="T2:W2"/>
    <mergeCell ref="O2:R2"/>
    <mergeCell ref="B22:D22"/>
    <mergeCell ref="H2:H3"/>
    <mergeCell ref="I2:I3"/>
    <mergeCell ref="J2:J3"/>
    <mergeCell ref="K2:K3"/>
    <mergeCell ref="L14:L21"/>
    <mergeCell ref="L2:L3"/>
    <mergeCell ref="B2:B3"/>
    <mergeCell ref="C2:D2"/>
    <mergeCell ref="E2:E3"/>
    <mergeCell ref="F2:F3"/>
    <mergeCell ref="G2:G3"/>
    <mergeCell ref="L4:L13"/>
  </mergeCells>
  <pageMargins left="0.78749999999999998" right="0.78749999999999998" top="1.0249999999999999" bottom="1.0249999999999999" header="0.78749999999999998" footer="0.78749999999999998"/>
  <pageSetup orientation="portrait" horizontalDpi="300" verticalDpi="300" r:id="rId1"/>
  <headerFooter>
    <oddHeader>&amp;C&amp;A</oddHeader>
    <oddFooter>&amp;CPage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41"/>
  <sheetViews>
    <sheetView topLeftCell="A4" zoomScalePageLayoutView="60" workbookViewId="0">
      <selection activeCell="E21" sqref="E21"/>
    </sheetView>
  </sheetViews>
  <sheetFormatPr defaultRowHeight="13.2" x14ac:dyDescent="0.25"/>
  <cols>
    <col min="1" max="2" width="11.6640625" customWidth="1"/>
    <col min="3" max="3" width="12.33203125" customWidth="1"/>
    <col min="4" max="4" width="12.5546875" customWidth="1"/>
    <col min="5" max="5" width="18" customWidth="1"/>
    <col min="6" max="6" width="18.88671875" customWidth="1"/>
    <col min="7" max="8" width="17.6640625" customWidth="1"/>
    <col min="9" max="9" width="16.109375" customWidth="1"/>
    <col min="10" max="11" width="11.6640625" customWidth="1"/>
    <col min="12" max="12" width="14.33203125" customWidth="1"/>
    <col min="13" max="256" width="11.6640625" customWidth="1"/>
    <col min="257" max="1025" width="11.5546875"/>
  </cols>
  <sheetData>
    <row r="1" spans="2:23" ht="13.8" thickBot="1" x14ac:dyDescent="0.3">
      <c r="O1" t="s">
        <v>82</v>
      </c>
    </row>
    <row r="2" spans="2:23" ht="13.95" customHeight="1" x14ac:dyDescent="0.25">
      <c r="B2" s="228" t="s">
        <v>0</v>
      </c>
      <c r="C2" s="229" t="s">
        <v>1</v>
      </c>
      <c r="D2" s="229"/>
      <c r="E2" s="241" t="s">
        <v>2</v>
      </c>
      <c r="F2" s="241" t="s">
        <v>3</v>
      </c>
      <c r="G2" s="240" t="s">
        <v>4</v>
      </c>
      <c r="H2" s="240" t="s">
        <v>5</v>
      </c>
      <c r="I2" s="241" t="s">
        <v>6</v>
      </c>
      <c r="J2" s="222" t="s">
        <v>7</v>
      </c>
      <c r="K2" s="222" t="s">
        <v>8</v>
      </c>
      <c r="L2" s="226" t="s">
        <v>9</v>
      </c>
      <c r="O2" s="236">
        <v>44287</v>
      </c>
      <c r="P2" s="237"/>
      <c r="Q2" s="237"/>
      <c r="R2" s="238"/>
      <c r="T2" s="236">
        <v>44774</v>
      </c>
      <c r="U2" s="237"/>
      <c r="V2" s="237"/>
      <c r="W2" s="238"/>
    </row>
    <row r="3" spans="2:23" ht="51" customHeight="1" x14ac:dyDescent="0.25">
      <c r="B3" s="228"/>
      <c r="C3" s="2" t="s">
        <v>10</v>
      </c>
      <c r="D3" s="1" t="s">
        <v>11</v>
      </c>
      <c r="E3" s="241"/>
      <c r="F3" s="241"/>
      <c r="G3" s="240"/>
      <c r="H3" s="240"/>
      <c r="I3" s="241"/>
      <c r="J3" s="222"/>
      <c r="K3" s="222"/>
      <c r="L3" s="227"/>
      <c r="O3" s="114" t="s">
        <v>138</v>
      </c>
      <c r="P3" s="115" t="s">
        <v>139</v>
      </c>
      <c r="Q3" s="116"/>
      <c r="R3" s="117"/>
      <c r="T3" s="114" t="s">
        <v>138</v>
      </c>
      <c r="U3" s="115" t="s">
        <v>139</v>
      </c>
      <c r="V3" s="116"/>
      <c r="W3" s="117"/>
    </row>
    <row r="4" spans="2:23" s="58" customFormat="1" ht="27" customHeight="1" x14ac:dyDescent="0.3">
      <c r="B4" s="81">
        <v>44287</v>
      </c>
      <c r="C4" s="77">
        <v>44275</v>
      </c>
      <c r="D4" s="78">
        <v>44306</v>
      </c>
      <c r="E4" s="145">
        <f>1611950*R41</f>
        <v>924751.27046381088</v>
      </c>
      <c r="F4" s="72">
        <v>8960</v>
      </c>
      <c r="G4" s="72">
        <f t="shared" ref="G4:G21" si="0">E4-F4</f>
        <v>915791.27046381088</v>
      </c>
      <c r="H4" s="72">
        <v>1602990</v>
      </c>
      <c r="I4" s="80">
        <f t="shared" ref="I4:I21" si="1">G4/1000</f>
        <v>915.79127046381086</v>
      </c>
      <c r="J4" s="72">
        <v>0.98170000000000002</v>
      </c>
      <c r="K4" s="80">
        <f t="shared" ref="K4:K21" si="2">ROUNDDOWN(I4*J4,0)</f>
        <v>899</v>
      </c>
      <c r="L4" s="239">
        <f>ROUNDDOWN((SUM(K4:K12)),0)</f>
        <v>10667</v>
      </c>
      <c r="O4" s="149"/>
      <c r="P4" s="150"/>
      <c r="Q4" s="151"/>
      <c r="R4" s="151"/>
      <c r="T4" s="149"/>
      <c r="U4" s="150"/>
      <c r="V4" s="151"/>
      <c r="W4" s="151"/>
    </row>
    <row r="5" spans="2:23" s="58" customFormat="1" ht="14.4" x14ac:dyDescent="0.3">
      <c r="B5" s="81">
        <v>44317</v>
      </c>
      <c r="C5" s="77">
        <v>44306</v>
      </c>
      <c r="D5" s="78">
        <v>44336</v>
      </c>
      <c r="E5" s="72">
        <v>1524500</v>
      </c>
      <c r="F5" s="72">
        <v>8310</v>
      </c>
      <c r="G5" s="72">
        <f t="shared" si="0"/>
        <v>1516190</v>
      </c>
      <c r="H5" s="79">
        <v>1516190</v>
      </c>
      <c r="I5" s="80">
        <f t="shared" si="1"/>
        <v>1516.19</v>
      </c>
      <c r="J5" s="72">
        <v>0.98170000000000002</v>
      </c>
      <c r="K5" s="80">
        <f t="shared" si="2"/>
        <v>1488</v>
      </c>
      <c r="L5" s="239"/>
      <c r="M5" s="152">
        <f>L4</f>
        <v>10667</v>
      </c>
      <c r="O5" s="153">
        <v>44275</v>
      </c>
      <c r="P5" s="154">
        <v>70431.042747995816</v>
      </c>
      <c r="Q5" s="155"/>
      <c r="R5" s="155"/>
      <c r="T5" s="153">
        <v>44793</v>
      </c>
      <c r="U5" s="154">
        <v>54977.05288620216</v>
      </c>
      <c r="V5" s="155"/>
      <c r="W5" s="155"/>
    </row>
    <row r="6" spans="2:23" s="58" customFormat="1" ht="14.4" x14ac:dyDescent="0.3">
      <c r="B6" s="81">
        <v>44348</v>
      </c>
      <c r="C6" s="77">
        <v>44336</v>
      </c>
      <c r="D6" s="78">
        <v>44367</v>
      </c>
      <c r="E6" s="79">
        <v>1369860</v>
      </c>
      <c r="F6" s="79">
        <v>8730</v>
      </c>
      <c r="G6" s="72">
        <f t="shared" si="0"/>
        <v>1361130</v>
      </c>
      <c r="H6" s="79">
        <v>1361130</v>
      </c>
      <c r="I6" s="80">
        <f t="shared" si="1"/>
        <v>1361.13</v>
      </c>
      <c r="J6" s="72">
        <v>0.98170000000000002</v>
      </c>
      <c r="K6" s="80">
        <f t="shared" si="2"/>
        <v>1336</v>
      </c>
      <c r="L6" s="239"/>
      <c r="O6" s="153">
        <v>44276</v>
      </c>
      <c r="P6" s="154">
        <v>103153.03353649797</v>
      </c>
      <c r="Q6" s="121"/>
      <c r="R6" s="155"/>
      <c r="T6" s="153">
        <v>44794</v>
      </c>
      <c r="U6" s="154">
        <v>57435.733263590322</v>
      </c>
      <c r="V6" s="121"/>
      <c r="W6" s="155"/>
    </row>
    <row r="7" spans="2:23" s="58" customFormat="1" ht="14.4" x14ac:dyDescent="0.3">
      <c r="B7" s="81">
        <v>44378</v>
      </c>
      <c r="C7" s="77">
        <v>44367</v>
      </c>
      <c r="D7" s="78">
        <v>44397</v>
      </c>
      <c r="E7" s="79">
        <v>1138640</v>
      </c>
      <c r="F7" s="79">
        <v>8720</v>
      </c>
      <c r="G7" s="72">
        <f t="shared" si="0"/>
        <v>1129920</v>
      </c>
      <c r="H7" s="79">
        <v>1129920</v>
      </c>
      <c r="I7" s="80">
        <f t="shared" si="1"/>
        <v>1129.92</v>
      </c>
      <c r="J7" s="72">
        <v>0.98170000000000002</v>
      </c>
      <c r="K7" s="80">
        <f t="shared" si="2"/>
        <v>1109</v>
      </c>
      <c r="L7" s="239"/>
      <c r="O7" s="153">
        <v>44277</v>
      </c>
      <c r="P7" s="154">
        <v>73055.937938610688</v>
      </c>
      <c r="Q7" s="121"/>
      <c r="R7" s="155"/>
      <c r="T7" s="153">
        <v>44795</v>
      </c>
      <c r="U7" s="154">
        <v>50619.0311281096</v>
      </c>
      <c r="V7" s="121"/>
      <c r="W7" s="155"/>
    </row>
    <row r="8" spans="2:23" s="58" customFormat="1" ht="14.4" x14ac:dyDescent="0.3">
      <c r="B8" s="81">
        <v>44409</v>
      </c>
      <c r="C8" s="77">
        <v>44397</v>
      </c>
      <c r="D8" s="78">
        <v>44428</v>
      </c>
      <c r="E8" s="79">
        <v>1186540</v>
      </c>
      <c r="F8" s="79">
        <f>841080-832060</f>
        <v>9020</v>
      </c>
      <c r="G8" s="72">
        <f t="shared" si="0"/>
        <v>1177520</v>
      </c>
      <c r="H8" s="79">
        <v>1177.52</v>
      </c>
      <c r="I8" s="80">
        <f t="shared" si="1"/>
        <v>1177.52</v>
      </c>
      <c r="J8" s="72">
        <v>0.98170000000000002</v>
      </c>
      <c r="K8" s="80">
        <f t="shared" si="2"/>
        <v>1155</v>
      </c>
      <c r="L8" s="239"/>
      <c r="O8" s="153">
        <v>44278</v>
      </c>
      <c r="P8" s="154">
        <v>82569.528845656663</v>
      </c>
      <c r="Q8" s="121"/>
      <c r="R8" s="155"/>
      <c r="T8" s="153">
        <v>44796</v>
      </c>
      <c r="U8" s="154">
        <v>18403.320213504874</v>
      </c>
      <c r="V8" s="121"/>
      <c r="W8" s="155"/>
    </row>
    <row r="9" spans="2:23" s="58" customFormat="1" ht="14.4" x14ac:dyDescent="0.3">
      <c r="B9" s="81">
        <v>44440</v>
      </c>
      <c r="C9" s="77">
        <v>44428</v>
      </c>
      <c r="D9" s="78">
        <v>44459</v>
      </c>
      <c r="E9" s="79">
        <v>1145850</v>
      </c>
      <c r="F9" s="79">
        <v>9260</v>
      </c>
      <c r="G9" s="72">
        <f t="shared" si="0"/>
        <v>1136590</v>
      </c>
      <c r="H9" s="79">
        <v>1136590</v>
      </c>
      <c r="I9" s="80">
        <f t="shared" si="1"/>
        <v>1136.5899999999999</v>
      </c>
      <c r="J9" s="72">
        <v>0.98170000000000002</v>
      </c>
      <c r="K9" s="80">
        <f t="shared" si="2"/>
        <v>1115</v>
      </c>
      <c r="L9" s="239"/>
      <c r="O9" s="153">
        <v>44279</v>
      </c>
      <c r="P9" s="154">
        <v>56738.195051609735</v>
      </c>
      <c r="Q9" s="121"/>
      <c r="R9" s="155"/>
      <c r="T9" s="153">
        <v>44797</v>
      </c>
      <c r="U9" s="154">
        <v>2753.4728925639934</v>
      </c>
      <c r="V9" s="121"/>
      <c r="W9" s="155"/>
    </row>
    <row r="10" spans="2:23" s="58" customFormat="1" ht="14.4" x14ac:dyDescent="0.3">
      <c r="B10" s="81">
        <v>44470</v>
      </c>
      <c r="C10" s="77">
        <v>44459</v>
      </c>
      <c r="D10" s="78">
        <v>44489</v>
      </c>
      <c r="E10" s="79">
        <v>1279480</v>
      </c>
      <c r="F10" s="79">
        <v>8950</v>
      </c>
      <c r="G10" s="72">
        <f t="shared" si="0"/>
        <v>1270530</v>
      </c>
      <c r="H10" s="79">
        <v>1270530</v>
      </c>
      <c r="I10" s="80">
        <f t="shared" si="1"/>
        <v>1270.53</v>
      </c>
      <c r="J10" s="72">
        <v>0.98170000000000002</v>
      </c>
      <c r="K10" s="80">
        <f t="shared" si="2"/>
        <v>1247</v>
      </c>
      <c r="L10" s="239"/>
      <c r="O10" s="153">
        <v>44280</v>
      </c>
      <c r="P10" s="154">
        <v>82969.074504033226</v>
      </c>
      <c r="Q10" s="121"/>
      <c r="R10" s="155"/>
      <c r="T10" s="153">
        <v>44798</v>
      </c>
      <c r="U10" s="154">
        <v>44520.15148042285</v>
      </c>
      <c r="V10" s="121"/>
      <c r="W10" s="155"/>
    </row>
    <row r="11" spans="2:23" s="58" customFormat="1" ht="14.4" x14ac:dyDescent="0.3">
      <c r="B11" s="81">
        <v>44501</v>
      </c>
      <c r="C11" s="77">
        <v>44489</v>
      </c>
      <c r="D11" s="78">
        <v>44520</v>
      </c>
      <c r="E11" s="79">
        <v>1121030</v>
      </c>
      <c r="F11" s="79">
        <v>10100</v>
      </c>
      <c r="G11" s="72">
        <f t="shared" si="0"/>
        <v>1110930</v>
      </c>
      <c r="H11" s="79">
        <v>1110930</v>
      </c>
      <c r="I11" s="80">
        <f t="shared" si="1"/>
        <v>1110.93</v>
      </c>
      <c r="J11" s="72">
        <v>0.98170000000000002</v>
      </c>
      <c r="K11" s="80">
        <f t="shared" si="2"/>
        <v>1090</v>
      </c>
      <c r="L11" s="239"/>
      <c r="O11" s="153">
        <v>44281</v>
      </c>
      <c r="P11" s="154">
        <v>62830.199150651286</v>
      </c>
      <c r="Q11" s="121"/>
      <c r="R11" s="155"/>
      <c r="T11" s="153">
        <v>44799</v>
      </c>
      <c r="U11" s="154">
        <v>24759.868486598021</v>
      </c>
      <c r="V11" s="121"/>
      <c r="W11" s="155"/>
    </row>
    <row r="12" spans="2:23" s="58" customFormat="1" ht="14.4" x14ac:dyDescent="0.3">
      <c r="B12" s="81">
        <v>44531</v>
      </c>
      <c r="C12" s="77">
        <v>44520</v>
      </c>
      <c r="D12" s="78">
        <v>44550</v>
      </c>
      <c r="E12" s="79">
        <v>1260900</v>
      </c>
      <c r="F12" s="79">
        <v>9910</v>
      </c>
      <c r="G12" s="72">
        <f t="shared" si="0"/>
        <v>1250990</v>
      </c>
      <c r="H12" s="79">
        <v>1250990</v>
      </c>
      <c r="I12" s="80">
        <f t="shared" si="1"/>
        <v>1250.99</v>
      </c>
      <c r="J12" s="72">
        <v>0.98170000000000002</v>
      </c>
      <c r="K12" s="80">
        <f t="shared" si="2"/>
        <v>1228</v>
      </c>
      <c r="L12" s="239"/>
      <c r="O12" s="153">
        <v>44282</v>
      </c>
      <c r="P12" s="154">
        <v>4229.5795767950967</v>
      </c>
      <c r="Q12" s="121"/>
      <c r="R12" s="155"/>
      <c r="T12" s="153">
        <v>44800</v>
      </c>
      <c r="U12" s="154">
        <v>55144.536446750513</v>
      </c>
      <c r="V12" s="121"/>
      <c r="W12" s="155"/>
    </row>
    <row r="13" spans="2:23" s="58" customFormat="1" ht="14.4" x14ac:dyDescent="0.3">
      <c r="B13" s="81">
        <v>44562</v>
      </c>
      <c r="C13" s="77">
        <v>44550</v>
      </c>
      <c r="D13" s="78">
        <v>44581</v>
      </c>
      <c r="E13" s="79">
        <v>1383550</v>
      </c>
      <c r="F13" s="79">
        <v>10140</v>
      </c>
      <c r="G13" s="72">
        <f t="shared" si="0"/>
        <v>1373410</v>
      </c>
      <c r="H13" s="156">
        <f>130118.4-889.44</f>
        <v>129228.95999999999</v>
      </c>
      <c r="I13" s="80">
        <f t="shared" si="1"/>
        <v>1373.41</v>
      </c>
      <c r="J13" s="72">
        <v>0.98170000000000002</v>
      </c>
      <c r="K13" s="80">
        <f t="shared" si="2"/>
        <v>1348</v>
      </c>
      <c r="L13" s="239"/>
      <c r="O13" s="153">
        <v>44283</v>
      </c>
      <c r="P13" s="154">
        <v>25905.461526606639</v>
      </c>
      <c r="Q13" s="121"/>
      <c r="R13" s="155"/>
      <c r="T13" s="153">
        <v>44801</v>
      </c>
      <c r="U13" s="154">
        <v>37267.120775065923</v>
      </c>
      <c r="V13" s="121"/>
      <c r="W13" s="155"/>
    </row>
    <row r="14" spans="2:23" s="58" customFormat="1" ht="14.4" x14ac:dyDescent="0.3">
      <c r="B14" s="81">
        <v>44593</v>
      </c>
      <c r="C14" s="77">
        <v>44581</v>
      </c>
      <c r="D14" s="78">
        <v>44612</v>
      </c>
      <c r="E14" s="79">
        <v>794380</v>
      </c>
      <c r="F14" s="79">
        <v>4640</v>
      </c>
      <c r="G14" s="72">
        <f t="shared" si="0"/>
        <v>789740</v>
      </c>
      <c r="H14" s="79">
        <v>745660</v>
      </c>
      <c r="I14" s="80">
        <f t="shared" si="1"/>
        <v>789.74</v>
      </c>
      <c r="J14" s="72">
        <v>0.98170000000000002</v>
      </c>
      <c r="K14" s="80">
        <f t="shared" si="2"/>
        <v>775</v>
      </c>
      <c r="L14" s="242">
        <f>ROUNDDOWN((SUM(K13:K21)),0)</f>
        <v>10295</v>
      </c>
      <c r="M14" s="152">
        <f>L14</f>
        <v>10295</v>
      </c>
      <c r="O14" s="153">
        <v>44284</v>
      </c>
      <c r="P14" s="154">
        <v>2178.7060129832248</v>
      </c>
      <c r="Q14" s="121"/>
      <c r="R14" s="155"/>
      <c r="T14" s="153">
        <v>44802</v>
      </c>
      <c r="U14" s="154">
        <v>17143.564667172021</v>
      </c>
      <c r="V14" s="121"/>
      <c r="W14" s="155"/>
    </row>
    <row r="15" spans="2:23" s="58" customFormat="1" ht="14.4" x14ac:dyDescent="0.3">
      <c r="B15" s="81">
        <v>44621</v>
      </c>
      <c r="C15" s="77">
        <v>44612</v>
      </c>
      <c r="D15" s="78">
        <v>44640</v>
      </c>
      <c r="E15" s="79">
        <v>1529940</v>
      </c>
      <c r="F15" s="79">
        <v>8180</v>
      </c>
      <c r="G15" s="72">
        <f t="shared" si="0"/>
        <v>1521760</v>
      </c>
      <c r="H15" s="79">
        <v>1521760</v>
      </c>
      <c r="I15" s="80">
        <f t="shared" si="1"/>
        <v>1521.76</v>
      </c>
      <c r="J15" s="72">
        <v>0.98170000000000002</v>
      </c>
      <c r="K15" s="80">
        <f t="shared" si="2"/>
        <v>1493</v>
      </c>
      <c r="L15" s="242"/>
      <c r="O15" s="153">
        <v>44285</v>
      </c>
      <c r="P15" s="154">
        <v>92177.425734110671</v>
      </c>
      <c r="Q15" s="155"/>
      <c r="R15" s="155"/>
      <c r="T15" s="153">
        <v>44803</v>
      </c>
      <c r="U15" s="154">
        <v>35642.674016199409</v>
      </c>
      <c r="V15" s="155"/>
      <c r="W15" s="155"/>
    </row>
    <row r="16" spans="2:23" s="58" customFormat="1" ht="14.4" x14ac:dyDescent="0.3">
      <c r="B16" s="81">
        <v>44652</v>
      </c>
      <c r="C16" s="77">
        <v>44640</v>
      </c>
      <c r="D16" s="78">
        <v>44671</v>
      </c>
      <c r="E16" s="79">
        <v>1497840</v>
      </c>
      <c r="F16" s="79">
        <v>9210</v>
      </c>
      <c r="G16" s="72">
        <f t="shared" si="0"/>
        <v>1488630</v>
      </c>
      <c r="H16" s="79">
        <v>1488630</v>
      </c>
      <c r="I16" s="80">
        <f t="shared" si="1"/>
        <v>1488.63</v>
      </c>
      <c r="J16" s="72">
        <v>0.98170000000000002</v>
      </c>
      <c r="K16" s="80">
        <f t="shared" si="2"/>
        <v>1461</v>
      </c>
      <c r="L16" s="242"/>
      <c r="O16" s="153">
        <v>44286</v>
      </c>
      <c r="P16" s="157">
        <v>35377.596330796638</v>
      </c>
      <c r="Q16" s="151"/>
      <c r="R16" s="158"/>
      <c r="T16" s="153">
        <v>44804</v>
      </c>
      <c r="U16" s="157">
        <v>851.43423919628833</v>
      </c>
      <c r="V16" s="151"/>
      <c r="W16" s="158"/>
    </row>
    <row r="17" spans="2:23" s="58" customFormat="1" ht="14.4" x14ac:dyDescent="0.3">
      <c r="B17" s="81">
        <v>44682</v>
      </c>
      <c r="C17" s="77">
        <v>44671</v>
      </c>
      <c r="D17" s="78">
        <v>44701</v>
      </c>
      <c r="E17" s="79">
        <v>1357610</v>
      </c>
      <c r="F17" s="79">
        <v>8780</v>
      </c>
      <c r="G17" s="72">
        <f t="shared" si="0"/>
        <v>1348830</v>
      </c>
      <c r="H17" s="70">
        <v>1348830</v>
      </c>
      <c r="I17" s="80">
        <f t="shared" si="1"/>
        <v>1348.83</v>
      </c>
      <c r="J17" s="72">
        <v>0.98170000000000002</v>
      </c>
      <c r="K17" s="80">
        <f t="shared" si="2"/>
        <v>1324</v>
      </c>
      <c r="L17" s="242"/>
      <c r="O17" s="153">
        <v>44287</v>
      </c>
      <c r="P17" s="157">
        <v>5475.0225202941938</v>
      </c>
      <c r="Q17" s="151"/>
      <c r="R17" s="158"/>
      <c r="T17" s="153">
        <v>44805</v>
      </c>
      <c r="U17" s="157">
        <v>69545.704825080189</v>
      </c>
      <c r="V17" s="151"/>
      <c r="W17" s="158"/>
    </row>
    <row r="18" spans="2:23" s="58" customFormat="1" ht="14.4" x14ac:dyDescent="0.3">
      <c r="B18" s="81">
        <v>44713</v>
      </c>
      <c r="C18" s="77">
        <v>44701</v>
      </c>
      <c r="D18" s="78">
        <v>44732</v>
      </c>
      <c r="E18" s="79">
        <v>1442230</v>
      </c>
      <c r="F18" s="79">
        <v>8670</v>
      </c>
      <c r="G18" s="72">
        <f t="shared" si="0"/>
        <v>1433560</v>
      </c>
      <c r="H18" s="79">
        <v>1433560</v>
      </c>
      <c r="I18" s="80">
        <f t="shared" si="1"/>
        <v>1433.56</v>
      </c>
      <c r="J18" s="72">
        <v>0.98170000000000002</v>
      </c>
      <c r="K18" s="80">
        <f t="shared" si="2"/>
        <v>1407</v>
      </c>
      <c r="L18" s="242"/>
      <c r="O18" s="153">
        <v>44288</v>
      </c>
      <c r="P18" s="157">
        <v>14809.885438072068</v>
      </c>
      <c r="Q18" s="151"/>
      <c r="R18" s="158"/>
      <c r="T18" s="153">
        <v>44806</v>
      </c>
      <c r="U18" s="157">
        <v>6956.9114550307613</v>
      </c>
      <c r="V18" s="151"/>
      <c r="W18" s="158"/>
    </row>
    <row r="19" spans="2:23" s="58" customFormat="1" ht="14.4" x14ac:dyDescent="0.3">
      <c r="B19" s="81">
        <v>44743</v>
      </c>
      <c r="C19" s="77">
        <v>44732</v>
      </c>
      <c r="D19" s="78">
        <v>44762</v>
      </c>
      <c r="E19" s="79">
        <v>1013670</v>
      </c>
      <c r="F19" s="79">
        <v>8950</v>
      </c>
      <c r="G19" s="72">
        <f t="shared" si="0"/>
        <v>1004720</v>
      </c>
      <c r="H19" s="70">
        <v>1004720</v>
      </c>
      <c r="I19" s="80">
        <f t="shared" si="1"/>
        <v>1004.72</v>
      </c>
      <c r="J19" s="72">
        <v>0.98170000000000002</v>
      </c>
      <c r="K19" s="80">
        <f t="shared" si="2"/>
        <v>986</v>
      </c>
      <c r="L19" s="242"/>
      <c r="O19" s="153">
        <v>44289</v>
      </c>
      <c r="P19" s="157">
        <v>51621.44975207503</v>
      </c>
      <c r="Q19" s="151"/>
      <c r="R19" s="158"/>
      <c r="T19" s="153">
        <v>44807</v>
      </c>
      <c r="U19" s="157">
        <v>16665.514445846715</v>
      </c>
      <c r="V19" s="151"/>
      <c r="W19" s="158"/>
    </row>
    <row r="20" spans="2:23" s="58" customFormat="1" ht="14.4" x14ac:dyDescent="0.3">
      <c r="B20" s="81">
        <v>44774</v>
      </c>
      <c r="C20" s="77">
        <v>44762</v>
      </c>
      <c r="D20" s="78">
        <v>44793</v>
      </c>
      <c r="E20" s="79">
        <f>1154780</f>
        <v>1154780</v>
      </c>
      <c r="F20" s="79">
        <v>8960</v>
      </c>
      <c r="G20" s="72">
        <f t="shared" si="0"/>
        <v>1145820</v>
      </c>
      <c r="H20" s="79">
        <v>1145820</v>
      </c>
      <c r="I20" s="80">
        <f t="shared" si="1"/>
        <v>1145.82</v>
      </c>
      <c r="J20" s="72">
        <v>0.98170000000000002</v>
      </c>
      <c r="K20" s="80">
        <f t="shared" si="2"/>
        <v>1124</v>
      </c>
      <c r="L20" s="242"/>
      <c r="O20" s="153">
        <v>44290</v>
      </c>
      <c r="P20" s="157">
        <v>43055.070253748279</v>
      </c>
      <c r="Q20" s="151"/>
      <c r="R20" s="158"/>
      <c r="T20" s="153">
        <v>44808</v>
      </c>
      <c r="U20" s="157">
        <v>60123.187242856766</v>
      </c>
      <c r="V20" s="151"/>
      <c r="W20" s="158"/>
    </row>
    <row r="21" spans="2:23" s="58" customFormat="1" ht="14.4" x14ac:dyDescent="0.3">
      <c r="B21" s="81">
        <v>44806</v>
      </c>
      <c r="C21" s="78">
        <v>44793</v>
      </c>
      <c r="D21" s="78">
        <v>44824</v>
      </c>
      <c r="E21" s="160">
        <f>1210840*W41</f>
        <v>394175.86252696771</v>
      </c>
      <c r="F21" s="159">
        <v>9350</v>
      </c>
      <c r="G21" s="72">
        <f t="shared" si="0"/>
        <v>384825.86252696771</v>
      </c>
      <c r="H21" s="159">
        <v>1201490</v>
      </c>
      <c r="I21" s="80">
        <f t="shared" si="1"/>
        <v>384.82586252696774</v>
      </c>
      <c r="J21" s="72">
        <v>0.98170000000000002</v>
      </c>
      <c r="K21" s="80">
        <f t="shared" si="2"/>
        <v>377</v>
      </c>
      <c r="L21" s="243"/>
      <c r="O21" s="153">
        <v>44291</v>
      </c>
      <c r="P21" s="157">
        <v>69600.815706134847</v>
      </c>
      <c r="Q21" s="151"/>
      <c r="R21" s="158"/>
      <c r="T21" s="153">
        <v>44809</v>
      </c>
      <c r="U21" s="157">
        <v>41985.654008657992</v>
      </c>
      <c r="V21" s="151"/>
      <c r="W21" s="158"/>
    </row>
    <row r="22" spans="2:23" ht="14.4" x14ac:dyDescent="0.3">
      <c r="B22" s="218" t="s">
        <v>12</v>
      </c>
      <c r="C22" s="218"/>
      <c r="D22" s="218"/>
      <c r="E22" s="6"/>
      <c r="F22" s="6"/>
      <c r="G22" s="6">
        <f>ROUNDDOWN((SUM(G4:G20)),0)</f>
        <v>20976061</v>
      </c>
      <c r="H22" s="6">
        <f>ROUNDDOWN((SUM(H4:H20)),0)</f>
        <v>19198656</v>
      </c>
      <c r="I22" s="6">
        <f>ROUNDDOWN((SUM(I4:I20)),0)</f>
        <v>20976</v>
      </c>
      <c r="J22" s="6"/>
      <c r="K22" s="6">
        <f>ROUNDDOWN((SUM(K4:K20)),0)</f>
        <v>20585</v>
      </c>
      <c r="L22" s="9">
        <f>L4+L14</f>
        <v>20962</v>
      </c>
      <c r="O22" s="118">
        <v>44292</v>
      </c>
      <c r="P22" s="122">
        <v>639.1083758535417</v>
      </c>
      <c r="Q22" s="116"/>
      <c r="R22" s="117"/>
      <c r="T22" s="118">
        <v>44810</v>
      </c>
      <c r="U22" s="122">
        <v>58364.283943402399</v>
      </c>
      <c r="V22" s="116"/>
      <c r="W22" s="117"/>
    </row>
    <row r="23" spans="2:23" x14ac:dyDescent="0.25">
      <c r="O23" s="118">
        <v>44293</v>
      </c>
      <c r="P23" s="122">
        <v>23964.148410201684</v>
      </c>
      <c r="Q23" s="116"/>
      <c r="R23" s="117"/>
      <c r="T23" s="118">
        <v>44811</v>
      </c>
      <c r="U23" s="122">
        <v>8245.4928835794872</v>
      </c>
      <c r="V23" s="116"/>
      <c r="W23" s="117"/>
    </row>
    <row r="24" spans="2:23" x14ac:dyDescent="0.25">
      <c r="O24" s="118">
        <v>44294</v>
      </c>
      <c r="P24" s="122">
        <v>73335.122366272059</v>
      </c>
      <c r="Q24" s="116"/>
      <c r="R24" s="117"/>
      <c r="T24" s="118">
        <v>44812</v>
      </c>
      <c r="U24" s="122">
        <v>65285.962701665645</v>
      </c>
      <c r="V24" s="116"/>
      <c r="W24" s="117"/>
    </row>
    <row r="25" spans="2:23" x14ac:dyDescent="0.25">
      <c r="O25" s="118">
        <v>44295</v>
      </c>
      <c r="P25" s="122">
        <v>98628.666068488354</v>
      </c>
      <c r="Q25" s="116"/>
      <c r="R25" s="117"/>
      <c r="T25" s="118">
        <v>44813</v>
      </c>
      <c r="U25" s="122">
        <v>4657.8935783051911</v>
      </c>
      <c r="V25" s="116"/>
      <c r="W25" s="117"/>
    </row>
    <row r="26" spans="2:23" x14ac:dyDescent="0.25">
      <c r="O26" s="118">
        <v>44296</v>
      </c>
      <c r="P26" s="122">
        <v>36213.781133603748</v>
      </c>
      <c r="Q26" s="116"/>
      <c r="R26" s="117"/>
      <c r="T26" s="118">
        <v>44814</v>
      </c>
      <c r="U26" s="122">
        <v>30537.613883011767</v>
      </c>
      <c r="V26" s="116"/>
      <c r="W26" s="117"/>
    </row>
    <row r="27" spans="2:23" ht="14.4" x14ac:dyDescent="0.3">
      <c r="F27" s="44"/>
      <c r="O27" s="118">
        <v>44297</v>
      </c>
      <c r="P27" s="122">
        <v>38495.392444229379</v>
      </c>
      <c r="Q27" s="116"/>
      <c r="R27" s="117"/>
      <c r="T27" s="118">
        <v>44815</v>
      </c>
      <c r="U27" s="122">
        <v>66449.746209279154</v>
      </c>
      <c r="V27" s="116"/>
      <c r="W27" s="117"/>
    </row>
    <row r="28" spans="2:23" x14ac:dyDescent="0.25">
      <c r="O28" s="118">
        <v>44298</v>
      </c>
      <c r="P28" s="122">
        <v>44794.542135948366</v>
      </c>
      <c r="Q28" s="116"/>
      <c r="R28" s="117"/>
      <c r="T28" s="118">
        <v>44816</v>
      </c>
      <c r="U28" s="122">
        <v>45716.533076961816</v>
      </c>
      <c r="V28" s="116"/>
      <c r="W28" s="117"/>
    </row>
    <row r="29" spans="2:23" x14ac:dyDescent="0.25">
      <c r="O29" s="118">
        <v>44299</v>
      </c>
      <c r="P29" s="122">
        <v>62387.260822167744</v>
      </c>
      <c r="Q29" s="116"/>
      <c r="R29" s="117"/>
      <c r="T29" s="118">
        <v>44817</v>
      </c>
      <c r="U29" s="122">
        <v>70493.088021638221</v>
      </c>
      <c r="V29" s="116"/>
      <c r="W29" s="117"/>
    </row>
    <row r="30" spans="2:23" x14ac:dyDescent="0.25">
      <c r="O30" s="118">
        <v>44300</v>
      </c>
      <c r="P30" s="122">
        <v>32684.879620193358</v>
      </c>
      <c r="Q30" s="116"/>
      <c r="R30" s="117"/>
      <c r="T30" s="118">
        <v>44818</v>
      </c>
      <c r="U30" s="122">
        <v>33172.355179476261</v>
      </c>
      <c r="V30" s="116"/>
      <c r="W30" s="117"/>
    </row>
    <row r="31" spans="2:23" x14ac:dyDescent="0.25">
      <c r="O31" s="118">
        <v>44301</v>
      </c>
      <c r="P31" s="122">
        <v>52979.804937006447</v>
      </c>
      <c r="Q31" s="116"/>
      <c r="R31" s="117"/>
      <c r="T31" s="118">
        <v>44819</v>
      </c>
      <c r="U31" s="122">
        <v>29999.139242465342</v>
      </c>
      <c r="V31" s="116"/>
      <c r="W31" s="117"/>
    </row>
    <row r="32" spans="2:23" x14ac:dyDescent="0.25">
      <c r="O32" s="118">
        <v>44302</v>
      </c>
      <c r="P32" s="122">
        <v>53781.82250701249</v>
      </c>
      <c r="Q32" s="116"/>
      <c r="R32" s="117"/>
      <c r="T32" s="118">
        <v>44820</v>
      </c>
      <c r="U32" s="122">
        <v>37881.320454398279</v>
      </c>
      <c r="V32" s="116"/>
      <c r="W32" s="117"/>
    </row>
    <row r="33" spans="15:23" x14ac:dyDescent="0.25">
      <c r="O33" s="118">
        <v>44303</v>
      </c>
      <c r="P33" s="122">
        <v>90789.357267040003</v>
      </c>
      <c r="Q33" s="116"/>
      <c r="R33" s="117"/>
      <c r="T33" s="118">
        <v>44821</v>
      </c>
      <c r="U33" s="122">
        <v>46453.15127326324</v>
      </c>
      <c r="V33" s="116"/>
      <c r="W33" s="117"/>
    </row>
    <row r="34" spans="15:23" x14ac:dyDescent="0.25">
      <c r="O34" s="118">
        <v>44304</v>
      </c>
      <c r="P34" s="122">
        <v>57209.820295902617</v>
      </c>
      <c r="Q34" s="116"/>
      <c r="R34" s="117"/>
      <c r="T34" s="118">
        <v>44822</v>
      </c>
      <c r="U34" s="122">
        <v>73288.917234902518</v>
      </c>
      <c r="V34" s="116"/>
      <c r="W34" s="117"/>
    </row>
    <row r="35" spans="15:23" x14ac:dyDescent="0.25">
      <c r="O35" s="118">
        <v>44305</v>
      </c>
      <c r="P35" s="122">
        <v>35118.268989408098</v>
      </c>
      <c r="Q35" s="116"/>
      <c r="R35" s="117"/>
      <c r="T35" s="118">
        <v>44823</v>
      </c>
      <c r="U35" s="122">
        <v>45559.569844802361</v>
      </c>
      <c r="V35" s="116"/>
      <c r="W35" s="117"/>
    </row>
    <row r="36" spans="15:23" x14ac:dyDescent="0.25">
      <c r="O36" s="118">
        <v>44306</v>
      </c>
      <c r="P36" s="122">
        <v>45111</v>
      </c>
      <c r="Q36" s="116"/>
      <c r="R36" s="117"/>
      <c r="T36" s="118">
        <v>44824</v>
      </c>
      <c r="U36" s="122">
        <v>16350</v>
      </c>
      <c r="V36" s="116"/>
      <c r="W36" s="117"/>
    </row>
    <row r="37" spans="15:23" x14ac:dyDescent="0.25">
      <c r="O37" s="123" t="s">
        <v>140</v>
      </c>
      <c r="P37" s="124">
        <f>SUM(P5:P36)</f>
        <v>1622311</v>
      </c>
      <c r="Q37" s="116"/>
      <c r="R37" s="117"/>
      <c r="T37" s="123" t="s">
        <v>140</v>
      </c>
      <c r="U37" s="124">
        <f>SUM(U5:U36)</f>
        <v>1227250</v>
      </c>
      <c r="V37" s="116"/>
      <c r="W37" s="117"/>
    </row>
    <row r="38" spans="15:23" ht="13.8" thickBot="1" x14ac:dyDescent="0.3">
      <c r="O38" s="125"/>
      <c r="P38" s="116"/>
      <c r="Q38" s="116"/>
      <c r="R38" s="117"/>
      <c r="T38" s="125"/>
      <c r="U38" s="116"/>
      <c r="V38" s="116"/>
      <c r="W38" s="117"/>
    </row>
    <row r="39" spans="15:23" x14ac:dyDescent="0.25">
      <c r="O39" s="127" t="s">
        <v>146</v>
      </c>
      <c r="P39" s="128"/>
      <c r="Q39" s="129"/>
      <c r="R39" s="120">
        <f>P37</f>
        <v>1622311</v>
      </c>
      <c r="T39" s="127" t="s">
        <v>142</v>
      </c>
      <c r="U39" s="128"/>
      <c r="V39" s="129"/>
      <c r="W39" s="120">
        <f>U37</f>
        <v>1227250</v>
      </c>
    </row>
    <row r="40" spans="15:23" x14ac:dyDescent="0.25">
      <c r="O40" s="130" t="s">
        <v>147</v>
      </c>
      <c r="P40" s="131"/>
      <c r="Q40" s="132"/>
      <c r="R40" s="120">
        <f>SUM(P17:P36)</f>
        <v>930695.21904365253</v>
      </c>
      <c r="T40" s="130" t="s">
        <v>143</v>
      </c>
      <c r="U40" s="131"/>
      <c r="V40" s="132"/>
      <c r="W40" s="120">
        <f>SUM(U5:U16)</f>
        <v>399517.96049537603</v>
      </c>
    </row>
    <row r="41" spans="15:23" ht="13.8" thickBot="1" x14ac:dyDescent="0.3">
      <c r="O41" s="133" t="s">
        <v>141</v>
      </c>
      <c r="P41" s="134"/>
      <c r="Q41" s="135"/>
      <c r="R41" s="126">
        <f>R40/R39</f>
        <v>0.57368483542529913</v>
      </c>
      <c r="T41" s="133" t="s">
        <v>141</v>
      </c>
      <c r="U41" s="134"/>
      <c r="V41" s="135"/>
      <c r="W41" s="126">
        <f>W40/W39</f>
        <v>0.32553918149959343</v>
      </c>
    </row>
  </sheetData>
  <mergeCells count="15">
    <mergeCell ref="O2:R2"/>
    <mergeCell ref="T2:W2"/>
    <mergeCell ref="B22:D22"/>
    <mergeCell ref="H2:H3"/>
    <mergeCell ref="I2:I3"/>
    <mergeCell ref="J2:J3"/>
    <mergeCell ref="K2:K3"/>
    <mergeCell ref="L14:L21"/>
    <mergeCell ref="L2:L3"/>
    <mergeCell ref="B2:B3"/>
    <mergeCell ref="C2:D2"/>
    <mergeCell ref="E2:E3"/>
    <mergeCell ref="F2:F3"/>
    <mergeCell ref="G2:G3"/>
    <mergeCell ref="L4:L13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Q40"/>
  <sheetViews>
    <sheetView zoomScale="80" zoomScaleNormal="80" zoomScalePageLayoutView="60" workbookViewId="0">
      <selection activeCell="I24" sqref="I24"/>
    </sheetView>
  </sheetViews>
  <sheetFormatPr defaultRowHeight="13.2" x14ac:dyDescent="0.25"/>
  <cols>
    <col min="1" max="2" width="11.6640625" customWidth="1"/>
    <col min="3" max="3" width="12.88671875" customWidth="1"/>
    <col min="4" max="4" width="13" customWidth="1"/>
    <col min="5" max="5" width="15.88671875" customWidth="1"/>
    <col min="6" max="6" width="15.6640625" customWidth="1"/>
    <col min="7" max="7" width="21.109375" customWidth="1"/>
    <col min="8" max="8" width="18.44140625" customWidth="1"/>
    <col min="9" max="9" width="19.88671875" customWidth="1"/>
    <col min="10" max="10" width="13.88671875" customWidth="1"/>
    <col min="11" max="11" width="15" customWidth="1"/>
    <col min="12" max="12" width="14.6640625" customWidth="1"/>
    <col min="13" max="251" width="11.6640625" customWidth="1"/>
    <col min="252" max="1020" width="11.5546875"/>
  </cols>
  <sheetData>
    <row r="1" spans="2:17" ht="13.8" thickBot="1" x14ac:dyDescent="0.3"/>
    <row r="2" spans="2:17" ht="15" customHeight="1" x14ac:dyDescent="0.25">
      <c r="B2" s="228" t="s">
        <v>0</v>
      </c>
      <c r="C2" s="229" t="s">
        <v>1</v>
      </c>
      <c r="D2" s="229"/>
      <c r="E2" s="222" t="s">
        <v>2</v>
      </c>
      <c r="F2" s="222" t="s">
        <v>3</v>
      </c>
      <c r="G2" s="229" t="s">
        <v>4</v>
      </c>
      <c r="H2" s="229" t="s">
        <v>5</v>
      </c>
      <c r="I2" s="222" t="s">
        <v>6</v>
      </c>
      <c r="J2" s="222" t="s">
        <v>7</v>
      </c>
      <c r="K2" s="222" t="s">
        <v>8</v>
      </c>
      <c r="L2" s="226" t="s">
        <v>9</v>
      </c>
      <c r="N2" s="236">
        <v>44287</v>
      </c>
      <c r="O2" s="237"/>
      <c r="P2" s="237"/>
      <c r="Q2" s="238"/>
    </row>
    <row r="3" spans="2:17" ht="27.75" customHeight="1" x14ac:dyDescent="0.25">
      <c r="B3" s="228"/>
      <c r="C3" s="2" t="s">
        <v>10</v>
      </c>
      <c r="D3" s="1" t="s">
        <v>11</v>
      </c>
      <c r="E3" s="222"/>
      <c r="F3" s="222"/>
      <c r="G3" s="229"/>
      <c r="H3" s="229"/>
      <c r="I3" s="222"/>
      <c r="J3" s="222"/>
      <c r="K3" s="222"/>
      <c r="L3" s="248"/>
      <c r="N3" s="114" t="s">
        <v>138</v>
      </c>
      <c r="O3" s="115" t="s">
        <v>139</v>
      </c>
      <c r="P3" s="116"/>
      <c r="Q3" s="117"/>
    </row>
    <row r="4" spans="2:17" s="58" customFormat="1" ht="15" customHeight="1" x14ac:dyDescent="0.3">
      <c r="B4" s="81">
        <v>44287</v>
      </c>
      <c r="C4" s="92">
        <v>44280</v>
      </c>
      <c r="D4" s="93">
        <v>44311</v>
      </c>
      <c r="E4" s="192">
        <f>1565400*Q40</f>
        <v>1215679.1489404044</v>
      </c>
      <c r="F4" s="162">
        <v>7800</v>
      </c>
      <c r="G4" s="74">
        <f t="shared" ref="G4:G21" si="0">E4-F4</f>
        <v>1207879.1489404044</v>
      </c>
      <c r="H4" s="163">
        <v>1557600</v>
      </c>
      <c r="I4" s="74">
        <f t="shared" ref="I4:I21" si="1">G4/1000</f>
        <v>1207.8791489404043</v>
      </c>
      <c r="J4" s="72">
        <v>0.98170000000000002</v>
      </c>
      <c r="K4" s="91">
        <f>ROUNDDOWN(I4*J4,0)</f>
        <v>1185</v>
      </c>
      <c r="L4" s="245">
        <f>ROUNDDOWN((SUM(K4:K12)),0)</f>
        <v>11101</v>
      </c>
      <c r="M4" s="58">
        <f>L4</f>
        <v>11101</v>
      </c>
      <c r="N4" s="153">
        <v>44280</v>
      </c>
      <c r="O4" s="154">
        <v>56593.959394913851</v>
      </c>
      <c r="P4" s="155"/>
      <c r="Q4" s="155"/>
    </row>
    <row r="5" spans="2:17" s="58" customFormat="1" ht="14.4" x14ac:dyDescent="0.3">
      <c r="B5" s="81">
        <v>44317</v>
      </c>
      <c r="C5" s="92">
        <v>44311</v>
      </c>
      <c r="D5" s="93">
        <v>44341</v>
      </c>
      <c r="E5" s="74">
        <v>1435900</v>
      </c>
      <c r="F5" s="74">
        <v>7800</v>
      </c>
      <c r="G5" s="74">
        <f t="shared" si="0"/>
        <v>1428100</v>
      </c>
      <c r="H5" s="74">
        <v>1428100</v>
      </c>
      <c r="I5" s="74">
        <f t="shared" si="1"/>
        <v>1428.1</v>
      </c>
      <c r="J5" s="72">
        <v>0.98170000000000002</v>
      </c>
      <c r="K5" s="91">
        <f t="shared" ref="K5:K20" si="2">ROUNDDOWN(I5*J5,0)</f>
        <v>1401</v>
      </c>
      <c r="L5" s="246"/>
      <c r="N5" s="153">
        <v>44281</v>
      </c>
      <c r="O5" s="154">
        <v>45446.791031813249</v>
      </c>
      <c r="P5" s="121"/>
      <c r="Q5" s="155"/>
    </row>
    <row r="6" spans="2:17" s="58" customFormat="1" ht="14.4" x14ac:dyDescent="0.3">
      <c r="B6" s="81">
        <v>44348</v>
      </c>
      <c r="C6" s="92">
        <v>44341</v>
      </c>
      <c r="D6" s="93">
        <v>44372</v>
      </c>
      <c r="E6" s="164">
        <v>1329000</v>
      </c>
      <c r="F6" s="164">
        <v>8100</v>
      </c>
      <c r="G6" s="74">
        <f t="shared" si="0"/>
        <v>1320900</v>
      </c>
      <c r="H6" s="164">
        <v>1320900</v>
      </c>
      <c r="I6" s="74">
        <f t="shared" si="1"/>
        <v>1320.9</v>
      </c>
      <c r="J6" s="72">
        <v>0.98170000000000002</v>
      </c>
      <c r="K6" s="91">
        <f t="shared" si="2"/>
        <v>1296</v>
      </c>
      <c r="L6" s="246"/>
      <c r="N6" s="153">
        <v>44282</v>
      </c>
      <c r="O6" s="154">
        <v>18273.463328325321</v>
      </c>
      <c r="P6" s="121"/>
      <c r="Q6" s="155"/>
    </row>
    <row r="7" spans="2:17" s="58" customFormat="1" ht="14.4" x14ac:dyDescent="0.3">
      <c r="B7" s="81">
        <v>44378</v>
      </c>
      <c r="C7" s="92">
        <v>44372</v>
      </c>
      <c r="D7" s="93">
        <v>44402</v>
      </c>
      <c r="E7" s="164">
        <v>1054600</v>
      </c>
      <c r="F7" s="164">
        <v>8300</v>
      </c>
      <c r="G7" s="74">
        <f t="shared" si="0"/>
        <v>1046300</v>
      </c>
      <c r="H7" s="164">
        <v>1046300</v>
      </c>
      <c r="I7" s="74">
        <f t="shared" si="1"/>
        <v>1046.3</v>
      </c>
      <c r="J7" s="72">
        <v>0.98170000000000002</v>
      </c>
      <c r="K7" s="91">
        <f t="shared" si="2"/>
        <v>1027</v>
      </c>
      <c r="L7" s="246"/>
      <c r="N7" s="153">
        <v>44283</v>
      </c>
      <c r="O7" s="154">
        <v>59071.382111203136</v>
      </c>
      <c r="P7" s="121"/>
      <c r="Q7" s="155"/>
    </row>
    <row r="8" spans="2:17" s="58" customFormat="1" ht="14.4" x14ac:dyDescent="0.3">
      <c r="B8" s="81">
        <v>44409</v>
      </c>
      <c r="C8" s="92">
        <v>44402</v>
      </c>
      <c r="D8" s="93">
        <v>44433</v>
      </c>
      <c r="E8" s="164">
        <v>1260700</v>
      </c>
      <c r="F8" s="164">
        <v>8800</v>
      </c>
      <c r="G8" s="74">
        <f t="shared" si="0"/>
        <v>1251900</v>
      </c>
      <c r="H8" s="164">
        <v>1251900</v>
      </c>
      <c r="I8" s="74">
        <f t="shared" si="1"/>
        <v>1251.9000000000001</v>
      </c>
      <c r="J8" s="72">
        <v>0.98170000000000002</v>
      </c>
      <c r="K8" s="91">
        <f t="shared" si="2"/>
        <v>1228</v>
      </c>
      <c r="L8" s="246"/>
      <c r="N8" s="153">
        <v>44284</v>
      </c>
      <c r="O8" s="154">
        <v>84642.325689756617</v>
      </c>
      <c r="P8" s="121"/>
      <c r="Q8" s="155"/>
    </row>
    <row r="9" spans="2:17" s="58" customFormat="1" ht="14.4" x14ac:dyDescent="0.3">
      <c r="B9" s="81">
        <v>44440</v>
      </c>
      <c r="C9" s="92">
        <v>44433</v>
      </c>
      <c r="D9" s="93">
        <v>44464</v>
      </c>
      <c r="E9" s="164">
        <f>117544900-116377800</f>
        <v>1167100</v>
      </c>
      <c r="F9" s="164">
        <v>9000</v>
      </c>
      <c r="G9" s="74">
        <f t="shared" si="0"/>
        <v>1158100</v>
      </c>
      <c r="H9" s="164">
        <v>1158100</v>
      </c>
      <c r="I9" s="74">
        <f t="shared" si="1"/>
        <v>1158.0999999999999</v>
      </c>
      <c r="J9" s="72">
        <v>0.98170000000000002</v>
      </c>
      <c r="K9" s="91">
        <f t="shared" si="2"/>
        <v>1136</v>
      </c>
      <c r="L9" s="246"/>
      <c r="N9" s="153">
        <v>44285</v>
      </c>
      <c r="O9" s="154">
        <v>43412.869106584738</v>
      </c>
      <c r="P9" s="121"/>
      <c r="Q9" s="155"/>
    </row>
    <row r="10" spans="2:17" s="58" customFormat="1" ht="14.4" x14ac:dyDescent="0.3">
      <c r="B10" s="81">
        <v>44470</v>
      </c>
      <c r="C10" s="92">
        <v>44464</v>
      </c>
      <c r="D10" s="93">
        <v>44494</v>
      </c>
      <c r="E10" s="164">
        <v>1397300</v>
      </c>
      <c r="F10" s="164">
        <v>8900</v>
      </c>
      <c r="G10" s="74">
        <f t="shared" si="0"/>
        <v>1388400</v>
      </c>
      <c r="H10" s="164">
        <v>1388400</v>
      </c>
      <c r="I10" s="74">
        <f t="shared" si="1"/>
        <v>1388.4</v>
      </c>
      <c r="J10" s="72">
        <v>0.98170000000000002</v>
      </c>
      <c r="K10" s="91">
        <f t="shared" si="2"/>
        <v>1362</v>
      </c>
      <c r="L10" s="246"/>
      <c r="N10" s="153">
        <v>44286</v>
      </c>
      <c r="O10" s="154">
        <v>45197.751923023105</v>
      </c>
      <c r="P10" s="121"/>
      <c r="Q10" s="155"/>
    </row>
    <row r="11" spans="2:17" s="58" customFormat="1" ht="14.4" x14ac:dyDescent="0.3">
      <c r="B11" s="81">
        <v>44501</v>
      </c>
      <c r="C11" s="92">
        <v>44494</v>
      </c>
      <c r="D11" s="93">
        <v>44525</v>
      </c>
      <c r="E11" s="164">
        <v>1211200</v>
      </c>
      <c r="F11" s="164">
        <v>9500</v>
      </c>
      <c r="G11" s="74">
        <f t="shared" si="0"/>
        <v>1201700</v>
      </c>
      <c r="H11" s="164">
        <v>1201700</v>
      </c>
      <c r="I11" s="74">
        <f t="shared" si="1"/>
        <v>1201.7</v>
      </c>
      <c r="J11" s="72">
        <v>0.98170000000000002</v>
      </c>
      <c r="K11" s="91">
        <f t="shared" si="2"/>
        <v>1179</v>
      </c>
      <c r="L11" s="246"/>
      <c r="N11" s="153">
        <v>44287</v>
      </c>
      <c r="O11" s="154">
        <v>4301.5503647347996</v>
      </c>
      <c r="P11" s="121"/>
      <c r="Q11" s="155"/>
    </row>
    <row r="12" spans="2:17" s="58" customFormat="1" ht="14.4" x14ac:dyDescent="0.3">
      <c r="B12" s="81">
        <v>44531</v>
      </c>
      <c r="C12" s="92">
        <v>44525</v>
      </c>
      <c r="D12" s="93">
        <v>44555</v>
      </c>
      <c r="E12" s="164">
        <v>1320200</v>
      </c>
      <c r="F12" s="164">
        <v>8900</v>
      </c>
      <c r="G12" s="74">
        <f t="shared" si="0"/>
        <v>1311300</v>
      </c>
      <c r="H12" s="164">
        <v>1311300</v>
      </c>
      <c r="I12" s="74">
        <f t="shared" si="1"/>
        <v>1311.3</v>
      </c>
      <c r="J12" s="72">
        <v>0.98170000000000002</v>
      </c>
      <c r="K12" s="91">
        <f t="shared" si="2"/>
        <v>1287</v>
      </c>
      <c r="L12" s="247"/>
      <c r="N12" s="153">
        <v>44288</v>
      </c>
      <c r="O12" s="154">
        <v>6832.037868839715</v>
      </c>
      <c r="P12" s="121"/>
      <c r="Q12" s="155"/>
    </row>
    <row r="13" spans="2:17" s="58" customFormat="1" ht="14.4" x14ac:dyDescent="0.3">
      <c r="B13" s="81">
        <v>44562</v>
      </c>
      <c r="C13" s="92">
        <v>44555</v>
      </c>
      <c r="D13" s="93">
        <v>44586</v>
      </c>
      <c r="E13" s="164">
        <v>1243400</v>
      </c>
      <c r="F13" s="164">
        <v>8600</v>
      </c>
      <c r="G13" s="74">
        <f t="shared" si="0"/>
        <v>1234800</v>
      </c>
      <c r="H13" s="164">
        <v>1234800</v>
      </c>
      <c r="I13" s="74">
        <f t="shared" si="1"/>
        <v>1234.8</v>
      </c>
      <c r="J13" s="72">
        <v>0.98170000000000002</v>
      </c>
      <c r="K13" s="80">
        <f t="shared" si="2"/>
        <v>1212</v>
      </c>
      <c r="L13" s="244">
        <f>ROUNDDOWN((SUM(K13:K21)),0)</f>
        <v>9965</v>
      </c>
      <c r="M13" s="152">
        <f>L13</f>
        <v>9965</v>
      </c>
      <c r="N13" s="153">
        <v>44289</v>
      </c>
      <c r="O13" s="154">
        <v>42609.764902762159</v>
      </c>
      <c r="P13" s="121"/>
      <c r="Q13" s="155"/>
    </row>
    <row r="14" spans="2:17" s="58" customFormat="1" ht="14.4" x14ac:dyDescent="0.3">
      <c r="B14" s="81">
        <v>44593</v>
      </c>
      <c r="C14" s="92">
        <v>44586</v>
      </c>
      <c r="D14" s="93">
        <v>44617</v>
      </c>
      <c r="E14" s="164">
        <v>1657000</v>
      </c>
      <c r="F14" s="164">
        <v>7500</v>
      </c>
      <c r="G14" s="74">
        <f t="shared" si="0"/>
        <v>1649500</v>
      </c>
      <c r="H14" s="164">
        <v>1649500</v>
      </c>
      <c r="I14" s="74">
        <f t="shared" si="1"/>
        <v>1649.5</v>
      </c>
      <c r="J14" s="72">
        <v>0.98170000000000002</v>
      </c>
      <c r="K14" s="80">
        <f t="shared" si="2"/>
        <v>1619</v>
      </c>
      <c r="L14" s="242"/>
      <c r="N14" s="153">
        <v>44290</v>
      </c>
      <c r="O14" s="154">
        <v>97403.241841379335</v>
      </c>
      <c r="P14" s="155"/>
      <c r="Q14" s="155"/>
    </row>
    <row r="15" spans="2:17" s="58" customFormat="1" ht="14.4" x14ac:dyDescent="0.3">
      <c r="B15" s="81">
        <v>44621</v>
      </c>
      <c r="C15" s="92">
        <v>44617</v>
      </c>
      <c r="D15" s="93">
        <v>44645</v>
      </c>
      <c r="E15" s="164">
        <v>1529700</v>
      </c>
      <c r="F15" s="164">
        <v>6300</v>
      </c>
      <c r="G15" s="74">
        <f t="shared" si="0"/>
        <v>1523400</v>
      </c>
      <c r="H15" s="164">
        <v>1523400</v>
      </c>
      <c r="I15" s="74">
        <f t="shared" si="1"/>
        <v>1523.4</v>
      </c>
      <c r="J15" s="72">
        <v>0.98170000000000002</v>
      </c>
      <c r="K15" s="80">
        <f t="shared" si="2"/>
        <v>1495</v>
      </c>
      <c r="L15" s="242"/>
      <c r="N15" s="153">
        <v>44291</v>
      </c>
      <c r="O15" s="157">
        <v>97414.187462977658</v>
      </c>
      <c r="P15" s="151"/>
      <c r="Q15" s="158"/>
    </row>
    <row r="16" spans="2:17" s="58" customFormat="1" ht="14.4" x14ac:dyDescent="0.3">
      <c r="B16" s="81">
        <v>44652</v>
      </c>
      <c r="C16" s="92">
        <v>44645</v>
      </c>
      <c r="D16" s="93">
        <v>44676</v>
      </c>
      <c r="E16" s="164">
        <v>1482100</v>
      </c>
      <c r="F16" s="164">
        <v>7200</v>
      </c>
      <c r="G16" s="74">
        <f t="shared" si="0"/>
        <v>1474900</v>
      </c>
      <c r="H16" s="164">
        <v>1474900</v>
      </c>
      <c r="I16" s="74">
        <f t="shared" si="1"/>
        <v>1474.9</v>
      </c>
      <c r="J16" s="72">
        <v>0.98170000000000002</v>
      </c>
      <c r="K16" s="80">
        <f t="shared" si="2"/>
        <v>1447</v>
      </c>
      <c r="L16" s="242"/>
      <c r="N16" s="153">
        <v>44292</v>
      </c>
      <c r="O16" s="157">
        <v>85539.696791581882</v>
      </c>
      <c r="P16" s="151"/>
      <c r="Q16" s="158"/>
    </row>
    <row r="17" spans="2:17" s="58" customFormat="1" ht="14.4" x14ac:dyDescent="0.3">
      <c r="B17" s="81">
        <v>44682</v>
      </c>
      <c r="C17" s="92">
        <v>44676</v>
      </c>
      <c r="D17" s="93">
        <v>44706</v>
      </c>
      <c r="E17" s="164">
        <v>1390900</v>
      </c>
      <c r="F17" s="164">
        <v>7200</v>
      </c>
      <c r="G17" s="74">
        <f t="shared" si="0"/>
        <v>1383700</v>
      </c>
      <c r="H17" s="164">
        <v>1383700</v>
      </c>
      <c r="I17" s="74">
        <f t="shared" si="1"/>
        <v>1383.7</v>
      </c>
      <c r="J17" s="72">
        <v>0.98170000000000002</v>
      </c>
      <c r="K17" s="80">
        <f t="shared" si="2"/>
        <v>1358</v>
      </c>
      <c r="L17" s="242"/>
      <c r="N17" s="153">
        <v>44293</v>
      </c>
      <c r="O17" s="157">
        <v>81239.803738724397</v>
      </c>
      <c r="P17" s="151"/>
      <c r="Q17" s="158"/>
    </row>
    <row r="18" spans="2:17" s="58" customFormat="1" ht="14.4" x14ac:dyDescent="0.3">
      <c r="B18" s="81">
        <v>44713</v>
      </c>
      <c r="C18" s="92">
        <v>44706</v>
      </c>
      <c r="D18" s="93">
        <v>44737</v>
      </c>
      <c r="E18" s="164">
        <v>1351700</v>
      </c>
      <c r="F18" s="164">
        <v>7900</v>
      </c>
      <c r="G18" s="74">
        <f t="shared" si="0"/>
        <v>1343800</v>
      </c>
      <c r="H18" s="164">
        <v>1343800</v>
      </c>
      <c r="I18" s="74">
        <f t="shared" si="1"/>
        <v>1343.8</v>
      </c>
      <c r="J18" s="72">
        <v>0.98170000000000002</v>
      </c>
      <c r="K18" s="80">
        <f t="shared" si="2"/>
        <v>1319</v>
      </c>
      <c r="L18" s="242"/>
      <c r="N18" s="153">
        <v>44294</v>
      </c>
      <c r="O18" s="157">
        <v>55295.543139699956</v>
      </c>
      <c r="P18" s="151"/>
      <c r="Q18" s="158"/>
    </row>
    <row r="19" spans="2:17" s="58" customFormat="1" ht="14.4" x14ac:dyDescent="0.3">
      <c r="B19" s="81">
        <v>44743</v>
      </c>
      <c r="C19" s="94">
        <v>44737</v>
      </c>
      <c r="D19" s="95">
        <v>44767</v>
      </c>
      <c r="E19" s="164">
        <v>401000</v>
      </c>
      <c r="F19" s="164">
        <v>3100</v>
      </c>
      <c r="G19" s="74">
        <f t="shared" si="0"/>
        <v>397900</v>
      </c>
      <c r="H19" s="164">
        <v>397900</v>
      </c>
      <c r="I19" s="74">
        <f t="shared" si="1"/>
        <v>397.9</v>
      </c>
      <c r="J19" s="72">
        <v>0.98170000000000002</v>
      </c>
      <c r="K19" s="80">
        <f t="shared" si="2"/>
        <v>390</v>
      </c>
      <c r="L19" s="242"/>
      <c r="N19" s="153">
        <v>44295</v>
      </c>
      <c r="O19" s="157">
        <v>1600.3041406461577</v>
      </c>
      <c r="P19" s="151"/>
      <c r="Q19" s="158"/>
    </row>
    <row r="20" spans="2:17" s="58" customFormat="1" ht="14.4" x14ac:dyDescent="0.3">
      <c r="B20" s="81">
        <v>44774</v>
      </c>
      <c r="C20" s="94">
        <v>44767</v>
      </c>
      <c r="D20" s="95">
        <v>44798</v>
      </c>
      <c r="E20" s="164">
        <v>1153500</v>
      </c>
      <c r="F20" s="164">
        <v>7400</v>
      </c>
      <c r="G20" s="74">
        <f t="shared" si="0"/>
        <v>1146100</v>
      </c>
      <c r="H20" s="164">
        <v>1146100</v>
      </c>
      <c r="I20" s="74">
        <f t="shared" si="1"/>
        <v>1146.0999999999999</v>
      </c>
      <c r="J20" s="72">
        <v>0.98170000000000002</v>
      </c>
      <c r="K20" s="80">
        <f t="shared" si="2"/>
        <v>1125</v>
      </c>
      <c r="L20" s="243"/>
      <c r="N20" s="153">
        <v>44296</v>
      </c>
      <c r="O20" s="157">
        <v>19078.011515592774</v>
      </c>
      <c r="P20" s="151"/>
      <c r="Q20" s="158"/>
    </row>
    <row r="21" spans="2:17" s="58" customFormat="1" ht="14.4" x14ac:dyDescent="0.3">
      <c r="B21" s="165">
        <v>44805</v>
      </c>
      <c r="C21" s="94">
        <v>44798</v>
      </c>
      <c r="D21" s="95">
        <v>44804</v>
      </c>
      <c r="E21" s="164">
        <v>0</v>
      </c>
      <c r="F21" s="164">
        <v>0</v>
      </c>
      <c r="G21" s="74">
        <f t="shared" si="0"/>
        <v>0</v>
      </c>
      <c r="H21" s="164">
        <v>0</v>
      </c>
      <c r="I21" s="74">
        <f t="shared" si="1"/>
        <v>0</v>
      </c>
      <c r="J21" s="72"/>
      <c r="K21" s="80">
        <v>0</v>
      </c>
      <c r="L21" s="144"/>
      <c r="N21" s="153">
        <v>44297</v>
      </c>
      <c r="O21" s="157">
        <v>73682.443726705358</v>
      </c>
      <c r="P21" s="151"/>
      <c r="Q21" s="158"/>
    </row>
    <row r="22" spans="2:17" ht="14.4" x14ac:dyDescent="0.3">
      <c r="B22" s="218" t="s">
        <v>12</v>
      </c>
      <c r="C22" s="218"/>
      <c r="D22" s="218"/>
      <c r="E22" s="75"/>
      <c r="F22" s="75"/>
      <c r="G22" s="75">
        <f>SUM(G4:G21)</f>
        <v>21468679.148940407</v>
      </c>
      <c r="H22" s="75">
        <f>SUM(H4:H21)</f>
        <v>21818400</v>
      </c>
      <c r="I22" s="75">
        <f>ROUNDDOWN((SUM(I4:I20)),0)</f>
        <v>21468</v>
      </c>
      <c r="J22" s="42"/>
      <c r="K22" s="42">
        <f>ROUNDDOWN((SUM(K4:K20)),0)</f>
        <v>21066</v>
      </c>
      <c r="L22" s="42">
        <f>L4+L13</f>
        <v>21066</v>
      </c>
      <c r="N22" s="118">
        <v>44298</v>
      </c>
      <c r="O22" s="122">
        <v>42255.712297223792</v>
      </c>
      <c r="P22" s="116"/>
      <c r="Q22" s="117"/>
    </row>
    <row r="23" spans="2:17" x14ac:dyDescent="0.25">
      <c r="N23" s="118">
        <v>44299</v>
      </c>
      <c r="O23" s="122">
        <v>97894.890335238291</v>
      </c>
      <c r="P23" s="116"/>
      <c r="Q23" s="117"/>
    </row>
    <row r="24" spans="2:17" x14ac:dyDescent="0.25">
      <c r="N24" s="118">
        <v>44300</v>
      </c>
      <c r="O24" s="122">
        <v>8982.150912074092</v>
      </c>
      <c r="P24" s="116"/>
      <c r="Q24" s="117"/>
    </row>
    <row r="25" spans="2:17" x14ac:dyDescent="0.25">
      <c r="N25" s="118">
        <v>44301</v>
      </c>
      <c r="O25" s="122">
        <v>38323.11058319005</v>
      </c>
      <c r="P25" s="116"/>
      <c r="Q25" s="117"/>
    </row>
    <row r="26" spans="2:17" x14ac:dyDescent="0.25">
      <c r="G26">
        <v>115117.1</v>
      </c>
      <c r="N26" s="118">
        <v>44302</v>
      </c>
      <c r="O26" s="122">
        <v>60153.767384761115</v>
      </c>
      <c r="P26" s="116"/>
      <c r="Q26" s="117"/>
    </row>
    <row r="27" spans="2:17" x14ac:dyDescent="0.25">
      <c r="G27">
        <v>114062.5</v>
      </c>
      <c r="H27">
        <f>G26-G27</f>
        <v>1054.6000000000058</v>
      </c>
      <c r="N27" s="118">
        <v>44303</v>
      </c>
      <c r="O27" s="122">
        <v>73512.882860134181</v>
      </c>
      <c r="P27" s="116"/>
      <c r="Q27" s="117"/>
    </row>
    <row r="28" spans="2:17" x14ac:dyDescent="0.25">
      <c r="N28" s="118">
        <v>44304</v>
      </c>
      <c r="O28" s="122">
        <v>78062.78198283042</v>
      </c>
      <c r="P28" s="116"/>
      <c r="Q28" s="117"/>
    </row>
    <row r="29" spans="2:17" x14ac:dyDescent="0.25">
      <c r="N29" s="118">
        <v>44305</v>
      </c>
      <c r="O29" s="122">
        <v>45393.821990876138</v>
      </c>
      <c r="P29" s="116"/>
      <c r="Q29" s="117"/>
    </row>
    <row r="30" spans="2:17" x14ac:dyDescent="0.25">
      <c r="N30" s="118">
        <v>44306</v>
      </c>
      <c r="O30" s="122">
        <v>11409.339991483741</v>
      </c>
      <c r="P30" s="116"/>
      <c r="Q30" s="117"/>
    </row>
    <row r="31" spans="2:17" x14ac:dyDescent="0.25">
      <c r="N31" s="118">
        <v>44307</v>
      </c>
      <c r="O31" s="122">
        <v>61832.155339872726</v>
      </c>
      <c r="P31" s="116"/>
      <c r="Q31" s="117"/>
    </row>
    <row r="32" spans="2:17" x14ac:dyDescent="0.25">
      <c r="N32" s="118">
        <v>44308</v>
      </c>
      <c r="O32" s="122">
        <v>52016.265388385167</v>
      </c>
      <c r="P32" s="116"/>
      <c r="Q32" s="117"/>
    </row>
    <row r="33" spans="14:17" x14ac:dyDescent="0.25">
      <c r="N33" s="118">
        <v>44309</v>
      </c>
      <c r="O33" s="122">
        <v>37180.524976285888</v>
      </c>
      <c r="P33" s="116"/>
      <c r="Q33" s="117"/>
    </row>
    <row r="34" spans="14:17" x14ac:dyDescent="0.25">
      <c r="N34" s="118">
        <v>44310</v>
      </c>
      <c r="O34" s="122">
        <v>41147.467878380681</v>
      </c>
      <c r="P34" s="116"/>
      <c r="Q34" s="117"/>
    </row>
    <row r="35" spans="14:17" ht="12.6" customHeight="1" x14ac:dyDescent="0.25">
      <c r="N35" s="118">
        <v>44311</v>
      </c>
      <c r="O35" s="122">
        <v>12660</v>
      </c>
      <c r="P35" s="116"/>
      <c r="Q35" s="117"/>
    </row>
    <row r="36" spans="14:17" ht="12.6" customHeight="1" x14ac:dyDescent="0.25">
      <c r="N36" s="123" t="s">
        <v>140</v>
      </c>
      <c r="O36" s="124">
        <f>SUM(O4:O35)</f>
        <v>1578460.0000000007</v>
      </c>
      <c r="P36" s="116"/>
      <c r="Q36" s="117"/>
    </row>
    <row r="37" spans="14:17" ht="13.8" thickBot="1" x14ac:dyDescent="0.3">
      <c r="N37" s="125"/>
      <c r="O37" s="116"/>
      <c r="P37" s="116"/>
      <c r="Q37" s="117"/>
    </row>
    <row r="38" spans="14:17" x14ac:dyDescent="0.25">
      <c r="N38" s="127" t="s">
        <v>144</v>
      </c>
      <c r="O38" s="128"/>
      <c r="P38" s="129"/>
      <c r="Q38" s="120">
        <f>O36</f>
        <v>1578460.0000000007</v>
      </c>
    </row>
    <row r="39" spans="14:17" x14ac:dyDescent="0.25">
      <c r="N39" s="130" t="s">
        <v>145</v>
      </c>
      <c r="O39" s="131"/>
      <c r="P39" s="132"/>
      <c r="Q39" s="120">
        <f>SUM(O11:O35)</f>
        <v>1225821.4574143807</v>
      </c>
    </row>
    <row r="40" spans="14:17" ht="13.8" thickBot="1" x14ac:dyDescent="0.3">
      <c r="N40" s="133" t="s">
        <v>141</v>
      </c>
      <c r="O40" s="134"/>
      <c r="P40" s="135"/>
      <c r="Q40" s="126">
        <f>Q39/Q38</f>
        <v>0.77659329816047296</v>
      </c>
    </row>
  </sheetData>
  <mergeCells count="14">
    <mergeCell ref="N2:Q2"/>
    <mergeCell ref="B22:D22"/>
    <mergeCell ref="H2:H3"/>
    <mergeCell ref="I2:I3"/>
    <mergeCell ref="J2:J3"/>
    <mergeCell ref="K2:K3"/>
    <mergeCell ref="L13:L20"/>
    <mergeCell ref="L4:L12"/>
    <mergeCell ref="L2:L3"/>
    <mergeCell ref="B2:B3"/>
    <mergeCell ref="C2:D2"/>
    <mergeCell ref="E2:E3"/>
    <mergeCell ref="F2:F3"/>
    <mergeCell ref="G2:G3"/>
  </mergeCells>
  <pageMargins left="0.78749999999999998" right="0.78749999999999998" top="1.0249999999999999" bottom="1.0249999999999999" header="0.78749999999999998" footer="0.78749999999999998"/>
  <pageSetup orientation="portrait" horizontalDpi="300" verticalDpi="300" r:id="rId1"/>
  <headerFooter>
    <oddHeader>&amp;C&amp;A</oddHeader>
    <oddFooter>&amp;CPage 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V41"/>
  <sheetViews>
    <sheetView topLeftCell="B4" zoomScalePageLayoutView="60" workbookViewId="0">
      <selection activeCell="S2" sqref="S2:V41"/>
    </sheetView>
  </sheetViews>
  <sheetFormatPr defaultRowHeight="13.2" x14ac:dyDescent="0.25"/>
  <cols>
    <col min="1" max="2" width="11.6640625" customWidth="1"/>
    <col min="3" max="3" width="12.109375" customWidth="1"/>
    <col min="4" max="4" width="12.33203125" customWidth="1"/>
    <col min="5" max="6" width="11.6640625" customWidth="1"/>
    <col min="7" max="7" width="15.5546875" customWidth="1"/>
    <col min="8" max="8" width="17.6640625" customWidth="1"/>
    <col min="9" max="9" width="15" customWidth="1"/>
    <col min="10" max="10" width="11.6640625" customWidth="1"/>
    <col min="11" max="11" width="17.6640625" customWidth="1"/>
    <col min="12" max="12" width="14" customWidth="1"/>
    <col min="13" max="16" width="11.6640625" customWidth="1"/>
    <col min="17" max="17" width="10.44140625" customWidth="1"/>
    <col min="18" max="256" width="11.6640625" customWidth="1"/>
    <col min="257" max="1025" width="11.5546875"/>
  </cols>
  <sheetData>
    <row r="1" spans="2:22" ht="13.8" thickBot="1" x14ac:dyDescent="0.3"/>
    <row r="2" spans="2:22" ht="13.95" customHeight="1" x14ac:dyDescent="0.25">
      <c r="B2" s="228" t="s">
        <v>0</v>
      </c>
      <c r="C2" s="229" t="s">
        <v>1</v>
      </c>
      <c r="D2" s="229"/>
      <c r="E2" s="222" t="s">
        <v>2</v>
      </c>
      <c r="F2" s="222" t="s">
        <v>3</v>
      </c>
      <c r="G2" s="229" t="s">
        <v>4</v>
      </c>
      <c r="H2" s="229" t="s">
        <v>5</v>
      </c>
      <c r="I2" s="222" t="s">
        <v>6</v>
      </c>
      <c r="J2" s="222" t="s">
        <v>7</v>
      </c>
      <c r="K2" s="222" t="s">
        <v>8</v>
      </c>
      <c r="L2" s="226" t="s">
        <v>9</v>
      </c>
      <c r="N2" s="236">
        <v>44287</v>
      </c>
      <c r="O2" s="237"/>
      <c r="P2" s="237"/>
      <c r="Q2" s="238"/>
      <c r="S2" s="236">
        <v>44774</v>
      </c>
      <c r="T2" s="237"/>
      <c r="U2" s="237"/>
      <c r="V2" s="238"/>
    </row>
    <row r="3" spans="2:22" ht="66" customHeight="1" x14ac:dyDescent="0.25">
      <c r="B3" s="228"/>
      <c r="C3" s="2" t="s">
        <v>10</v>
      </c>
      <c r="D3" s="1" t="s">
        <v>11</v>
      </c>
      <c r="E3" s="222"/>
      <c r="F3" s="222"/>
      <c r="G3" s="229"/>
      <c r="H3" s="229"/>
      <c r="I3" s="222"/>
      <c r="J3" s="222"/>
      <c r="K3" s="222"/>
      <c r="L3" s="248"/>
      <c r="N3" s="114" t="s">
        <v>138</v>
      </c>
      <c r="O3" s="115" t="s">
        <v>139</v>
      </c>
      <c r="P3" s="116"/>
      <c r="Q3" s="117"/>
      <c r="S3" s="114" t="s">
        <v>138</v>
      </c>
      <c r="T3" s="115" t="s">
        <v>139</v>
      </c>
      <c r="U3" s="116"/>
      <c r="V3" s="117"/>
    </row>
    <row r="4" spans="2:22" s="58" customFormat="1" ht="22.95" customHeight="1" x14ac:dyDescent="0.3">
      <c r="B4" s="81">
        <v>44287</v>
      </c>
      <c r="C4" s="77">
        <v>44274</v>
      </c>
      <c r="D4" s="78">
        <v>44305</v>
      </c>
      <c r="E4" s="146">
        <f>1442400*Q41</f>
        <v>819617.66491384292</v>
      </c>
      <c r="F4" s="72">
        <v>15580</v>
      </c>
      <c r="G4" s="72">
        <f t="shared" ref="G4:G16" si="0">E4-F4</f>
        <v>804037.66491384292</v>
      </c>
      <c r="H4" s="72">
        <v>1426820</v>
      </c>
      <c r="I4" s="80">
        <f t="shared" ref="I4:I16" si="1">G4/1000</f>
        <v>804.03766491384295</v>
      </c>
      <c r="J4" s="72">
        <v>0.98170000000000002</v>
      </c>
      <c r="K4" s="91">
        <f t="shared" ref="K4:K16" si="2">ROUNDDOWN(I4*J4,0)</f>
        <v>789</v>
      </c>
      <c r="L4" s="239">
        <f>ROUNDDOWN((SUM(K4:K12)),0)</f>
        <v>9706</v>
      </c>
      <c r="N4" s="149"/>
      <c r="O4" s="150"/>
      <c r="P4" s="151"/>
      <c r="Q4" s="151"/>
      <c r="S4" s="149"/>
      <c r="T4" s="150"/>
      <c r="U4" s="151"/>
      <c r="V4" s="151"/>
    </row>
    <row r="5" spans="2:22" s="58" customFormat="1" ht="14.4" x14ac:dyDescent="0.3">
      <c r="B5" s="81">
        <v>44317</v>
      </c>
      <c r="C5" s="77">
        <v>44305</v>
      </c>
      <c r="D5" s="78">
        <v>44335</v>
      </c>
      <c r="E5" s="72">
        <v>1274910</v>
      </c>
      <c r="F5" s="72">
        <v>12160</v>
      </c>
      <c r="G5" s="72">
        <f t="shared" si="0"/>
        <v>1262750</v>
      </c>
      <c r="H5" s="79">
        <v>1262750</v>
      </c>
      <c r="I5" s="80">
        <f t="shared" si="1"/>
        <v>1262.75</v>
      </c>
      <c r="J5" s="72">
        <v>0.98170000000000002</v>
      </c>
      <c r="K5" s="91">
        <f t="shared" si="2"/>
        <v>1239</v>
      </c>
      <c r="L5" s="239"/>
      <c r="M5" s="152">
        <f>L4</f>
        <v>9706</v>
      </c>
      <c r="N5" s="153">
        <v>44274</v>
      </c>
      <c r="O5" s="154">
        <v>90737.268101951267</v>
      </c>
      <c r="P5" s="155"/>
      <c r="Q5" s="155"/>
      <c r="S5" s="153">
        <v>44792</v>
      </c>
      <c r="T5" s="154">
        <v>18316.338915605316</v>
      </c>
      <c r="U5" s="155"/>
      <c r="V5" s="155"/>
    </row>
    <row r="6" spans="2:22" s="58" customFormat="1" ht="14.4" x14ac:dyDescent="0.3">
      <c r="B6" s="81">
        <v>44348</v>
      </c>
      <c r="C6" s="77">
        <v>44335</v>
      </c>
      <c r="D6" s="78">
        <v>44366</v>
      </c>
      <c r="E6" s="79">
        <v>1268470</v>
      </c>
      <c r="F6" s="79">
        <v>12610</v>
      </c>
      <c r="G6" s="72">
        <f t="shared" si="0"/>
        <v>1255860</v>
      </c>
      <c r="H6" s="79">
        <v>1426820</v>
      </c>
      <c r="I6" s="80">
        <f t="shared" si="1"/>
        <v>1255.8599999999999</v>
      </c>
      <c r="J6" s="72">
        <v>0.98170000000000002</v>
      </c>
      <c r="K6" s="91">
        <f t="shared" si="2"/>
        <v>1232</v>
      </c>
      <c r="L6" s="239"/>
      <c r="N6" s="153">
        <v>44275</v>
      </c>
      <c r="O6" s="154">
        <v>5250.243633134528</v>
      </c>
      <c r="P6" s="121"/>
      <c r="Q6" s="155"/>
      <c r="S6" s="153">
        <v>44793</v>
      </c>
      <c r="T6" s="154">
        <v>12775.455238866247</v>
      </c>
      <c r="U6" s="121"/>
      <c r="V6" s="155"/>
    </row>
    <row r="7" spans="2:22" s="58" customFormat="1" ht="14.4" x14ac:dyDescent="0.3">
      <c r="B7" s="81">
        <v>44378</v>
      </c>
      <c r="C7" s="77">
        <v>44366</v>
      </c>
      <c r="D7" s="78">
        <v>44396</v>
      </c>
      <c r="E7" s="79">
        <v>977600</v>
      </c>
      <c r="F7" s="79">
        <v>11950</v>
      </c>
      <c r="G7" s="72">
        <f t="shared" si="0"/>
        <v>965650</v>
      </c>
      <c r="H7" s="79">
        <v>1255860</v>
      </c>
      <c r="I7" s="80">
        <f t="shared" si="1"/>
        <v>965.65</v>
      </c>
      <c r="J7" s="72">
        <v>0.98170000000000002</v>
      </c>
      <c r="K7" s="91">
        <f t="shared" si="2"/>
        <v>947</v>
      </c>
      <c r="L7" s="239"/>
      <c r="N7" s="153">
        <v>44276</v>
      </c>
      <c r="O7" s="154">
        <v>69147.856265045455</v>
      </c>
      <c r="P7" s="121"/>
      <c r="Q7" s="155"/>
      <c r="S7" s="153">
        <v>44794</v>
      </c>
      <c r="T7" s="154">
        <v>35882.427303828794</v>
      </c>
      <c r="U7" s="121"/>
      <c r="V7" s="155"/>
    </row>
    <row r="8" spans="2:22" s="58" customFormat="1" ht="14.4" x14ac:dyDescent="0.3">
      <c r="B8" s="81">
        <v>44409</v>
      </c>
      <c r="C8" s="77">
        <v>44396</v>
      </c>
      <c r="D8" s="78">
        <v>44427</v>
      </c>
      <c r="E8" s="79">
        <v>1073230</v>
      </c>
      <c r="F8" s="79">
        <v>13440</v>
      </c>
      <c r="G8" s="72">
        <f t="shared" si="0"/>
        <v>1059790</v>
      </c>
      <c r="H8" s="79">
        <v>1059790</v>
      </c>
      <c r="I8" s="80">
        <f t="shared" si="1"/>
        <v>1059.79</v>
      </c>
      <c r="J8" s="72">
        <v>0.98170000000000002</v>
      </c>
      <c r="K8" s="91">
        <f t="shared" si="2"/>
        <v>1040</v>
      </c>
      <c r="L8" s="239"/>
      <c r="N8" s="153">
        <v>44277</v>
      </c>
      <c r="O8" s="154">
        <v>6024.9788115231413</v>
      </c>
      <c r="P8" s="121"/>
      <c r="Q8" s="155"/>
      <c r="S8" s="153">
        <v>44795</v>
      </c>
      <c r="T8" s="154">
        <v>55463.576496383583</v>
      </c>
      <c r="U8" s="121"/>
      <c r="V8" s="155"/>
    </row>
    <row r="9" spans="2:22" s="58" customFormat="1" ht="14.4" x14ac:dyDescent="0.3">
      <c r="B9" s="81">
        <v>44440</v>
      </c>
      <c r="C9" s="77">
        <v>44427</v>
      </c>
      <c r="D9" s="78">
        <v>44458</v>
      </c>
      <c r="E9" s="79">
        <v>1113180</v>
      </c>
      <c r="F9" s="79">
        <v>13730</v>
      </c>
      <c r="G9" s="72">
        <f t="shared" si="0"/>
        <v>1099450</v>
      </c>
      <c r="H9" s="79">
        <v>1099450</v>
      </c>
      <c r="I9" s="80">
        <f t="shared" si="1"/>
        <v>1099.45</v>
      </c>
      <c r="J9" s="72">
        <v>0.98170000000000002</v>
      </c>
      <c r="K9" s="91">
        <f t="shared" si="2"/>
        <v>1079</v>
      </c>
      <c r="L9" s="239"/>
      <c r="N9" s="153">
        <v>44278</v>
      </c>
      <c r="O9" s="154">
        <v>91960.994854538541</v>
      </c>
      <c r="P9" s="121"/>
      <c r="Q9" s="155"/>
      <c r="S9" s="153">
        <v>44796</v>
      </c>
      <c r="T9" s="154">
        <v>65286.097774779373</v>
      </c>
      <c r="U9" s="121"/>
      <c r="V9" s="155"/>
    </row>
    <row r="10" spans="2:22" s="58" customFormat="1" ht="14.4" x14ac:dyDescent="0.3">
      <c r="B10" s="81">
        <v>44470</v>
      </c>
      <c r="C10" s="77">
        <v>44458</v>
      </c>
      <c r="D10" s="78">
        <v>44488</v>
      </c>
      <c r="E10" s="79">
        <v>1168650</v>
      </c>
      <c r="F10" s="79">
        <v>13150</v>
      </c>
      <c r="G10" s="72">
        <f t="shared" si="0"/>
        <v>1155500</v>
      </c>
      <c r="H10" s="70">
        <v>1155500</v>
      </c>
      <c r="I10" s="80">
        <f t="shared" si="1"/>
        <v>1155.5</v>
      </c>
      <c r="J10" s="72">
        <v>0.98170000000000002</v>
      </c>
      <c r="K10" s="91">
        <f t="shared" si="2"/>
        <v>1134</v>
      </c>
      <c r="L10" s="239"/>
      <c r="N10" s="153">
        <v>44279</v>
      </c>
      <c r="O10" s="154">
        <v>82034.173831190332</v>
      </c>
      <c r="P10" s="121"/>
      <c r="Q10" s="155"/>
      <c r="S10" s="153">
        <v>44797</v>
      </c>
      <c r="T10" s="154">
        <v>11318.317013148095</v>
      </c>
      <c r="U10" s="121"/>
      <c r="V10" s="155"/>
    </row>
    <row r="11" spans="2:22" s="58" customFormat="1" ht="14.4" x14ac:dyDescent="0.3">
      <c r="B11" s="81">
        <v>44501</v>
      </c>
      <c r="C11" s="77">
        <v>44488</v>
      </c>
      <c r="D11" s="78">
        <v>44519</v>
      </c>
      <c r="E11" s="79">
        <v>1152320</v>
      </c>
      <c r="F11" s="79">
        <v>13840</v>
      </c>
      <c r="G11" s="72">
        <f t="shared" si="0"/>
        <v>1138480</v>
      </c>
      <c r="H11" s="79">
        <v>1138480</v>
      </c>
      <c r="I11" s="80">
        <f t="shared" si="1"/>
        <v>1138.48</v>
      </c>
      <c r="J11" s="72">
        <v>0.98170000000000002</v>
      </c>
      <c r="K11" s="91">
        <f t="shared" si="2"/>
        <v>1117</v>
      </c>
      <c r="L11" s="239"/>
      <c r="N11" s="153">
        <v>44280</v>
      </c>
      <c r="O11" s="154">
        <v>64744.003492227101</v>
      </c>
      <c r="P11" s="121"/>
      <c r="Q11" s="155"/>
      <c r="S11" s="153">
        <v>44798</v>
      </c>
      <c r="T11" s="154">
        <v>28045.72656368859</v>
      </c>
      <c r="U11" s="121"/>
      <c r="V11" s="155"/>
    </row>
    <row r="12" spans="2:22" s="58" customFormat="1" ht="14.4" x14ac:dyDescent="0.3">
      <c r="B12" s="81">
        <v>44531</v>
      </c>
      <c r="C12" s="77">
        <v>44519</v>
      </c>
      <c r="D12" s="78">
        <v>44549</v>
      </c>
      <c r="E12" s="79">
        <v>1164050</v>
      </c>
      <c r="F12" s="79">
        <v>13200</v>
      </c>
      <c r="G12" s="72">
        <f t="shared" si="0"/>
        <v>1150850</v>
      </c>
      <c r="H12" s="79">
        <v>1150850</v>
      </c>
      <c r="I12" s="80">
        <f t="shared" si="1"/>
        <v>1150.8499999999999</v>
      </c>
      <c r="J12" s="72">
        <v>0.98170000000000002</v>
      </c>
      <c r="K12" s="91">
        <f t="shared" si="2"/>
        <v>1129</v>
      </c>
      <c r="L12" s="239"/>
      <c r="N12" s="153">
        <v>44281</v>
      </c>
      <c r="O12" s="154">
        <v>52789.859547043423</v>
      </c>
      <c r="P12" s="121"/>
      <c r="Q12" s="155"/>
      <c r="S12" s="153">
        <v>44799</v>
      </c>
      <c r="T12" s="154">
        <v>49148.54157300837</v>
      </c>
      <c r="U12" s="121"/>
      <c r="V12" s="155"/>
    </row>
    <row r="13" spans="2:22" s="58" customFormat="1" ht="14.4" x14ac:dyDescent="0.3">
      <c r="B13" s="81">
        <v>44562</v>
      </c>
      <c r="C13" s="77">
        <v>44549</v>
      </c>
      <c r="D13" s="78">
        <v>44580</v>
      </c>
      <c r="E13" s="79">
        <v>1017340</v>
      </c>
      <c r="F13" s="79">
        <v>12770</v>
      </c>
      <c r="G13" s="72">
        <f t="shared" si="0"/>
        <v>1004570</v>
      </c>
      <c r="H13" s="79">
        <v>1004570</v>
      </c>
      <c r="I13" s="80">
        <f t="shared" si="1"/>
        <v>1004.57</v>
      </c>
      <c r="J13" s="72">
        <v>0.98170000000000002</v>
      </c>
      <c r="K13" s="91">
        <f t="shared" si="2"/>
        <v>986</v>
      </c>
      <c r="L13" s="239"/>
      <c r="N13" s="153">
        <v>44282</v>
      </c>
      <c r="O13" s="154">
        <v>26119.423229000549</v>
      </c>
      <c r="P13" s="121"/>
      <c r="Q13" s="155"/>
      <c r="S13" s="153">
        <v>44800</v>
      </c>
      <c r="T13" s="154">
        <v>49309.891647837372</v>
      </c>
      <c r="U13" s="121"/>
      <c r="V13" s="155"/>
    </row>
    <row r="14" spans="2:22" s="58" customFormat="1" ht="14.4" x14ac:dyDescent="0.3">
      <c r="B14" s="81">
        <v>44593</v>
      </c>
      <c r="C14" s="77">
        <v>44580</v>
      </c>
      <c r="D14" s="78">
        <v>44611</v>
      </c>
      <c r="E14" s="79">
        <v>1520220</v>
      </c>
      <c r="F14" s="79">
        <v>13100</v>
      </c>
      <c r="G14" s="72">
        <f t="shared" si="0"/>
        <v>1507120</v>
      </c>
      <c r="H14" s="79">
        <v>1507120</v>
      </c>
      <c r="I14" s="80">
        <f t="shared" si="1"/>
        <v>1507.12</v>
      </c>
      <c r="J14" s="72">
        <v>0.98170000000000002</v>
      </c>
      <c r="K14" s="91">
        <f t="shared" si="2"/>
        <v>1479</v>
      </c>
      <c r="L14" s="249">
        <f>ROUNDDOWN((SUM(K13:K20)),0)</f>
        <v>9156</v>
      </c>
      <c r="M14" s="152">
        <f>L14</f>
        <v>9156</v>
      </c>
      <c r="N14" s="153">
        <v>44283</v>
      </c>
      <c r="O14" s="154">
        <v>52757.130299894161</v>
      </c>
      <c r="P14" s="121"/>
      <c r="Q14" s="155"/>
      <c r="S14" s="153">
        <v>44801</v>
      </c>
      <c r="T14" s="154">
        <v>9975.4694709985306</v>
      </c>
      <c r="U14" s="121"/>
      <c r="V14" s="155"/>
    </row>
    <row r="15" spans="2:22" s="58" customFormat="1" ht="14.4" x14ac:dyDescent="0.3">
      <c r="B15" s="81">
        <v>44621</v>
      </c>
      <c r="C15" s="77">
        <v>44611</v>
      </c>
      <c r="D15" s="78">
        <v>44639</v>
      </c>
      <c r="E15" s="79">
        <v>1414600</v>
      </c>
      <c r="F15" s="79">
        <v>10900</v>
      </c>
      <c r="G15" s="72">
        <f t="shared" si="0"/>
        <v>1403700</v>
      </c>
      <c r="H15" s="79">
        <v>1403700</v>
      </c>
      <c r="I15" s="80">
        <f t="shared" si="1"/>
        <v>1403.7</v>
      </c>
      <c r="J15" s="72">
        <v>0.98170000000000002</v>
      </c>
      <c r="K15" s="91">
        <f t="shared" si="2"/>
        <v>1378</v>
      </c>
      <c r="L15" s="249"/>
      <c r="N15" s="153">
        <v>44284</v>
      </c>
      <c r="O15" s="154">
        <v>15394.667128989811</v>
      </c>
      <c r="P15" s="155"/>
      <c r="Q15" s="155"/>
      <c r="S15" s="153">
        <v>44802</v>
      </c>
      <c r="T15" s="154">
        <v>61669.190387317307</v>
      </c>
      <c r="U15" s="155"/>
      <c r="V15" s="155"/>
    </row>
    <row r="16" spans="2:22" s="58" customFormat="1" ht="14.4" x14ac:dyDescent="0.3">
      <c r="B16" s="81">
        <v>44652</v>
      </c>
      <c r="C16" s="77">
        <v>44639</v>
      </c>
      <c r="D16" s="78">
        <v>44670</v>
      </c>
      <c r="E16" s="70">
        <v>1433000</v>
      </c>
      <c r="F16" s="70">
        <v>11540</v>
      </c>
      <c r="G16" s="72">
        <f t="shared" si="0"/>
        <v>1421460</v>
      </c>
      <c r="H16" s="79">
        <v>1421460</v>
      </c>
      <c r="I16" s="80">
        <f t="shared" si="1"/>
        <v>1421.46</v>
      </c>
      <c r="J16" s="72">
        <v>0.98170000000000002</v>
      </c>
      <c r="K16" s="91">
        <f t="shared" si="2"/>
        <v>1395</v>
      </c>
      <c r="L16" s="249"/>
      <c r="N16" s="153">
        <v>44285</v>
      </c>
      <c r="O16" s="157">
        <v>27588.015053864281</v>
      </c>
      <c r="P16" s="151"/>
      <c r="Q16" s="158"/>
      <c r="S16" s="153">
        <v>44803</v>
      </c>
      <c r="T16" s="157">
        <v>61726.129705954838</v>
      </c>
      <c r="U16" s="151"/>
      <c r="V16" s="158"/>
    </row>
    <row r="17" spans="2:22" s="58" customFormat="1" ht="14.4" x14ac:dyDescent="0.3">
      <c r="B17" s="81">
        <v>44682</v>
      </c>
      <c r="C17" s="77">
        <v>44670</v>
      </c>
      <c r="D17" s="78">
        <v>44700</v>
      </c>
      <c r="E17" s="79">
        <v>1311750</v>
      </c>
      <c r="F17" s="79">
        <v>11010</v>
      </c>
      <c r="G17" s="72">
        <f t="shared" ref="G17:G21" si="3">E17-F17</f>
        <v>1300740</v>
      </c>
      <c r="H17" s="79">
        <v>1300740</v>
      </c>
      <c r="I17" s="80">
        <f t="shared" ref="I17:I21" si="4">G17/1000</f>
        <v>1300.74</v>
      </c>
      <c r="J17" s="72">
        <v>0.98170000000000002</v>
      </c>
      <c r="K17" s="91">
        <f t="shared" ref="K17:K21" si="5">ROUNDDOWN(I17*J17,0)</f>
        <v>1276</v>
      </c>
      <c r="L17" s="249"/>
      <c r="N17" s="153">
        <v>44286</v>
      </c>
      <c r="O17" s="157">
        <v>38479.82866567991</v>
      </c>
      <c r="P17" s="151"/>
      <c r="Q17" s="158"/>
      <c r="S17" s="153">
        <v>44804</v>
      </c>
      <c r="T17" s="157">
        <v>55619.076016568244</v>
      </c>
      <c r="U17" s="151"/>
      <c r="V17" s="158"/>
    </row>
    <row r="18" spans="2:22" s="58" customFormat="1" ht="14.4" x14ac:dyDescent="0.3">
      <c r="B18" s="81">
        <v>44713</v>
      </c>
      <c r="C18" s="77">
        <v>44700</v>
      </c>
      <c r="D18" s="78">
        <v>44731</v>
      </c>
      <c r="E18" s="90">
        <v>1403980</v>
      </c>
      <c r="F18" s="79">
        <v>12040</v>
      </c>
      <c r="G18" s="72">
        <f t="shared" si="3"/>
        <v>1391940</v>
      </c>
      <c r="H18" s="70">
        <v>1391940</v>
      </c>
      <c r="I18" s="80">
        <f t="shared" si="4"/>
        <v>1391.94</v>
      </c>
      <c r="J18" s="72">
        <v>0.98170000000000002</v>
      </c>
      <c r="K18" s="91">
        <f t="shared" si="5"/>
        <v>1366</v>
      </c>
      <c r="L18" s="249"/>
      <c r="N18" s="153">
        <v>44287</v>
      </c>
      <c r="O18" s="157">
        <v>86711.471283669744</v>
      </c>
      <c r="P18" s="151"/>
      <c r="Q18" s="158"/>
      <c r="S18" s="153">
        <v>44805</v>
      </c>
      <c r="T18" s="157">
        <v>51613.616734849813</v>
      </c>
      <c r="U18" s="151"/>
      <c r="V18" s="158"/>
    </row>
    <row r="19" spans="2:22" s="58" customFormat="1" ht="14.4" x14ac:dyDescent="0.3">
      <c r="B19" s="81">
        <v>44743</v>
      </c>
      <c r="C19" s="77">
        <v>44731</v>
      </c>
      <c r="D19" s="78">
        <v>44761</v>
      </c>
      <c r="E19" s="70">
        <v>866600</v>
      </c>
      <c r="F19" s="70">
        <v>12110</v>
      </c>
      <c r="G19" s="72">
        <f t="shared" si="3"/>
        <v>854490</v>
      </c>
      <c r="H19" s="79">
        <v>854490</v>
      </c>
      <c r="I19" s="80">
        <f t="shared" si="4"/>
        <v>854.49</v>
      </c>
      <c r="J19" s="72">
        <v>0.98170000000000002</v>
      </c>
      <c r="K19" s="91">
        <f t="shared" si="5"/>
        <v>838</v>
      </c>
      <c r="L19" s="249"/>
      <c r="N19" s="153">
        <v>44288</v>
      </c>
      <c r="O19" s="157">
        <v>85782.702697213303</v>
      </c>
      <c r="P19" s="151"/>
      <c r="Q19" s="158"/>
      <c r="S19" s="153">
        <v>44806</v>
      </c>
      <c r="T19" s="157">
        <v>65128.164128730547</v>
      </c>
      <c r="U19" s="151"/>
      <c r="V19" s="158"/>
    </row>
    <row r="20" spans="2:22" s="58" customFormat="1" ht="14.4" x14ac:dyDescent="0.3">
      <c r="B20" s="81">
        <v>44774</v>
      </c>
      <c r="C20" s="77">
        <v>44761</v>
      </c>
      <c r="D20" s="78">
        <v>44792</v>
      </c>
      <c r="E20" s="161">
        <f>1102110*V41</f>
        <v>459164.20476785424</v>
      </c>
      <c r="F20" s="70">
        <v>12960</v>
      </c>
      <c r="G20" s="72">
        <f t="shared" si="3"/>
        <v>446204.20476785424</v>
      </c>
      <c r="H20" s="79">
        <v>1089150</v>
      </c>
      <c r="I20" s="80">
        <f t="shared" si="4"/>
        <v>446.20420476785426</v>
      </c>
      <c r="J20" s="72">
        <v>0.98170000000000002</v>
      </c>
      <c r="K20" s="91">
        <f t="shared" si="5"/>
        <v>438</v>
      </c>
      <c r="L20" s="249"/>
      <c r="N20" s="153">
        <v>44289</v>
      </c>
      <c r="O20" s="157">
        <v>45655.957671157354</v>
      </c>
      <c r="P20" s="151"/>
      <c r="Q20" s="158"/>
      <c r="S20" s="153">
        <v>44807</v>
      </c>
      <c r="T20" s="157">
        <v>65829.840058250164</v>
      </c>
      <c r="U20" s="151"/>
      <c r="V20" s="158"/>
    </row>
    <row r="21" spans="2:22" s="58" customFormat="1" ht="15" thickBot="1" x14ac:dyDescent="0.35">
      <c r="B21" s="81">
        <v>44805</v>
      </c>
      <c r="C21" s="78">
        <v>44792</v>
      </c>
      <c r="D21" s="78">
        <v>44823</v>
      </c>
      <c r="E21" s="167">
        <f>1227460*V41</f>
        <v>511387.87850972259</v>
      </c>
      <c r="F21" s="166">
        <v>13610</v>
      </c>
      <c r="G21" s="72">
        <f t="shared" si="3"/>
        <v>497777.87850972259</v>
      </c>
      <c r="H21" s="159">
        <v>1213850</v>
      </c>
      <c r="I21" s="80">
        <f t="shared" si="4"/>
        <v>497.7778785097226</v>
      </c>
      <c r="J21" s="72">
        <v>0.98170000000000002</v>
      </c>
      <c r="K21" s="91">
        <f t="shared" si="5"/>
        <v>488</v>
      </c>
      <c r="L21" s="250"/>
      <c r="N21" s="153">
        <v>44290</v>
      </c>
      <c r="O21" s="157">
        <v>11311.989584566794</v>
      </c>
      <c r="P21" s="151"/>
      <c r="Q21" s="158"/>
      <c r="S21" s="153">
        <v>44808</v>
      </c>
      <c r="T21" s="157">
        <v>35174.63519288948</v>
      </c>
      <c r="U21" s="151"/>
      <c r="V21" s="158"/>
    </row>
    <row r="22" spans="2:22" ht="14.4" x14ac:dyDescent="0.3">
      <c r="B22" s="218" t="s">
        <v>12</v>
      </c>
      <c r="C22" s="218"/>
      <c r="D22" s="218"/>
      <c r="E22" s="6"/>
      <c r="F22" s="6"/>
      <c r="G22" s="6">
        <f>ROUNDDOWN((SUM(G4:G20)),0)</f>
        <v>19222591</v>
      </c>
      <c r="H22" s="6">
        <f>ROUNDDOWN((SUM(H4:H20)),0)</f>
        <v>20949490</v>
      </c>
      <c r="I22" s="6">
        <f>ROUNDDOWN((SUM(I4:I20)),0)</f>
        <v>19222</v>
      </c>
      <c r="J22" s="6"/>
      <c r="K22" s="6">
        <f>ROUNDDOWN((SUM(K4:K20)),0)</f>
        <v>18862</v>
      </c>
      <c r="L22" s="76">
        <f>L4+L14</f>
        <v>18862</v>
      </c>
      <c r="N22" s="118">
        <v>44291</v>
      </c>
      <c r="O22" s="122">
        <v>64626.637692165335</v>
      </c>
      <c r="P22" s="116"/>
      <c r="Q22" s="117"/>
      <c r="S22" s="118">
        <v>44809</v>
      </c>
      <c r="T22" s="122">
        <v>1174.4759462930258</v>
      </c>
      <c r="U22" s="116"/>
      <c r="V22" s="117"/>
    </row>
    <row r="23" spans="2:22" x14ac:dyDescent="0.25">
      <c r="N23" s="118">
        <v>44292</v>
      </c>
      <c r="O23" s="122">
        <v>5902.2554684650631</v>
      </c>
      <c r="P23" s="116"/>
      <c r="Q23" s="117"/>
      <c r="S23" s="118">
        <v>44810</v>
      </c>
      <c r="T23" s="122">
        <v>40544.093604742666</v>
      </c>
      <c r="U23" s="116"/>
      <c r="V23" s="117"/>
    </row>
    <row r="24" spans="2:22" x14ac:dyDescent="0.25">
      <c r="N24" s="118">
        <v>44293</v>
      </c>
      <c r="O24" s="122">
        <v>9598.0307600738688</v>
      </c>
      <c r="P24" s="116"/>
      <c r="Q24" s="117"/>
      <c r="S24" s="118">
        <v>44811</v>
      </c>
      <c r="T24" s="122">
        <v>39127.230930419471</v>
      </c>
      <c r="U24" s="116"/>
      <c r="V24" s="117"/>
    </row>
    <row r="25" spans="2:22" x14ac:dyDescent="0.25">
      <c r="N25" s="118">
        <v>44294</v>
      </c>
      <c r="O25" s="122">
        <v>53534.922112861081</v>
      </c>
      <c r="P25" s="116"/>
      <c r="Q25" s="117"/>
      <c r="S25" s="118">
        <v>44812</v>
      </c>
      <c r="T25" s="122">
        <v>44154.027955951329</v>
      </c>
      <c r="U25" s="116"/>
      <c r="V25" s="117"/>
    </row>
    <row r="26" spans="2:22" x14ac:dyDescent="0.25">
      <c r="N26" s="118">
        <v>44295</v>
      </c>
      <c r="O26" s="122">
        <v>29311.905770867521</v>
      </c>
      <c r="P26" s="116"/>
      <c r="Q26" s="117"/>
      <c r="S26" s="118">
        <v>44813</v>
      </c>
      <c r="T26" s="122">
        <v>67843.632983704971</v>
      </c>
      <c r="U26" s="116"/>
      <c r="V26" s="117"/>
    </row>
    <row r="27" spans="2:22" x14ac:dyDescent="0.25">
      <c r="N27" s="118">
        <v>44296</v>
      </c>
      <c r="O27" s="122">
        <v>43366.213084858238</v>
      </c>
      <c r="P27" s="116"/>
      <c r="Q27" s="117"/>
      <c r="S27" s="118">
        <v>44814</v>
      </c>
      <c r="T27" s="122">
        <v>3677.4301085329921</v>
      </c>
      <c r="U27" s="116"/>
      <c r="V27" s="117"/>
    </row>
    <row r="28" spans="2:22" x14ac:dyDescent="0.25">
      <c r="N28" s="118">
        <v>44297</v>
      </c>
      <c r="O28" s="122">
        <v>87735.492042780315</v>
      </c>
      <c r="P28" s="116"/>
      <c r="Q28" s="117"/>
      <c r="S28" s="118">
        <v>44815</v>
      </c>
      <c r="T28" s="122">
        <v>17340.800614364995</v>
      </c>
      <c r="U28" s="116"/>
      <c r="V28" s="117"/>
    </row>
    <row r="29" spans="2:22" x14ac:dyDescent="0.25">
      <c r="N29" s="118">
        <v>44298</v>
      </c>
      <c r="O29" s="122">
        <v>71352.605556804338</v>
      </c>
      <c r="P29" s="116"/>
      <c r="Q29" s="117"/>
      <c r="S29" s="118">
        <v>44816</v>
      </c>
      <c r="T29" s="122">
        <v>7545.4206252217809</v>
      </c>
      <c r="U29" s="116"/>
      <c r="V29" s="117"/>
    </row>
    <row r="30" spans="2:22" x14ac:dyDescent="0.25">
      <c r="N30" s="118">
        <v>44299</v>
      </c>
      <c r="O30" s="122">
        <v>3485.4169225380929</v>
      </c>
      <c r="P30" s="116"/>
      <c r="Q30" s="117"/>
      <c r="S30" s="118">
        <v>44817</v>
      </c>
      <c r="T30" s="122">
        <v>29806.763646945055</v>
      </c>
      <c r="U30" s="116"/>
      <c r="V30" s="117"/>
    </row>
    <row r="31" spans="2:22" x14ac:dyDescent="0.25">
      <c r="N31" s="118">
        <v>44300</v>
      </c>
      <c r="O31" s="122">
        <v>71954.908447420486</v>
      </c>
      <c r="P31" s="116"/>
      <c r="Q31" s="117"/>
      <c r="S31" s="118">
        <v>44818</v>
      </c>
      <c r="T31" s="122">
        <v>45149.080802682118</v>
      </c>
      <c r="U31" s="116"/>
      <c r="V31" s="117"/>
    </row>
    <row r="32" spans="2:22" x14ac:dyDescent="0.25">
      <c r="N32" s="118">
        <v>44301</v>
      </c>
      <c r="O32" s="122">
        <v>6081.6228119963516</v>
      </c>
      <c r="P32" s="116"/>
      <c r="Q32" s="117"/>
      <c r="S32" s="118">
        <v>44819</v>
      </c>
      <c r="T32" s="122">
        <v>72640.983862177891</v>
      </c>
      <c r="U32" s="116"/>
      <c r="V32" s="117"/>
    </row>
    <row r="33" spans="14:22" x14ac:dyDescent="0.25">
      <c r="N33" s="118">
        <v>44302</v>
      </c>
      <c r="O33" s="122">
        <v>2076.8646682870294</v>
      </c>
      <c r="P33" s="116"/>
      <c r="Q33" s="117"/>
      <c r="S33" s="118">
        <v>44820</v>
      </c>
      <c r="T33" s="122">
        <v>57456.506676834651</v>
      </c>
      <c r="U33" s="116"/>
      <c r="V33" s="117"/>
    </row>
    <row r="34" spans="14:22" x14ac:dyDescent="0.25">
      <c r="N34" s="118">
        <v>44303</v>
      </c>
      <c r="O34" s="122">
        <v>64552.347036330517</v>
      </c>
      <c r="P34" s="116"/>
      <c r="Q34" s="117"/>
      <c r="S34" s="118">
        <v>44821</v>
      </c>
      <c r="T34" s="122">
        <v>43117.915807576777</v>
      </c>
      <c r="U34" s="116"/>
      <c r="V34" s="117"/>
    </row>
    <row r="35" spans="14:22" x14ac:dyDescent="0.25">
      <c r="N35" s="118">
        <v>44304</v>
      </c>
      <c r="O35" s="122">
        <v>66830.213473862605</v>
      </c>
      <c r="P35" s="116"/>
      <c r="Q35" s="117"/>
      <c r="S35" s="118">
        <v>44822</v>
      </c>
      <c r="T35" s="122">
        <v>13000</v>
      </c>
      <c r="U35" s="116"/>
      <c r="V35" s="117"/>
    </row>
    <row r="36" spans="14:22" x14ac:dyDescent="0.25">
      <c r="N36" s="118">
        <v>44305</v>
      </c>
      <c r="O36" s="122">
        <v>10070</v>
      </c>
      <c r="P36" s="116"/>
      <c r="Q36" s="117"/>
      <c r="S36" s="118">
        <v>44823</v>
      </c>
      <c r="T36" s="122">
        <v>20156</v>
      </c>
      <c r="U36" s="116"/>
      <c r="V36" s="117"/>
    </row>
    <row r="37" spans="14:22" x14ac:dyDescent="0.25">
      <c r="N37" s="123" t="s">
        <v>140</v>
      </c>
      <c r="O37" s="124">
        <f>SUM(O5:O36)</f>
        <v>1442970.0000000005</v>
      </c>
      <c r="P37" s="116"/>
      <c r="Q37" s="117"/>
      <c r="S37" s="123" t="s">
        <v>140</v>
      </c>
      <c r="T37" s="124">
        <f>SUM(T5:T36)</f>
        <v>1235016.8577881521</v>
      </c>
      <c r="U37" s="116"/>
      <c r="V37" s="117"/>
    </row>
    <row r="38" spans="14:22" ht="13.8" thickBot="1" x14ac:dyDescent="0.3">
      <c r="N38" s="125"/>
      <c r="O38" s="116"/>
      <c r="P38" s="116"/>
      <c r="Q38" s="117"/>
      <c r="S38" s="125"/>
      <c r="T38" s="116"/>
      <c r="U38" s="116"/>
      <c r="V38" s="117"/>
    </row>
    <row r="39" spans="14:22" x14ac:dyDescent="0.25">
      <c r="N39" s="127" t="s">
        <v>149</v>
      </c>
      <c r="O39" s="128"/>
      <c r="P39" s="129"/>
      <c r="Q39" s="120">
        <f>O37</f>
        <v>1442970.0000000005</v>
      </c>
      <c r="S39" s="127" t="s">
        <v>151</v>
      </c>
      <c r="T39" s="128"/>
      <c r="U39" s="129"/>
      <c r="V39" s="120">
        <f>T37</f>
        <v>1235016.8577881521</v>
      </c>
    </row>
    <row r="40" spans="14:22" x14ac:dyDescent="0.25">
      <c r="N40" s="130" t="s">
        <v>150</v>
      </c>
      <c r="O40" s="131"/>
      <c r="P40" s="132"/>
      <c r="Q40" s="120">
        <f>SUM(O18:O36)</f>
        <v>819941.55708591803</v>
      </c>
      <c r="S40" s="130" t="s">
        <v>152</v>
      </c>
      <c r="T40" s="131"/>
      <c r="U40" s="132"/>
      <c r="V40" s="120">
        <f>SUM(T5:T17)</f>
        <v>514536.23810798465</v>
      </c>
    </row>
    <row r="41" spans="14:22" ht="13.8" thickBot="1" x14ac:dyDescent="0.3">
      <c r="N41" s="133" t="s">
        <v>141</v>
      </c>
      <c r="O41" s="134"/>
      <c r="P41" s="135"/>
      <c r="Q41" s="126">
        <f>Q40/Q39</f>
        <v>0.5682318808332244</v>
      </c>
      <c r="S41" s="133" t="s">
        <v>141</v>
      </c>
      <c r="T41" s="134"/>
      <c r="U41" s="135"/>
      <c r="V41" s="126">
        <f>V40/V39</f>
        <v>0.41662284596624133</v>
      </c>
    </row>
  </sheetData>
  <mergeCells count="15">
    <mergeCell ref="N2:Q2"/>
    <mergeCell ref="S2:V2"/>
    <mergeCell ref="B22:D22"/>
    <mergeCell ref="H2:H3"/>
    <mergeCell ref="I2:I3"/>
    <mergeCell ref="J2:J3"/>
    <mergeCell ref="K2:K3"/>
    <mergeCell ref="L14:L21"/>
    <mergeCell ref="L2:L3"/>
    <mergeCell ref="B2:B3"/>
    <mergeCell ref="C2:D2"/>
    <mergeCell ref="E2:E3"/>
    <mergeCell ref="F2:F3"/>
    <mergeCell ref="G2:G3"/>
    <mergeCell ref="L4:L13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N93"/>
  <sheetViews>
    <sheetView topLeftCell="A64" zoomScale="80" zoomScaleNormal="80" zoomScalePageLayoutView="60" workbookViewId="0">
      <selection activeCell="P87" sqref="P87"/>
    </sheetView>
  </sheetViews>
  <sheetFormatPr defaultRowHeight="13.2" x14ac:dyDescent="0.25"/>
  <cols>
    <col min="1" max="3" width="11.6640625" style="58" customWidth="1"/>
    <col min="4" max="4" width="13.109375" style="58" customWidth="1"/>
    <col min="5" max="5" width="14.88671875" style="58" customWidth="1"/>
    <col min="6" max="6" width="15.44140625" style="58" customWidth="1"/>
    <col min="7" max="7" width="15.33203125" style="58" customWidth="1"/>
    <col min="8" max="8" width="15.5546875" style="58" customWidth="1"/>
    <col min="9" max="9" width="16.109375" style="58" customWidth="1"/>
    <col min="10" max="10" width="17.5546875" style="58" customWidth="1"/>
    <col min="11" max="11" width="17.88671875" style="58" customWidth="1"/>
    <col min="12" max="12" width="19" style="58" customWidth="1"/>
    <col min="13" max="13" width="17.5546875" style="58" customWidth="1"/>
    <col min="14" max="256" width="11.6640625" style="58" customWidth="1"/>
    <col min="257" max="1025" width="11.5546875" style="58"/>
    <col min="1026" max="16384" width="8.88671875" style="58"/>
  </cols>
  <sheetData>
    <row r="1" spans="2:14" ht="13.8" thickBot="1" x14ac:dyDescent="0.3"/>
    <row r="2" spans="2:14" ht="15" thickBot="1" x14ac:dyDescent="0.35">
      <c r="F2" s="259" t="s">
        <v>13</v>
      </c>
      <c r="G2" s="260"/>
      <c r="H2" s="260"/>
      <c r="I2" s="260"/>
      <c r="J2" s="261"/>
    </row>
    <row r="4" spans="2:14" ht="15" customHeight="1" x14ac:dyDescent="0.25">
      <c r="B4" s="256" t="s">
        <v>0</v>
      </c>
      <c r="C4" s="257" t="s">
        <v>1</v>
      </c>
      <c r="D4" s="257"/>
      <c r="E4" s="241" t="s">
        <v>2</v>
      </c>
      <c r="F4" s="241" t="s">
        <v>3</v>
      </c>
      <c r="G4" s="257" t="s">
        <v>14</v>
      </c>
      <c r="H4" s="257" t="s">
        <v>4</v>
      </c>
      <c r="I4" s="257" t="s">
        <v>5</v>
      </c>
      <c r="J4" s="241" t="s">
        <v>6</v>
      </c>
      <c r="K4" s="241" t="s">
        <v>7</v>
      </c>
      <c r="L4" s="241" t="s">
        <v>8</v>
      </c>
      <c r="M4" s="257" t="s">
        <v>9</v>
      </c>
    </row>
    <row r="5" spans="2:14" ht="33" customHeight="1" thickBot="1" x14ac:dyDescent="0.3">
      <c r="B5" s="256"/>
      <c r="C5" s="168" t="s">
        <v>10</v>
      </c>
      <c r="D5" s="168" t="s">
        <v>11</v>
      </c>
      <c r="E5" s="241"/>
      <c r="F5" s="241"/>
      <c r="G5" s="257"/>
      <c r="H5" s="257"/>
      <c r="I5" s="257"/>
      <c r="J5" s="241"/>
      <c r="K5" s="241"/>
      <c r="L5" s="241"/>
      <c r="M5" s="253"/>
    </row>
    <row r="6" spans="2:14" ht="14.4" x14ac:dyDescent="0.3">
      <c r="B6" s="81">
        <v>44287</v>
      </c>
      <c r="C6" s="96">
        <v>44287</v>
      </c>
      <c r="D6" s="96">
        <v>44317</v>
      </c>
      <c r="E6" s="169">
        <v>3112500</v>
      </c>
      <c r="F6" s="70">
        <v>19500</v>
      </c>
      <c r="G6" s="70">
        <f t="shared" ref="G6:G22" si="0">F6*1.15</f>
        <v>22425</v>
      </c>
      <c r="H6" s="70">
        <f t="shared" ref="H6:H22" si="1">E6-G6</f>
        <v>3090075</v>
      </c>
      <c r="I6" s="70">
        <v>3090075</v>
      </c>
      <c r="J6" s="97">
        <f t="shared" ref="J6:J22" si="2">H6/1000</f>
        <v>3090.0749999999998</v>
      </c>
      <c r="K6" s="70">
        <v>0.98170000000000002</v>
      </c>
      <c r="L6" s="170">
        <f t="shared" ref="L6:L22" si="3">ROUNDDOWN(J6*K6,0)</f>
        <v>3033</v>
      </c>
      <c r="M6" s="251">
        <f>ROUNDDOWN((SUM(L6:L14)),0)</f>
        <v>22570</v>
      </c>
      <c r="N6" s="152">
        <f>M6</f>
        <v>22570</v>
      </c>
    </row>
    <row r="7" spans="2:14" ht="14.4" x14ac:dyDescent="0.3">
      <c r="B7" s="81">
        <v>44317</v>
      </c>
      <c r="C7" s="96">
        <v>44317</v>
      </c>
      <c r="D7" s="96">
        <v>44348</v>
      </c>
      <c r="E7" s="79">
        <v>3028500</v>
      </c>
      <c r="F7" s="70">
        <v>19500</v>
      </c>
      <c r="G7" s="70">
        <f t="shared" si="0"/>
        <v>22425</v>
      </c>
      <c r="H7" s="70">
        <f t="shared" si="1"/>
        <v>3006075</v>
      </c>
      <c r="I7" s="79">
        <v>3006075</v>
      </c>
      <c r="J7" s="97">
        <f t="shared" si="2"/>
        <v>3006.0749999999998</v>
      </c>
      <c r="K7" s="70">
        <v>0.98170000000000002</v>
      </c>
      <c r="L7" s="170">
        <f t="shared" si="3"/>
        <v>2951</v>
      </c>
      <c r="M7" s="249"/>
    </row>
    <row r="8" spans="2:14" ht="14.4" x14ac:dyDescent="0.3">
      <c r="B8" s="81">
        <v>44348</v>
      </c>
      <c r="C8" s="96">
        <v>44348</v>
      </c>
      <c r="D8" s="96">
        <v>44378</v>
      </c>
      <c r="E8" s="79">
        <v>2502000</v>
      </c>
      <c r="F8" s="70">
        <v>19500</v>
      </c>
      <c r="G8" s="70">
        <f t="shared" si="0"/>
        <v>22425</v>
      </c>
      <c r="H8" s="70">
        <f t="shared" si="1"/>
        <v>2479575</v>
      </c>
      <c r="I8" s="79">
        <v>2479575</v>
      </c>
      <c r="J8" s="97">
        <f t="shared" si="2"/>
        <v>2479.5749999999998</v>
      </c>
      <c r="K8" s="70">
        <v>0.98170000000000002</v>
      </c>
      <c r="L8" s="170">
        <f t="shared" si="3"/>
        <v>2434</v>
      </c>
      <c r="M8" s="249"/>
    </row>
    <row r="9" spans="2:14" ht="14.4" x14ac:dyDescent="0.3">
      <c r="B9" s="81">
        <v>44378</v>
      </c>
      <c r="C9" s="96">
        <v>44378</v>
      </c>
      <c r="D9" s="96">
        <v>44409</v>
      </c>
      <c r="E9" s="79">
        <v>2200500</v>
      </c>
      <c r="F9" s="70">
        <v>19500</v>
      </c>
      <c r="G9" s="70">
        <f t="shared" si="0"/>
        <v>22425</v>
      </c>
      <c r="H9" s="70">
        <f t="shared" si="1"/>
        <v>2178075</v>
      </c>
      <c r="I9" s="79">
        <v>2178075</v>
      </c>
      <c r="J9" s="97">
        <f t="shared" si="2"/>
        <v>2178.0749999999998</v>
      </c>
      <c r="K9" s="70">
        <v>0.98170000000000002</v>
      </c>
      <c r="L9" s="170">
        <f t="shared" si="3"/>
        <v>2138</v>
      </c>
      <c r="M9" s="249"/>
    </row>
    <row r="10" spans="2:14" ht="14.4" x14ac:dyDescent="0.3">
      <c r="B10" s="81">
        <v>44409</v>
      </c>
      <c r="C10" s="96">
        <v>44409</v>
      </c>
      <c r="D10" s="96">
        <v>44440</v>
      </c>
      <c r="E10" s="79">
        <v>2566500</v>
      </c>
      <c r="F10" s="70">
        <v>19500</v>
      </c>
      <c r="G10" s="70">
        <f t="shared" si="0"/>
        <v>22425</v>
      </c>
      <c r="H10" s="70">
        <f t="shared" si="1"/>
        <v>2544075</v>
      </c>
      <c r="I10" s="79">
        <v>2544075</v>
      </c>
      <c r="J10" s="97">
        <f t="shared" si="2"/>
        <v>2544.0749999999998</v>
      </c>
      <c r="K10" s="70">
        <v>0.98170000000000002</v>
      </c>
      <c r="L10" s="170">
        <f t="shared" si="3"/>
        <v>2497</v>
      </c>
      <c r="M10" s="249"/>
    </row>
    <row r="11" spans="2:14" ht="14.4" x14ac:dyDescent="0.3">
      <c r="B11" s="81">
        <v>44440</v>
      </c>
      <c r="C11" s="96">
        <v>44440</v>
      </c>
      <c r="D11" s="96">
        <v>44469</v>
      </c>
      <c r="E11" s="79">
        <v>2197500</v>
      </c>
      <c r="F11" s="70">
        <v>19500</v>
      </c>
      <c r="G11" s="70">
        <f t="shared" si="0"/>
        <v>22425</v>
      </c>
      <c r="H11" s="70">
        <f t="shared" si="1"/>
        <v>2175075</v>
      </c>
      <c r="I11" s="79">
        <v>2175075</v>
      </c>
      <c r="J11" s="97">
        <f t="shared" si="2"/>
        <v>2175.0749999999998</v>
      </c>
      <c r="K11" s="70">
        <v>0.98170000000000002</v>
      </c>
      <c r="L11" s="170">
        <f t="shared" si="3"/>
        <v>2135</v>
      </c>
      <c r="M11" s="249"/>
    </row>
    <row r="12" spans="2:14" ht="14.4" x14ac:dyDescent="0.3">
      <c r="B12" s="81">
        <v>44470</v>
      </c>
      <c r="C12" s="96">
        <v>44470</v>
      </c>
      <c r="D12" s="96">
        <v>44500</v>
      </c>
      <c r="E12" s="79">
        <v>2728500</v>
      </c>
      <c r="F12" s="70">
        <v>19500</v>
      </c>
      <c r="G12" s="70">
        <f t="shared" si="0"/>
        <v>22425</v>
      </c>
      <c r="H12" s="70">
        <f t="shared" si="1"/>
        <v>2706075</v>
      </c>
      <c r="I12" s="79">
        <v>2706075</v>
      </c>
      <c r="J12" s="97">
        <f t="shared" si="2"/>
        <v>2706.0749999999998</v>
      </c>
      <c r="K12" s="70">
        <v>0.98170000000000002</v>
      </c>
      <c r="L12" s="170">
        <f t="shared" si="3"/>
        <v>2656</v>
      </c>
      <c r="M12" s="249"/>
    </row>
    <row r="13" spans="2:14" ht="14.4" x14ac:dyDescent="0.3">
      <c r="B13" s="81">
        <v>44501</v>
      </c>
      <c r="C13" s="96">
        <v>44501</v>
      </c>
      <c r="D13" s="96">
        <v>44530</v>
      </c>
      <c r="E13" s="79">
        <v>2185500</v>
      </c>
      <c r="F13" s="70">
        <v>21000</v>
      </c>
      <c r="G13" s="70">
        <f t="shared" si="0"/>
        <v>24149.999999999996</v>
      </c>
      <c r="H13" s="70">
        <f t="shared" si="1"/>
        <v>2161350</v>
      </c>
      <c r="I13" s="79">
        <v>2161350</v>
      </c>
      <c r="J13" s="97">
        <f t="shared" si="2"/>
        <v>2161.35</v>
      </c>
      <c r="K13" s="70">
        <v>0.98170000000000002</v>
      </c>
      <c r="L13" s="170">
        <f t="shared" si="3"/>
        <v>2121</v>
      </c>
      <c r="M13" s="249"/>
    </row>
    <row r="14" spans="2:14" ht="15" thickBot="1" x14ac:dyDescent="0.35">
      <c r="B14" s="81">
        <v>44531</v>
      </c>
      <c r="C14" s="96">
        <v>44531</v>
      </c>
      <c r="D14" s="96">
        <v>44561</v>
      </c>
      <c r="E14" s="79">
        <v>2676000</v>
      </c>
      <c r="F14" s="70">
        <v>19500</v>
      </c>
      <c r="G14" s="70">
        <f t="shared" si="0"/>
        <v>22425</v>
      </c>
      <c r="H14" s="70">
        <f t="shared" si="1"/>
        <v>2653575</v>
      </c>
      <c r="I14" s="79">
        <v>2653575</v>
      </c>
      <c r="J14" s="97">
        <f t="shared" si="2"/>
        <v>2653.5749999999998</v>
      </c>
      <c r="K14" s="70">
        <v>0.98170000000000002</v>
      </c>
      <c r="L14" s="170">
        <f t="shared" si="3"/>
        <v>2605</v>
      </c>
      <c r="M14" s="250"/>
    </row>
    <row r="15" spans="2:14" ht="14.4" x14ac:dyDescent="0.3">
      <c r="B15" s="81">
        <v>44562</v>
      </c>
      <c r="C15" s="96">
        <v>44562</v>
      </c>
      <c r="D15" s="96">
        <v>44592</v>
      </c>
      <c r="E15" s="79">
        <v>3183000</v>
      </c>
      <c r="F15" s="70">
        <v>21000</v>
      </c>
      <c r="G15" s="70">
        <f t="shared" si="0"/>
        <v>24149.999999999996</v>
      </c>
      <c r="H15" s="70">
        <f t="shared" si="1"/>
        <v>3158850</v>
      </c>
      <c r="I15" s="79">
        <v>3158850</v>
      </c>
      <c r="J15" s="97">
        <f t="shared" si="2"/>
        <v>3158.85</v>
      </c>
      <c r="K15" s="70">
        <v>0.98170000000000002</v>
      </c>
      <c r="L15" s="97">
        <f t="shared" si="3"/>
        <v>3101</v>
      </c>
      <c r="M15" s="242">
        <f>ROUNDDOWN((SUM(L15:L22)),0)</f>
        <v>21358</v>
      </c>
      <c r="N15" s="152">
        <f>M15</f>
        <v>21358</v>
      </c>
    </row>
    <row r="16" spans="2:14" ht="14.4" x14ac:dyDescent="0.3">
      <c r="B16" s="81">
        <v>44593</v>
      </c>
      <c r="C16" s="96">
        <v>44593</v>
      </c>
      <c r="D16" s="96">
        <v>44620</v>
      </c>
      <c r="E16" s="79">
        <v>3103500</v>
      </c>
      <c r="F16" s="70">
        <v>18000</v>
      </c>
      <c r="G16" s="70">
        <f t="shared" si="0"/>
        <v>20700</v>
      </c>
      <c r="H16" s="70">
        <f t="shared" si="1"/>
        <v>3082800</v>
      </c>
      <c r="I16" s="79">
        <v>3082800</v>
      </c>
      <c r="J16" s="97">
        <f t="shared" si="2"/>
        <v>3082.8</v>
      </c>
      <c r="K16" s="70">
        <v>0.98170000000000002</v>
      </c>
      <c r="L16" s="97">
        <f t="shared" si="3"/>
        <v>3026</v>
      </c>
      <c r="M16" s="242"/>
    </row>
    <row r="17" spans="2:14" ht="14.4" x14ac:dyDescent="0.3">
      <c r="B17" s="81">
        <v>44621</v>
      </c>
      <c r="C17" s="96">
        <v>44621</v>
      </c>
      <c r="D17" s="96">
        <v>44651</v>
      </c>
      <c r="E17" s="79">
        <v>3081000</v>
      </c>
      <c r="F17" s="70">
        <v>19500</v>
      </c>
      <c r="G17" s="70">
        <f t="shared" si="0"/>
        <v>22425</v>
      </c>
      <c r="H17" s="70">
        <f t="shared" si="1"/>
        <v>3058575</v>
      </c>
      <c r="I17" s="79">
        <v>3058575</v>
      </c>
      <c r="J17" s="97">
        <f t="shared" si="2"/>
        <v>3058.5749999999998</v>
      </c>
      <c r="K17" s="70">
        <v>0.98170000000000002</v>
      </c>
      <c r="L17" s="97">
        <f t="shared" si="3"/>
        <v>3002</v>
      </c>
      <c r="M17" s="242"/>
    </row>
    <row r="18" spans="2:14" ht="14.4" x14ac:dyDescent="0.3">
      <c r="B18" s="81">
        <v>44652</v>
      </c>
      <c r="C18" s="96">
        <v>44652</v>
      </c>
      <c r="D18" s="96">
        <v>44316</v>
      </c>
      <c r="E18" s="79">
        <v>2829000</v>
      </c>
      <c r="F18" s="70">
        <v>19500</v>
      </c>
      <c r="G18" s="70">
        <f t="shared" si="0"/>
        <v>22425</v>
      </c>
      <c r="H18" s="70">
        <f t="shared" si="1"/>
        <v>2806575</v>
      </c>
      <c r="I18" s="79">
        <v>2806575</v>
      </c>
      <c r="J18" s="97">
        <f t="shared" si="2"/>
        <v>2806.5749999999998</v>
      </c>
      <c r="K18" s="70">
        <v>0.98170000000000002</v>
      </c>
      <c r="L18" s="97">
        <f t="shared" si="3"/>
        <v>2755</v>
      </c>
      <c r="M18" s="242"/>
    </row>
    <row r="19" spans="2:14" ht="14.4" x14ac:dyDescent="0.3">
      <c r="B19" s="81">
        <v>44682</v>
      </c>
      <c r="C19" s="96">
        <v>44682</v>
      </c>
      <c r="D19" s="96">
        <v>44346</v>
      </c>
      <c r="E19" s="79">
        <v>2698500</v>
      </c>
      <c r="F19" s="70">
        <v>19500</v>
      </c>
      <c r="G19" s="70">
        <f t="shared" si="0"/>
        <v>22425</v>
      </c>
      <c r="H19" s="70">
        <f t="shared" si="1"/>
        <v>2676075</v>
      </c>
      <c r="I19" s="79">
        <v>2676075</v>
      </c>
      <c r="J19" s="97">
        <f t="shared" si="2"/>
        <v>2676.0749999999998</v>
      </c>
      <c r="K19" s="70">
        <v>0.98170000000000002</v>
      </c>
      <c r="L19" s="97">
        <f t="shared" si="3"/>
        <v>2627</v>
      </c>
      <c r="M19" s="242"/>
    </row>
    <row r="20" spans="2:14" ht="14.4" x14ac:dyDescent="0.3">
      <c r="B20" s="81">
        <v>44713</v>
      </c>
      <c r="C20" s="96">
        <v>44713</v>
      </c>
      <c r="D20" s="96">
        <v>44377</v>
      </c>
      <c r="E20" s="70">
        <v>2635500</v>
      </c>
      <c r="F20" s="70">
        <v>18000</v>
      </c>
      <c r="G20" s="70">
        <f t="shared" si="0"/>
        <v>20700</v>
      </c>
      <c r="H20" s="70">
        <f t="shared" si="1"/>
        <v>2614800</v>
      </c>
      <c r="I20" s="79">
        <v>2614800</v>
      </c>
      <c r="J20" s="97">
        <f t="shared" si="2"/>
        <v>2614.8000000000002</v>
      </c>
      <c r="K20" s="70">
        <v>0.98170000000000002</v>
      </c>
      <c r="L20" s="97">
        <f t="shared" si="3"/>
        <v>2566</v>
      </c>
      <c r="M20" s="242"/>
    </row>
    <row r="21" spans="2:14" ht="14.4" x14ac:dyDescent="0.3">
      <c r="B21" s="81">
        <v>44743</v>
      </c>
      <c r="C21" s="96">
        <v>44743</v>
      </c>
      <c r="D21" s="96">
        <v>44408</v>
      </c>
      <c r="E21" s="70">
        <v>2055000</v>
      </c>
      <c r="F21" s="70">
        <v>21000</v>
      </c>
      <c r="G21" s="70">
        <f t="shared" si="0"/>
        <v>24149.999999999996</v>
      </c>
      <c r="H21" s="70">
        <f t="shared" si="1"/>
        <v>2030850</v>
      </c>
      <c r="I21" s="79">
        <v>2030850</v>
      </c>
      <c r="J21" s="97">
        <f t="shared" si="2"/>
        <v>2030.85</v>
      </c>
      <c r="K21" s="70">
        <v>0.98170000000000002</v>
      </c>
      <c r="L21" s="97">
        <f t="shared" si="3"/>
        <v>1993</v>
      </c>
      <c r="M21" s="242"/>
    </row>
    <row r="22" spans="2:14" ht="14.4" x14ac:dyDescent="0.3">
      <c r="B22" s="81">
        <v>44774</v>
      </c>
      <c r="C22" s="96">
        <v>44774</v>
      </c>
      <c r="D22" s="96">
        <v>44439</v>
      </c>
      <c r="E22" s="70">
        <v>2353500</v>
      </c>
      <c r="F22" s="70">
        <v>19500</v>
      </c>
      <c r="G22" s="70">
        <f t="shared" si="0"/>
        <v>22425</v>
      </c>
      <c r="H22" s="70">
        <f t="shared" si="1"/>
        <v>2331075</v>
      </c>
      <c r="I22" s="79">
        <v>2331075</v>
      </c>
      <c r="J22" s="97">
        <f t="shared" si="2"/>
        <v>2331.0749999999998</v>
      </c>
      <c r="K22" s="70">
        <v>0.98170000000000002</v>
      </c>
      <c r="L22" s="97">
        <f t="shared" si="3"/>
        <v>2288</v>
      </c>
      <c r="M22" s="243"/>
    </row>
    <row r="23" spans="2:14" ht="14.4" x14ac:dyDescent="0.3">
      <c r="B23" s="255" t="s">
        <v>12</v>
      </c>
      <c r="C23" s="255"/>
      <c r="D23" s="255"/>
      <c r="E23" s="171"/>
      <c r="F23" s="171"/>
      <c r="G23" s="171"/>
      <c r="H23" s="171">
        <f>ROUNDDOWN((SUM(H6:H22)),0)</f>
        <v>44753550</v>
      </c>
      <c r="I23" s="171">
        <f t="shared" ref="I23:L23" si="4">ROUNDDOWN((SUM(I6:I22)),0)</f>
        <v>44753550</v>
      </c>
      <c r="J23" s="171">
        <f t="shared" si="4"/>
        <v>44753</v>
      </c>
      <c r="K23" s="171"/>
      <c r="L23" s="171">
        <f t="shared" si="4"/>
        <v>43928</v>
      </c>
      <c r="M23" s="172">
        <f>M6+M15</f>
        <v>43928</v>
      </c>
    </row>
    <row r="25" spans="2:14" ht="14.4" x14ac:dyDescent="0.3">
      <c r="F25" s="255" t="s">
        <v>15</v>
      </c>
      <c r="G25" s="255"/>
      <c r="H25" s="255"/>
      <c r="I25" s="255"/>
      <c r="J25" s="255"/>
      <c r="K25" s="173"/>
      <c r="L25" s="174"/>
    </row>
    <row r="27" spans="2:14" ht="13.95" customHeight="1" x14ac:dyDescent="0.25">
      <c r="B27" s="256" t="s">
        <v>0</v>
      </c>
      <c r="C27" s="240" t="s">
        <v>1</v>
      </c>
      <c r="D27" s="240"/>
      <c r="E27" s="241" t="s">
        <v>2</v>
      </c>
      <c r="F27" s="241" t="s">
        <v>3</v>
      </c>
      <c r="G27" s="253" t="s">
        <v>14</v>
      </c>
      <c r="H27" s="240" t="s">
        <v>4</v>
      </c>
      <c r="I27" s="240" t="s">
        <v>5</v>
      </c>
      <c r="J27" s="241" t="s">
        <v>6</v>
      </c>
      <c r="K27" s="241" t="s">
        <v>7</v>
      </c>
      <c r="L27" s="241" t="s">
        <v>8</v>
      </c>
      <c r="M27" s="253" t="s">
        <v>9</v>
      </c>
    </row>
    <row r="28" spans="2:14" ht="15" thickBot="1" x14ac:dyDescent="0.3">
      <c r="B28" s="256"/>
      <c r="C28" s="175" t="s">
        <v>10</v>
      </c>
      <c r="D28" s="168" t="s">
        <v>11</v>
      </c>
      <c r="E28" s="241"/>
      <c r="F28" s="241"/>
      <c r="G28" s="253"/>
      <c r="H28" s="240"/>
      <c r="I28" s="240"/>
      <c r="J28" s="241"/>
      <c r="K28" s="241"/>
      <c r="L28" s="241"/>
      <c r="M28" s="254"/>
    </row>
    <row r="29" spans="2:14" ht="14.4" x14ac:dyDescent="0.3">
      <c r="B29" s="81">
        <v>44287</v>
      </c>
      <c r="C29" s="77">
        <v>44287</v>
      </c>
      <c r="D29" s="78">
        <v>44316</v>
      </c>
      <c r="E29" s="71">
        <v>2977500</v>
      </c>
      <c r="F29" s="176">
        <v>18000</v>
      </c>
      <c r="G29" s="72">
        <f t="shared" ref="G29:G40" si="5">F29*1.15</f>
        <v>20700</v>
      </c>
      <c r="H29" s="72">
        <f t="shared" ref="H29:H40" si="6">E29-G29</f>
        <v>2956800</v>
      </c>
      <c r="I29" s="72">
        <v>2956800</v>
      </c>
      <c r="J29" s="80">
        <f t="shared" ref="J29:J45" si="7">H29/1000</f>
        <v>2956.8</v>
      </c>
      <c r="K29" s="72">
        <v>0.98170000000000002</v>
      </c>
      <c r="L29" s="91">
        <f t="shared" ref="L29:L45" si="8">ROUNDDOWN(J29*K29,0)</f>
        <v>2902</v>
      </c>
      <c r="M29" s="251">
        <f>ROUNDDOWN((SUM(L29:L37)),0)</f>
        <v>22875</v>
      </c>
      <c r="N29" s="152">
        <f>M29</f>
        <v>22875</v>
      </c>
    </row>
    <row r="30" spans="2:14" ht="14.4" x14ac:dyDescent="0.3">
      <c r="B30" s="81">
        <v>44317</v>
      </c>
      <c r="C30" s="77">
        <v>44317</v>
      </c>
      <c r="D30" s="78">
        <v>44347</v>
      </c>
      <c r="E30" s="79">
        <v>2983500</v>
      </c>
      <c r="F30" s="177">
        <v>21000</v>
      </c>
      <c r="G30" s="72">
        <f t="shared" si="5"/>
        <v>24149.999999999996</v>
      </c>
      <c r="H30" s="72">
        <f t="shared" si="6"/>
        <v>2959350</v>
      </c>
      <c r="I30" s="79">
        <v>2959350</v>
      </c>
      <c r="J30" s="80">
        <f t="shared" si="7"/>
        <v>2959.35</v>
      </c>
      <c r="K30" s="72">
        <v>0.98170000000000002</v>
      </c>
      <c r="L30" s="91">
        <f t="shared" si="8"/>
        <v>2905</v>
      </c>
      <c r="M30" s="249"/>
    </row>
    <row r="31" spans="2:14" ht="14.4" x14ac:dyDescent="0.3">
      <c r="B31" s="81">
        <v>44348</v>
      </c>
      <c r="C31" s="77">
        <v>44348</v>
      </c>
      <c r="D31" s="78">
        <v>44377</v>
      </c>
      <c r="E31" s="79">
        <v>2602500</v>
      </c>
      <c r="F31" s="177">
        <v>19500</v>
      </c>
      <c r="G31" s="72">
        <f t="shared" si="5"/>
        <v>22425</v>
      </c>
      <c r="H31" s="72">
        <f t="shared" si="6"/>
        <v>2580075</v>
      </c>
      <c r="I31" s="79">
        <v>2580075</v>
      </c>
      <c r="J31" s="80">
        <f t="shared" si="7"/>
        <v>2580.0749999999998</v>
      </c>
      <c r="K31" s="72">
        <v>0.98170000000000002</v>
      </c>
      <c r="L31" s="91">
        <f t="shared" si="8"/>
        <v>2532</v>
      </c>
      <c r="M31" s="249"/>
    </row>
    <row r="32" spans="2:14" ht="14.4" x14ac:dyDescent="0.3">
      <c r="B32" s="81">
        <v>44378</v>
      </c>
      <c r="C32" s="77">
        <v>44378</v>
      </c>
      <c r="D32" s="78">
        <v>44408</v>
      </c>
      <c r="E32" s="79">
        <v>2305500</v>
      </c>
      <c r="F32" s="177">
        <v>22500</v>
      </c>
      <c r="G32" s="72">
        <f t="shared" si="5"/>
        <v>25874.999999999996</v>
      </c>
      <c r="H32" s="72">
        <f t="shared" si="6"/>
        <v>2279625</v>
      </c>
      <c r="I32" s="79">
        <v>2279625</v>
      </c>
      <c r="J32" s="80">
        <f t="shared" si="7"/>
        <v>2279.625</v>
      </c>
      <c r="K32" s="72">
        <v>0.98170000000000002</v>
      </c>
      <c r="L32" s="91">
        <f t="shared" si="8"/>
        <v>2237</v>
      </c>
      <c r="M32" s="249"/>
    </row>
    <row r="33" spans="2:14" ht="14.4" x14ac:dyDescent="0.3">
      <c r="B33" s="81">
        <v>44409</v>
      </c>
      <c r="C33" s="77">
        <v>44409</v>
      </c>
      <c r="D33" s="78">
        <v>44439</v>
      </c>
      <c r="E33" s="79">
        <v>2545500</v>
      </c>
      <c r="F33" s="177">
        <v>21000</v>
      </c>
      <c r="G33" s="72">
        <f t="shared" si="5"/>
        <v>24149.999999999996</v>
      </c>
      <c r="H33" s="72">
        <f t="shared" si="6"/>
        <v>2521350</v>
      </c>
      <c r="I33" s="79">
        <v>2521350</v>
      </c>
      <c r="J33" s="80">
        <f t="shared" si="7"/>
        <v>2521.35</v>
      </c>
      <c r="K33" s="72">
        <v>0.98170000000000002</v>
      </c>
      <c r="L33" s="91">
        <f t="shared" si="8"/>
        <v>2475</v>
      </c>
      <c r="M33" s="249"/>
    </row>
    <row r="34" spans="2:14" ht="14.4" x14ac:dyDescent="0.3">
      <c r="B34" s="81">
        <v>44440</v>
      </c>
      <c r="C34" s="77">
        <v>44440</v>
      </c>
      <c r="D34" s="78">
        <v>44469</v>
      </c>
      <c r="E34" s="79">
        <v>2260500</v>
      </c>
      <c r="F34" s="177">
        <v>19500</v>
      </c>
      <c r="G34" s="72">
        <f t="shared" si="5"/>
        <v>22425</v>
      </c>
      <c r="H34" s="72">
        <f t="shared" si="6"/>
        <v>2238075</v>
      </c>
      <c r="I34" s="79">
        <v>2238075</v>
      </c>
      <c r="J34" s="80">
        <f t="shared" si="7"/>
        <v>2238.0749999999998</v>
      </c>
      <c r="K34" s="72">
        <v>0.98170000000000002</v>
      </c>
      <c r="L34" s="91">
        <f t="shared" si="8"/>
        <v>2197</v>
      </c>
      <c r="M34" s="249"/>
    </row>
    <row r="35" spans="2:14" ht="14.4" x14ac:dyDescent="0.3">
      <c r="B35" s="81">
        <v>44470</v>
      </c>
      <c r="C35" s="77">
        <v>44470</v>
      </c>
      <c r="D35" s="78">
        <v>44500</v>
      </c>
      <c r="E35" s="79">
        <v>2896500</v>
      </c>
      <c r="F35" s="177">
        <v>24000</v>
      </c>
      <c r="G35" s="72">
        <f t="shared" si="5"/>
        <v>27599.999999999996</v>
      </c>
      <c r="H35" s="72">
        <f t="shared" si="6"/>
        <v>2868900</v>
      </c>
      <c r="I35" s="79">
        <v>2868900</v>
      </c>
      <c r="J35" s="80">
        <f t="shared" si="7"/>
        <v>2868.9</v>
      </c>
      <c r="K35" s="72">
        <v>0.98170000000000002</v>
      </c>
      <c r="L35" s="91">
        <f t="shared" si="8"/>
        <v>2816</v>
      </c>
      <c r="M35" s="249"/>
    </row>
    <row r="36" spans="2:14" ht="14.4" x14ac:dyDescent="0.3">
      <c r="B36" s="81">
        <v>44501</v>
      </c>
      <c r="C36" s="77">
        <v>44501</v>
      </c>
      <c r="D36" s="78">
        <v>44530</v>
      </c>
      <c r="E36" s="79">
        <v>2142000</v>
      </c>
      <c r="F36" s="177">
        <v>21000</v>
      </c>
      <c r="G36" s="72">
        <f t="shared" si="5"/>
        <v>24149.999999999996</v>
      </c>
      <c r="H36" s="72">
        <f t="shared" si="6"/>
        <v>2117850</v>
      </c>
      <c r="I36" s="79">
        <v>2117850</v>
      </c>
      <c r="J36" s="80">
        <f t="shared" si="7"/>
        <v>2117.85</v>
      </c>
      <c r="K36" s="72">
        <v>0.98170000000000002</v>
      </c>
      <c r="L36" s="91">
        <f t="shared" si="8"/>
        <v>2079</v>
      </c>
      <c r="M36" s="249"/>
    </row>
    <row r="37" spans="2:14" ht="15" thickBot="1" x14ac:dyDescent="0.35">
      <c r="B37" s="81">
        <v>44531</v>
      </c>
      <c r="C37" s="77">
        <v>44531</v>
      </c>
      <c r="D37" s="78">
        <v>44561</v>
      </c>
      <c r="E37" s="79">
        <v>2811000</v>
      </c>
      <c r="F37" s="177">
        <v>24000</v>
      </c>
      <c r="G37" s="72">
        <f t="shared" si="5"/>
        <v>27599.999999999996</v>
      </c>
      <c r="H37" s="72">
        <f t="shared" si="6"/>
        <v>2783400</v>
      </c>
      <c r="I37" s="79">
        <v>2783400</v>
      </c>
      <c r="J37" s="80">
        <f t="shared" si="7"/>
        <v>2783.4</v>
      </c>
      <c r="K37" s="72">
        <v>0.98170000000000002</v>
      </c>
      <c r="L37" s="91">
        <f t="shared" si="8"/>
        <v>2732</v>
      </c>
      <c r="M37" s="250"/>
    </row>
    <row r="38" spans="2:14" ht="14.4" x14ac:dyDescent="0.3">
      <c r="B38" s="81">
        <v>44562</v>
      </c>
      <c r="C38" s="77">
        <v>44562</v>
      </c>
      <c r="D38" s="78">
        <v>44592</v>
      </c>
      <c r="E38" s="79">
        <v>3112500</v>
      </c>
      <c r="F38" s="177">
        <v>19500</v>
      </c>
      <c r="G38" s="72">
        <f t="shared" si="5"/>
        <v>22425</v>
      </c>
      <c r="H38" s="72">
        <f t="shared" si="6"/>
        <v>3090075</v>
      </c>
      <c r="I38" s="79">
        <v>3090075</v>
      </c>
      <c r="J38" s="80">
        <f t="shared" si="7"/>
        <v>3090.0749999999998</v>
      </c>
      <c r="K38" s="72">
        <v>0.98170000000000002</v>
      </c>
      <c r="L38" s="91">
        <f t="shared" si="8"/>
        <v>3033</v>
      </c>
      <c r="M38" s="251">
        <f>ROUNDDOWN((SUM(L38:L45)),0)</f>
        <v>21193</v>
      </c>
      <c r="N38" s="152">
        <f>M38</f>
        <v>21193</v>
      </c>
    </row>
    <row r="39" spans="2:14" ht="14.4" x14ac:dyDescent="0.3">
      <c r="B39" s="81">
        <v>44593</v>
      </c>
      <c r="C39" s="77">
        <v>44593</v>
      </c>
      <c r="D39" s="78">
        <v>44620</v>
      </c>
      <c r="E39" s="79">
        <v>3085500</v>
      </c>
      <c r="F39" s="177">
        <v>15000</v>
      </c>
      <c r="G39" s="72">
        <f t="shared" si="5"/>
        <v>17250</v>
      </c>
      <c r="H39" s="72">
        <f t="shared" si="6"/>
        <v>3068250</v>
      </c>
      <c r="I39" s="79">
        <v>3068250</v>
      </c>
      <c r="J39" s="80">
        <f t="shared" si="7"/>
        <v>3068.25</v>
      </c>
      <c r="K39" s="72">
        <v>0.98170000000000002</v>
      </c>
      <c r="L39" s="91">
        <f t="shared" si="8"/>
        <v>3012</v>
      </c>
      <c r="M39" s="249"/>
    </row>
    <row r="40" spans="2:14" ht="14.4" x14ac:dyDescent="0.3">
      <c r="B40" s="81">
        <v>44621</v>
      </c>
      <c r="C40" s="77">
        <v>44621</v>
      </c>
      <c r="D40" s="78">
        <v>44651</v>
      </c>
      <c r="E40" s="79">
        <v>3031500</v>
      </c>
      <c r="F40" s="177">
        <v>18000</v>
      </c>
      <c r="G40" s="72">
        <f t="shared" si="5"/>
        <v>20700</v>
      </c>
      <c r="H40" s="72">
        <f t="shared" si="6"/>
        <v>3010800</v>
      </c>
      <c r="I40" s="79">
        <v>3010800</v>
      </c>
      <c r="J40" s="80">
        <f t="shared" si="7"/>
        <v>3010.8</v>
      </c>
      <c r="K40" s="72">
        <v>0.98170000000000002</v>
      </c>
      <c r="L40" s="91">
        <f t="shared" si="8"/>
        <v>2955</v>
      </c>
      <c r="M40" s="249"/>
    </row>
    <row r="41" spans="2:14" ht="14.4" x14ac:dyDescent="0.3">
      <c r="B41" s="81">
        <v>44652</v>
      </c>
      <c r="C41" s="77">
        <v>44652</v>
      </c>
      <c r="D41" s="78">
        <v>44681</v>
      </c>
      <c r="E41" s="79">
        <v>2811000</v>
      </c>
      <c r="F41" s="177">
        <v>16500</v>
      </c>
      <c r="G41" s="72">
        <f>F41*1.15</f>
        <v>18975</v>
      </c>
      <c r="H41" s="72">
        <f>E41-G41</f>
        <v>2792025</v>
      </c>
      <c r="I41" s="79">
        <v>2792025</v>
      </c>
      <c r="J41" s="80">
        <f t="shared" si="7"/>
        <v>2792.0250000000001</v>
      </c>
      <c r="K41" s="72">
        <v>0.98170000000000002</v>
      </c>
      <c r="L41" s="91">
        <f t="shared" si="8"/>
        <v>2740</v>
      </c>
      <c r="M41" s="249"/>
    </row>
    <row r="42" spans="2:14" ht="14.4" x14ac:dyDescent="0.3">
      <c r="B42" s="81">
        <v>44682</v>
      </c>
      <c r="C42" s="77">
        <v>44682</v>
      </c>
      <c r="D42" s="78">
        <v>44712</v>
      </c>
      <c r="E42" s="79">
        <v>2850000</v>
      </c>
      <c r="F42" s="177">
        <v>18000</v>
      </c>
      <c r="G42" s="72">
        <f t="shared" ref="G42:G44" si="9">F42*1.15</f>
        <v>20700</v>
      </c>
      <c r="H42" s="72">
        <f t="shared" ref="H42:H44" si="10">E42-G42</f>
        <v>2829300</v>
      </c>
      <c r="I42" s="79">
        <v>2829300</v>
      </c>
      <c r="J42" s="80">
        <f t="shared" si="7"/>
        <v>2829.3</v>
      </c>
      <c r="K42" s="72">
        <v>0.98170000000000002</v>
      </c>
      <c r="L42" s="91">
        <f t="shared" si="8"/>
        <v>2777</v>
      </c>
      <c r="M42" s="249"/>
    </row>
    <row r="43" spans="2:14" ht="14.4" x14ac:dyDescent="0.3">
      <c r="B43" s="81">
        <v>44713</v>
      </c>
      <c r="C43" s="77">
        <v>44713</v>
      </c>
      <c r="D43" s="78">
        <v>44742</v>
      </c>
      <c r="E43" s="70">
        <v>2541000</v>
      </c>
      <c r="F43" s="177">
        <v>19500</v>
      </c>
      <c r="G43" s="72">
        <f t="shared" si="9"/>
        <v>22425</v>
      </c>
      <c r="H43" s="72">
        <f t="shared" si="10"/>
        <v>2518575</v>
      </c>
      <c r="I43" s="79">
        <v>2518575</v>
      </c>
      <c r="J43" s="80">
        <f t="shared" si="7"/>
        <v>2518.5749999999998</v>
      </c>
      <c r="K43" s="72">
        <v>0.98170000000000002</v>
      </c>
      <c r="L43" s="91">
        <f t="shared" si="8"/>
        <v>2472</v>
      </c>
      <c r="M43" s="249"/>
    </row>
    <row r="44" spans="2:14" ht="14.4" x14ac:dyDescent="0.3">
      <c r="B44" s="81">
        <v>44743</v>
      </c>
      <c r="C44" s="77">
        <v>44743</v>
      </c>
      <c r="D44" s="78">
        <v>44773</v>
      </c>
      <c r="E44" s="70">
        <v>2164500</v>
      </c>
      <c r="F44" s="177">
        <v>22500</v>
      </c>
      <c r="G44" s="72">
        <f t="shared" si="9"/>
        <v>25874.999999999996</v>
      </c>
      <c r="H44" s="72">
        <f t="shared" si="10"/>
        <v>2138625</v>
      </c>
      <c r="I44" s="79">
        <v>2138625</v>
      </c>
      <c r="J44" s="80">
        <f t="shared" si="7"/>
        <v>2138.625</v>
      </c>
      <c r="K44" s="72">
        <v>0.98170000000000002</v>
      </c>
      <c r="L44" s="91">
        <f t="shared" si="8"/>
        <v>2099</v>
      </c>
      <c r="M44" s="249"/>
    </row>
    <row r="45" spans="2:14" ht="15" thickBot="1" x14ac:dyDescent="0.35">
      <c r="B45" s="81">
        <v>44774</v>
      </c>
      <c r="C45" s="77">
        <v>44774</v>
      </c>
      <c r="D45" s="78">
        <v>44804</v>
      </c>
      <c r="E45" s="70">
        <v>2169000</v>
      </c>
      <c r="F45" s="177">
        <v>21000</v>
      </c>
      <c r="G45" s="72">
        <f>F45*1.15</f>
        <v>24149.999999999996</v>
      </c>
      <c r="H45" s="72">
        <f>E45-G45</f>
        <v>2144850</v>
      </c>
      <c r="I45" s="79">
        <v>2144850</v>
      </c>
      <c r="J45" s="80">
        <f t="shared" si="7"/>
        <v>2144.85</v>
      </c>
      <c r="K45" s="72">
        <v>0.98170000000000002</v>
      </c>
      <c r="L45" s="91">
        <f t="shared" si="8"/>
        <v>2105</v>
      </c>
      <c r="M45" s="250"/>
    </row>
    <row r="46" spans="2:14" ht="14.4" x14ac:dyDescent="0.3">
      <c r="B46" s="252" t="s">
        <v>12</v>
      </c>
      <c r="C46" s="252"/>
      <c r="D46" s="252"/>
      <c r="E46" s="171"/>
      <c r="F46" s="178"/>
      <c r="G46" s="171"/>
      <c r="H46" s="171">
        <f>ROUNDDOWN((SUM(H29:H45)),0)</f>
        <v>44897925</v>
      </c>
      <c r="I46" s="171">
        <f t="shared" ref="I46:L46" si="11">ROUNDDOWN((SUM(I29:I45)),0)</f>
        <v>44897925</v>
      </c>
      <c r="J46" s="171">
        <f t="shared" si="11"/>
        <v>44897</v>
      </c>
      <c r="K46" s="171"/>
      <c r="L46" s="171">
        <f t="shared" si="11"/>
        <v>44068</v>
      </c>
      <c r="M46" s="179">
        <f>M29+M38</f>
        <v>44068</v>
      </c>
    </row>
    <row r="48" spans="2:14" ht="13.95" customHeight="1" x14ac:dyDescent="0.3">
      <c r="F48" s="258" t="s">
        <v>16</v>
      </c>
      <c r="G48" s="258"/>
      <c r="H48" s="258"/>
      <c r="I48" s="258"/>
      <c r="J48" s="258"/>
    </row>
    <row r="50" spans="2:14" ht="13.95" customHeight="1" x14ac:dyDescent="0.25">
      <c r="B50" s="256" t="s">
        <v>0</v>
      </c>
      <c r="C50" s="240" t="s">
        <v>1</v>
      </c>
      <c r="D50" s="240"/>
      <c r="E50" s="241" t="s">
        <v>2</v>
      </c>
      <c r="F50" s="241" t="s">
        <v>3</v>
      </c>
      <c r="G50" s="253" t="s">
        <v>14</v>
      </c>
      <c r="H50" s="240" t="s">
        <v>4</v>
      </c>
      <c r="I50" s="240" t="s">
        <v>5</v>
      </c>
      <c r="J50" s="241" t="s">
        <v>6</v>
      </c>
      <c r="K50" s="241" t="s">
        <v>7</v>
      </c>
      <c r="L50" s="241" t="s">
        <v>8</v>
      </c>
      <c r="M50" s="253" t="s">
        <v>9</v>
      </c>
    </row>
    <row r="51" spans="2:14" ht="15" thickBot="1" x14ac:dyDescent="0.3">
      <c r="B51" s="256"/>
      <c r="C51" s="175" t="s">
        <v>10</v>
      </c>
      <c r="D51" s="168" t="s">
        <v>11</v>
      </c>
      <c r="E51" s="241"/>
      <c r="F51" s="241"/>
      <c r="G51" s="253"/>
      <c r="H51" s="240"/>
      <c r="I51" s="240"/>
      <c r="J51" s="241"/>
      <c r="K51" s="241"/>
      <c r="L51" s="241"/>
      <c r="M51" s="254"/>
    </row>
    <row r="52" spans="2:14" ht="14.4" x14ac:dyDescent="0.3">
      <c r="B52" s="81">
        <v>44287</v>
      </c>
      <c r="C52" s="77">
        <v>44287</v>
      </c>
      <c r="D52" s="78">
        <v>44316</v>
      </c>
      <c r="E52" s="71">
        <v>3088800</v>
      </c>
      <c r="F52" s="176">
        <v>19200</v>
      </c>
      <c r="G52" s="72">
        <f t="shared" ref="G52:G68" si="12">F52*1.15</f>
        <v>22080</v>
      </c>
      <c r="H52" s="72">
        <f t="shared" ref="H52:H68" si="13">E52-G52</f>
        <v>3066720</v>
      </c>
      <c r="I52" s="72">
        <v>3066720</v>
      </c>
      <c r="J52" s="80">
        <f t="shared" ref="J52:J68" si="14">H52/1000</f>
        <v>3066.72</v>
      </c>
      <c r="K52" s="72">
        <v>0.98170000000000002</v>
      </c>
      <c r="L52" s="91">
        <f t="shared" ref="L52:L68" si="15">ROUNDDOWN(J52*K52,0)</f>
        <v>3010</v>
      </c>
      <c r="M52" s="251">
        <f>ROUNDDOWN((SUM(L52:L60)),0)</f>
        <v>21863</v>
      </c>
      <c r="N52" s="152">
        <f>M52</f>
        <v>21863</v>
      </c>
    </row>
    <row r="53" spans="2:14" ht="14.4" x14ac:dyDescent="0.3">
      <c r="B53" s="81">
        <v>44317</v>
      </c>
      <c r="C53" s="77">
        <v>44317</v>
      </c>
      <c r="D53" s="78">
        <v>44347</v>
      </c>
      <c r="E53" s="79">
        <v>3181200</v>
      </c>
      <c r="F53" s="177">
        <v>19200</v>
      </c>
      <c r="G53" s="72">
        <f t="shared" si="12"/>
        <v>22080</v>
      </c>
      <c r="H53" s="72">
        <f t="shared" si="13"/>
        <v>3159120</v>
      </c>
      <c r="I53" s="79">
        <v>3159120</v>
      </c>
      <c r="J53" s="80">
        <f t="shared" si="14"/>
        <v>3159.12</v>
      </c>
      <c r="K53" s="72">
        <v>0.98170000000000002</v>
      </c>
      <c r="L53" s="91">
        <f t="shared" si="15"/>
        <v>3101</v>
      </c>
      <c r="M53" s="249"/>
    </row>
    <row r="54" spans="2:14" ht="14.4" x14ac:dyDescent="0.3">
      <c r="B54" s="81">
        <v>44348</v>
      </c>
      <c r="C54" s="77">
        <v>44348</v>
      </c>
      <c r="D54" s="78">
        <v>44377</v>
      </c>
      <c r="E54" s="79">
        <v>2779200</v>
      </c>
      <c r="F54" s="177">
        <v>19200</v>
      </c>
      <c r="G54" s="72">
        <f t="shared" si="12"/>
        <v>22080</v>
      </c>
      <c r="H54" s="72">
        <f t="shared" si="13"/>
        <v>2757120</v>
      </c>
      <c r="I54" s="79">
        <v>2757120</v>
      </c>
      <c r="J54" s="80">
        <f t="shared" si="14"/>
        <v>2757.12</v>
      </c>
      <c r="K54" s="72">
        <v>0.98170000000000002</v>
      </c>
      <c r="L54" s="91">
        <f t="shared" si="15"/>
        <v>2706</v>
      </c>
      <c r="M54" s="249"/>
    </row>
    <row r="55" spans="2:14" ht="14.4" x14ac:dyDescent="0.3">
      <c r="B55" s="81">
        <v>44378</v>
      </c>
      <c r="C55" s="77">
        <v>44378</v>
      </c>
      <c r="D55" s="78">
        <v>44408</v>
      </c>
      <c r="E55" s="79">
        <v>2442000</v>
      </c>
      <c r="F55" s="177">
        <v>19200</v>
      </c>
      <c r="G55" s="72">
        <f t="shared" si="12"/>
        <v>22080</v>
      </c>
      <c r="H55" s="72">
        <f t="shared" si="13"/>
        <v>2419920</v>
      </c>
      <c r="I55" s="79">
        <v>2419920</v>
      </c>
      <c r="J55" s="80">
        <f t="shared" si="14"/>
        <v>2419.92</v>
      </c>
      <c r="K55" s="72">
        <v>0.98170000000000002</v>
      </c>
      <c r="L55" s="91">
        <f t="shared" si="15"/>
        <v>2375</v>
      </c>
      <c r="M55" s="249"/>
    </row>
    <row r="56" spans="2:14" ht="14.4" x14ac:dyDescent="0.3">
      <c r="B56" s="81">
        <v>44409</v>
      </c>
      <c r="C56" s="77">
        <v>44409</v>
      </c>
      <c r="D56" s="78">
        <v>44439</v>
      </c>
      <c r="E56" s="79">
        <v>2601600</v>
      </c>
      <c r="F56" s="177">
        <v>20400</v>
      </c>
      <c r="G56" s="72">
        <f t="shared" si="12"/>
        <v>23460</v>
      </c>
      <c r="H56" s="72">
        <f t="shared" si="13"/>
        <v>2578140</v>
      </c>
      <c r="I56" s="79">
        <v>2578140</v>
      </c>
      <c r="J56" s="80">
        <f t="shared" si="14"/>
        <v>2578.14</v>
      </c>
      <c r="K56" s="72">
        <v>0.98170000000000002</v>
      </c>
      <c r="L56" s="91">
        <f t="shared" si="15"/>
        <v>2530</v>
      </c>
      <c r="M56" s="249"/>
    </row>
    <row r="57" spans="2:14" ht="14.4" x14ac:dyDescent="0.3">
      <c r="B57" s="81">
        <v>44440</v>
      </c>
      <c r="C57" s="77">
        <v>44440</v>
      </c>
      <c r="D57" s="78">
        <v>44469</v>
      </c>
      <c r="E57" s="79">
        <v>2558400</v>
      </c>
      <c r="F57" s="177">
        <v>20400</v>
      </c>
      <c r="G57" s="72">
        <f t="shared" si="12"/>
        <v>23460</v>
      </c>
      <c r="H57" s="72">
        <f t="shared" si="13"/>
        <v>2534940</v>
      </c>
      <c r="I57" s="79">
        <v>2534940</v>
      </c>
      <c r="J57" s="80">
        <f t="shared" si="14"/>
        <v>2534.94</v>
      </c>
      <c r="K57" s="72">
        <v>0.98170000000000002</v>
      </c>
      <c r="L57" s="91">
        <f t="shared" si="15"/>
        <v>2488</v>
      </c>
      <c r="M57" s="249"/>
    </row>
    <row r="58" spans="2:14" ht="14.4" x14ac:dyDescent="0.3">
      <c r="B58" s="81">
        <v>44470</v>
      </c>
      <c r="C58" s="77">
        <v>44470</v>
      </c>
      <c r="D58" s="78">
        <v>44500</v>
      </c>
      <c r="E58" s="79">
        <v>2174400</v>
      </c>
      <c r="F58" s="177">
        <v>22800</v>
      </c>
      <c r="G58" s="72">
        <f t="shared" si="12"/>
        <v>26219.999999999996</v>
      </c>
      <c r="H58" s="72">
        <f t="shared" si="13"/>
        <v>2148180</v>
      </c>
      <c r="I58" s="79">
        <v>2148180</v>
      </c>
      <c r="J58" s="80">
        <f t="shared" si="14"/>
        <v>2148.1799999999998</v>
      </c>
      <c r="K58" s="72">
        <v>0.98170000000000002</v>
      </c>
      <c r="L58" s="91">
        <f t="shared" si="15"/>
        <v>2108</v>
      </c>
      <c r="M58" s="249"/>
    </row>
    <row r="59" spans="2:14" ht="14.4" x14ac:dyDescent="0.3">
      <c r="B59" s="81">
        <v>44501</v>
      </c>
      <c r="C59" s="77">
        <v>44501</v>
      </c>
      <c r="D59" s="78">
        <v>44530</v>
      </c>
      <c r="E59" s="79">
        <v>1279200</v>
      </c>
      <c r="F59" s="177">
        <v>24000</v>
      </c>
      <c r="G59" s="72">
        <f t="shared" si="12"/>
        <v>27599.999999999996</v>
      </c>
      <c r="H59" s="72">
        <f t="shared" si="13"/>
        <v>1251600</v>
      </c>
      <c r="I59" s="79">
        <v>1251600</v>
      </c>
      <c r="J59" s="80">
        <f t="shared" si="14"/>
        <v>1251.5999999999999</v>
      </c>
      <c r="K59" s="72">
        <v>0.98170000000000002</v>
      </c>
      <c r="L59" s="91">
        <f t="shared" si="15"/>
        <v>1228</v>
      </c>
      <c r="M59" s="249"/>
    </row>
    <row r="60" spans="2:14" ht="15" thickBot="1" x14ac:dyDescent="0.35">
      <c r="B60" s="81">
        <v>44531</v>
      </c>
      <c r="C60" s="77">
        <v>44531</v>
      </c>
      <c r="D60" s="78">
        <v>44561</v>
      </c>
      <c r="E60" s="79">
        <v>2383200</v>
      </c>
      <c r="F60" s="177">
        <v>19200</v>
      </c>
      <c r="G60" s="72">
        <f t="shared" si="12"/>
        <v>22080</v>
      </c>
      <c r="H60" s="72">
        <f t="shared" si="13"/>
        <v>2361120</v>
      </c>
      <c r="I60" s="79">
        <v>2361120</v>
      </c>
      <c r="J60" s="80">
        <f t="shared" si="14"/>
        <v>2361.12</v>
      </c>
      <c r="K60" s="72">
        <v>0.98170000000000002</v>
      </c>
      <c r="L60" s="91">
        <f t="shared" si="15"/>
        <v>2317</v>
      </c>
      <c r="M60" s="250"/>
    </row>
    <row r="61" spans="2:14" ht="14.4" x14ac:dyDescent="0.3">
      <c r="B61" s="81">
        <v>44562</v>
      </c>
      <c r="C61" s="77">
        <v>44562</v>
      </c>
      <c r="D61" s="78" t="s">
        <v>68</v>
      </c>
      <c r="E61" s="79">
        <v>2679600</v>
      </c>
      <c r="F61" s="177">
        <v>20400</v>
      </c>
      <c r="G61" s="72">
        <f t="shared" si="12"/>
        <v>23460</v>
      </c>
      <c r="H61" s="72">
        <f t="shared" si="13"/>
        <v>2656140</v>
      </c>
      <c r="I61" s="79">
        <v>2656140</v>
      </c>
      <c r="J61" s="80">
        <f t="shared" si="14"/>
        <v>2656.14</v>
      </c>
      <c r="K61" s="72">
        <v>0.98170000000000002</v>
      </c>
      <c r="L61" s="91">
        <f t="shared" si="15"/>
        <v>2607</v>
      </c>
      <c r="M61" s="251">
        <f>ROUNDDOWN((SUM(L61:L68)),0)</f>
        <v>22169</v>
      </c>
      <c r="N61" s="152">
        <f>M61</f>
        <v>22169</v>
      </c>
    </row>
    <row r="62" spans="2:14" ht="14.4" x14ac:dyDescent="0.3">
      <c r="B62" s="81">
        <v>44593</v>
      </c>
      <c r="C62" s="77">
        <v>44593</v>
      </c>
      <c r="D62" s="78">
        <v>44620</v>
      </c>
      <c r="E62" s="79">
        <v>3025200</v>
      </c>
      <c r="F62" s="177">
        <v>18000</v>
      </c>
      <c r="G62" s="72">
        <f t="shared" si="12"/>
        <v>20700</v>
      </c>
      <c r="H62" s="72">
        <f t="shared" si="13"/>
        <v>3004500</v>
      </c>
      <c r="I62" s="79">
        <v>3004500</v>
      </c>
      <c r="J62" s="80">
        <f t="shared" si="14"/>
        <v>3004.5</v>
      </c>
      <c r="K62" s="72">
        <v>0.98170000000000002</v>
      </c>
      <c r="L62" s="91">
        <f t="shared" si="15"/>
        <v>2949</v>
      </c>
      <c r="M62" s="249"/>
    </row>
    <row r="63" spans="2:14" ht="14.4" x14ac:dyDescent="0.3">
      <c r="B63" s="81">
        <v>44621</v>
      </c>
      <c r="C63" s="77">
        <v>44621</v>
      </c>
      <c r="D63" s="78">
        <v>44651</v>
      </c>
      <c r="E63" s="79">
        <v>3168000</v>
      </c>
      <c r="F63" s="177">
        <v>20400</v>
      </c>
      <c r="G63" s="72">
        <f t="shared" si="12"/>
        <v>23460</v>
      </c>
      <c r="H63" s="72">
        <f t="shared" si="13"/>
        <v>3144540</v>
      </c>
      <c r="I63" s="79">
        <v>3144540</v>
      </c>
      <c r="J63" s="80">
        <f t="shared" si="14"/>
        <v>3144.54</v>
      </c>
      <c r="K63" s="72">
        <v>0.98170000000000002</v>
      </c>
      <c r="L63" s="91">
        <f t="shared" si="15"/>
        <v>3086</v>
      </c>
      <c r="M63" s="249"/>
    </row>
    <row r="64" spans="2:14" ht="14.4" x14ac:dyDescent="0.3">
      <c r="B64" s="81">
        <v>44652</v>
      </c>
      <c r="C64" s="77">
        <v>44652</v>
      </c>
      <c r="D64" s="78">
        <v>44681</v>
      </c>
      <c r="E64" s="79">
        <v>3285600</v>
      </c>
      <c r="F64" s="177">
        <v>19200</v>
      </c>
      <c r="G64" s="72">
        <f t="shared" si="12"/>
        <v>22080</v>
      </c>
      <c r="H64" s="72">
        <f t="shared" si="13"/>
        <v>3263520</v>
      </c>
      <c r="I64" s="79">
        <v>3263520</v>
      </c>
      <c r="J64" s="80">
        <f t="shared" si="14"/>
        <v>3263.52</v>
      </c>
      <c r="K64" s="72">
        <v>0.98170000000000002</v>
      </c>
      <c r="L64" s="91">
        <f t="shared" si="15"/>
        <v>3203</v>
      </c>
      <c r="M64" s="249"/>
    </row>
    <row r="65" spans="2:14" ht="14.4" x14ac:dyDescent="0.3">
      <c r="B65" s="81">
        <v>44682</v>
      </c>
      <c r="C65" s="77">
        <v>44682</v>
      </c>
      <c r="D65" s="78">
        <v>44712</v>
      </c>
      <c r="E65" s="79">
        <v>2670000</v>
      </c>
      <c r="F65" s="177">
        <v>19200</v>
      </c>
      <c r="G65" s="72">
        <f t="shared" si="12"/>
        <v>22080</v>
      </c>
      <c r="H65" s="72">
        <f t="shared" si="13"/>
        <v>2647920</v>
      </c>
      <c r="I65" s="79">
        <v>2647920</v>
      </c>
      <c r="J65" s="80">
        <f t="shared" si="14"/>
        <v>2647.92</v>
      </c>
      <c r="K65" s="72">
        <v>0.98170000000000002</v>
      </c>
      <c r="L65" s="91">
        <f t="shared" si="15"/>
        <v>2599</v>
      </c>
      <c r="M65" s="249"/>
    </row>
    <row r="66" spans="2:14" ht="14.4" x14ac:dyDescent="0.3">
      <c r="B66" s="81">
        <v>44713</v>
      </c>
      <c r="C66" s="77">
        <v>44713</v>
      </c>
      <c r="D66" s="78">
        <v>44742</v>
      </c>
      <c r="E66" s="70">
        <v>2829600</v>
      </c>
      <c r="F66" s="177">
        <v>19200</v>
      </c>
      <c r="G66" s="72">
        <f t="shared" si="12"/>
        <v>22080</v>
      </c>
      <c r="H66" s="72">
        <f t="shared" si="13"/>
        <v>2807520</v>
      </c>
      <c r="I66" s="79">
        <v>2807520</v>
      </c>
      <c r="J66" s="80">
        <f t="shared" si="14"/>
        <v>2807.52</v>
      </c>
      <c r="K66" s="72">
        <v>0.98170000000000002</v>
      </c>
      <c r="L66" s="91">
        <f t="shared" si="15"/>
        <v>2756</v>
      </c>
      <c r="M66" s="249"/>
    </row>
    <row r="67" spans="2:14" ht="14.4" x14ac:dyDescent="0.3">
      <c r="B67" s="81">
        <v>44743</v>
      </c>
      <c r="C67" s="77">
        <v>44743</v>
      </c>
      <c r="D67" s="78">
        <v>44773</v>
      </c>
      <c r="E67" s="70">
        <v>2580000</v>
      </c>
      <c r="F67" s="177">
        <v>19200</v>
      </c>
      <c r="G67" s="72">
        <f t="shared" si="12"/>
        <v>22080</v>
      </c>
      <c r="H67" s="72">
        <f t="shared" si="13"/>
        <v>2557920</v>
      </c>
      <c r="I67" s="79">
        <v>2557920</v>
      </c>
      <c r="J67" s="80">
        <f t="shared" si="14"/>
        <v>2557.92</v>
      </c>
      <c r="K67" s="72">
        <v>0.98170000000000002</v>
      </c>
      <c r="L67" s="91">
        <f t="shared" si="15"/>
        <v>2511</v>
      </c>
      <c r="M67" s="249"/>
    </row>
    <row r="68" spans="2:14" ht="15" thickBot="1" x14ac:dyDescent="0.35">
      <c r="B68" s="81">
        <v>44774</v>
      </c>
      <c r="C68" s="77">
        <v>44774</v>
      </c>
      <c r="D68" s="78">
        <v>44804</v>
      </c>
      <c r="E68" s="70">
        <v>2529600</v>
      </c>
      <c r="F68" s="177">
        <v>21600</v>
      </c>
      <c r="G68" s="72">
        <f t="shared" si="12"/>
        <v>24839.999999999996</v>
      </c>
      <c r="H68" s="72">
        <f t="shared" si="13"/>
        <v>2504760</v>
      </c>
      <c r="I68" s="79">
        <v>2504760</v>
      </c>
      <c r="J68" s="80">
        <f t="shared" si="14"/>
        <v>2504.7600000000002</v>
      </c>
      <c r="K68" s="72">
        <v>0.98170000000000002</v>
      </c>
      <c r="L68" s="91">
        <f t="shared" si="15"/>
        <v>2458</v>
      </c>
      <c r="M68" s="250"/>
    </row>
    <row r="69" spans="2:14" ht="14.4" x14ac:dyDescent="0.3">
      <c r="B69" s="252" t="s">
        <v>12</v>
      </c>
      <c r="C69" s="252"/>
      <c r="D69" s="252"/>
      <c r="E69" s="171"/>
      <c r="F69" s="178"/>
      <c r="G69" s="171"/>
      <c r="H69" s="171">
        <f>ROUNDDOWN((SUM(H52:H68)),0)</f>
        <v>44863680</v>
      </c>
      <c r="I69" s="171">
        <f t="shared" ref="I69:L69" si="16">ROUNDDOWN((SUM(I52:I68)),0)</f>
        <v>44863680</v>
      </c>
      <c r="J69" s="171">
        <f t="shared" si="16"/>
        <v>44863</v>
      </c>
      <c r="K69" s="171"/>
      <c r="L69" s="171">
        <f t="shared" si="16"/>
        <v>44032</v>
      </c>
      <c r="M69" s="179">
        <f>M52+M61</f>
        <v>44032</v>
      </c>
    </row>
    <row r="71" spans="2:14" ht="14.4" x14ac:dyDescent="0.3">
      <c r="F71" s="255" t="s">
        <v>17</v>
      </c>
      <c r="G71" s="255"/>
      <c r="H71" s="255"/>
      <c r="I71" s="255"/>
      <c r="J71" s="255"/>
    </row>
    <row r="73" spans="2:14" ht="13.95" customHeight="1" x14ac:dyDescent="0.25">
      <c r="B73" s="256" t="s">
        <v>0</v>
      </c>
      <c r="C73" s="240" t="s">
        <v>1</v>
      </c>
      <c r="D73" s="240"/>
      <c r="E73" s="241" t="s">
        <v>2</v>
      </c>
      <c r="F73" s="241" t="s">
        <v>3</v>
      </c>
      <c r="G73" s="257" t="s">
        <v>14</v>
      </c>
      <c r="H73" s="240" t="s">
        <v>4</v>
      </c>
      <c r="I73" s="240" t="s">
        <v>5</v>
      </c>
      <c r="J73" s="241" t="s">
        <v>6</v>
      </c>
      <c r="K73" s="241" t="s">
        <v>7</v>
      </c>
      <c r="L73" s="241" t="s">
        <v>8</v>
      </c>
      <c r="M73" s="253" t="s">
        <v>9</v>
      </c>
    </row>
    <row r="74" spans="2:14" ht="15" thickBot="1" x14ac:dyDescent="0.3">
      <c r="B74" s="256"/>
      <c r="C74" s="175" t="s">
        <v>10</v>
      </c>
      <c r="D74" s="168" t="s">
        <v>11</v>
      </c>
      <c r="E74" s="241"/>
      <c r="F74" s="241"/>
      <c r="G74" s="257"/>
      <c r="H74" s="240"/>
      <c r="I74" s="240"/>
      <c r="J74" s="241"/>
      <c r="K74" s="241"/>
      <c r="L74" s="241"/>
      <c r="M74" s="254"/>
    </row>
    <row r="75" spans="2:14" ht="14.4" x14ac:dyDescent="0.3">
      <c r="B75" s="81">
        <v>44287</v>
      </c>
      <c r="C75" s="77">
        <v>44287</v>
      </c>
      <c r="D75" s="78">
        <v>44316</v>
      </c>
      <c r="E75" s="71">
        <v>3724500</v>
      </c>
      <c r="F75" s="176">
        <v>18000</v>
      </c>
      <c r="G75" s="72">
        <f t="shared" ref="G75:G91" si="17">F75*1.15</f>
        <v>20700</v>
      </c>
      <c r="H75" s="72">
        <f t="shared" ref="H75:H91" si="18">E75-G75</f>
        <v>3703800</v>
      </c>
      <c r="I75" s="72">
        <v>2643725</v>
      </c>
      <c r="J75" s="80">
        <f>MIN(H75,I75)/1000</f>
        <v>2643.7249999999999</v>
      </c>
      <c r="K75" s="72">
        <v>0.98170000000000002</v>
      </c>
      <c r="L75" s="91">
        <f t="shared" ref="L75:L91" si="19">ROUNDDOWN(J75*K75,0)</f>
        <v>2595</v>
      </c>
      <c r="M75" s="251">
        <f>ROUNDDOWN((SUM(L75:L83)),0)</f>
        <v>21005</v>
      </c>
      <c r="N75" s="152">
        <f>M75</f>
        <v>21005</v>
      </c>
    </row>
    <row r="76" spans="2:14" ht="14.4" x14ac:dyDescent="0.3">
      <c r="B76" s="81">
        <v>44317</v>
      </c>
      <c r="C76" s="77">
        <v>44317</v>
      </c>
      <c r="D76" s="78">
        <v>44347</v>
      </c>
      <c r="E76" s="79">
        <v>3792000</v>
      </c>
      <c r="F76" s="177">
        <v>19500</v>
      </c>
      <c r="G76" s="72">
        <f t="shared" si="17"/>
        <v>22425</v>
      </c>
      <c r="H76" s="72">
        <f t="shared" si="18"/>
        <v>3769575</v>
      </c>
      <c r="I76" s="79">
        <v>2699976</v>
      </c>
      <c r="J76" s="80">
        <f t="shared" ref="J76:J91" si="20">MIN(H76,I76)/1000</f>
        <v>2699.9760000000001</v>
      </c>
      <c r="K76" s="72">
        <v>0.98170000000000002</v>
      </c>
      <c r="L76" s="91">
        <f t="shared" si="19"/>
        <v>2650</v>
      </c>
      <c r="M76" s="249"/>
    </row>
    <row r="77" spans="2:14" ht="14.4" x14ac:dyDescent="0.3">
      <c r="B77" s="81">
        <v>44348</v>
      </c>
      <c r="C77" s="77">
        <v>44348</v>
      </c>
      <c r="D77" s="78">
        <v>44377</v>
      </c>
      <c r="E77" s="79">
        <v>3265500</v>
      </c>
      <c r="F77" s="177">
        <v>18000</v>
      </c>
      <c r="G77" s="72">
        <f t="shared" si="17"/>
        <v>20700</v>
      </c>
      <c r="H77" s="72">
        <f t="shared" si="18"/>
        <v>3244800</v>
      </c>
      <c r="I77" s="79">
        <v>2318219</v>
      </c>
      <c r="J77" s="80">
        <f t="shared" si="20"/>
        <v>2318.2190000000001</v>
      </c>
      <c r="K77" s="72">
        <v>0.98170000000000002</v>
      </c>
      <c r="L77" s="91">
        <f t="shared" si="19"/>
        <v>2275</v>
      </c>
      <c r="M77" s="249"/>
    </row>
    <row r="78" spans="2:14" ht="14.4" x14ac:dyDescent="0.3">
      <c r="B78" s="81">
        <v>44378</v>
      </c>
      <c r="C78" s="77">
        <v>44378</v>
      </c>
      <c r="D78" s="78">
        <v>44408</v>
      </c>
      <c r="E78" s="79">
        <v>2838000</v>
      </c>
      <c r="F78" s="177">
        <v>18000</v>
      </c>
      <c r="G78" s="72">
        <f t="shared" si="17"/>
        <v>20700</v>
      </c>
      <c r="H78" s="72">
        <f t="shared" si="18"/>
        <v>2817300</v>
      </c>
      <c r="I78" s="79">
        <v>2013884</v>
      </c>
      <c r="J78" s="80">
        <f t="shared" si="20"/>
        <v>2013.884</v>
      </c>
      <c r="K78" s="72">
        <v>0.98170000000000002</v>
      </c>
      <c r="L78" s="91">
        <f t="shared" si="19"/>
        <v>1977</v>
      </c>
      <c r="M78" s="249"/>
    </row>
    <row r="79" spans="2:14" ht="14.4" x14ac:dyDescent="0.3">
      <c r="B79" s="81">
        <v>44409</v>
      </c>
      <c r="C79" s="77">
        <v>44409</v>
      </c>
      <c r="D79" s="78">
        <v>44439</v>
      </c>
      <c r="E79" s="79">
        <v>3036000</v>
      </c>
      <c r="F79" s="177">
        <v>18000</v>
      </c>
      <c r="G79" s="72">
        <f t="shared" si="17"/>
        <v>20700</v>
      </c>
      <c r="H79" s="72">
        <f t="shared" si="18"/>
        <v>3015300</v>
      </c>
      <c r="I79" s="79">
        <v>2147719</v>
      </c>
      <c r="J79" s="80">
        <f t="shared" si="20"/>
        <v>2147.7190000000001</v>
      </c>
      <c r="K79" s="72">
        <v>0.98170000000000002</v>
      </c>
      <c r="L79" s="91">
        <f t="shared" si="19"/>
        <v>2108</v>
      </c>
      <c r="M79" s="249"/>
    </row>
    <row r="80" spans="2:14" ht="14.4" x14ac:dyDescent="0.3">
      <c r="B80" s="81">
        <v>44440</v>
      </c>
      <c r="C80" s="77">
        <v>44440</v>
      </c>
      <c r="D80" s="78">
        <v>44469</v>
      </c>
      <c r="E80" s="79">
        <v>3129000</v>
      </c>
      <c r="F80" s="177">
        <v>19500</v>
      </c>
      <c r="G80" s="72">
        <f t="shared" si="17"/>
        <v>22425</v>
      </c>
      <c r="H80" s="72">
        <f t="shared" si="18"/>
        <v>3106575</v>
      </c>
      <c r="I80" s="90">
        <v>2221432</v>
      </c>
      <c r="J80" s="80">
        <f t="shared" si="20"/>
        <v>2221.4319999999998</v>
      </c>
      <c r="K80" s="72">
        <v>0.98170000000000002</v>
      </c>
      <c r="L80" s="91">
        <f t="shared" si="19"/>
        <v>2180</v>
      </c>
      <c r="M80" s="249"/>
    </row>
    <row r="81" spans="2:14" ht="14.4" x14ac:dyDescent="0.3">
      <c r="B81" s="81">
        <v>44470</v>
      </c>
      <c r="C81" s="77">
        <v>44470</v>
      </c>
      <c r="D81" s="78">
        <v>44500</v>
      </c>
      <c r="E81" s="79">
        <v>4039500</v>
      </c>
      <c r="F81" s="177">
        <v>21000</v>
      </c>
      <c r="G81" s="72">
        <f t="shared" si="17"/>
        <v>24149.999999999996</v>
      </c>
      <c r="H81" s="72">
        <f t="shared" si="18"/>
        <v>4015350</v>
      </c>
      <c r="I81" s="79">
        <v>2868526</v>
      </c>
      <c r="J81" s="80">
        <f t="shared" si="20"/>
        <v>2868.5259999999998</v>
      </c>
      <c r="K81" s="72">
        <v>0.98170000000000002</v>
      </c>
      <c r="L81" s="91">
        <f t="shared" si="19"/>
        <v>2816</v>
      </c>
      <c r="M81" s="249"/>
    </row>
    <row r="82" spans="2:14" ht="14.4" x14ac:dyDescent="0.3">
      <c r="B82" s="81">
        <v>44501</v>
      </c>
      <c r="C82" s="77">
        <v>44501</v>
      </c>
      <c r="D82" s="78">
        <v>44530</v>
      </c>
      <c r="E82" s="79">
        <v>3046500</v>
      </c>
      <c r="F82" s="177">
        <v>21000</v>
      </c>
      <c r="G82" s="72">
        <f t="shared" si="17"/>
        <v>24149.999999999996</v>
      </c>
      <c r="H82" s="72">
        <f t="shared" si="18"/>
        <v>3022350</v>
      </c>
      <c r="I82" s="79">
        <v>2159040</v>
      </c>
      <c r="J82" s="80">
        <f t="shared" si="20"/>
        <v>2159.04</v>
      </c>
      <c r="K82" s="72">
        <v>0.98170000000000002</v>
      </c>
      <c r="L82" s="91">
        <f t="shared" si="19"/>
        <v>2119</v>
      </c>
      <c r="M82" s="249"/>
    </row>
    <row r="83" spans="2:14" ht="15" thickBot="1" x14ac:dyDescent="0.35">
      <c r="B83" s="81">
        <v>44531</v>
      </c>
      <c r="C83" s="77">
        <v>44531</v>
      </c>
      <c r="D83" s="78">
        <v>44561</v>
      </c>
      <c r="E83" s="79">
        <v>3291000</v>
      </c>
      <c r="F83" s="177">
        <v>22500</v>
      </c>
      <c r="G83" s="72">
        <f t="shared" si="17"/>
        <v>25874.999999999996</v>
      </c>
      <c r="H83" s="72">
        <f t="shared" si="18"/>
        <v>3265125</v>
      </c>
      <c r="I83" s="79">
        <v>2328163</v>
      </c>
      <c r="J83" s="80">
        <f t="shared" si="20"/>
        <v>2328.163</v>
      </c>
      <c r="K83" s="72">
        <v>0.98170000000000002</v>
      </c>
      <c r="L83" s="91">
        <f t="shared" si="19"/>
        <v>2285</v>
      </c>
      <c r="M83" s="250"/>
    </row>
    <row r="84" spans="2:14" ht="14.4" x14ac:dyDescent="0.3">
      <c r="B84" s="81">
        <v>44562</v>
      </c>
      <c r="C84" s="77">
        <v>44562</v>
      </c>
      <c r="D84" s="78">
        <v>44592</v>
      </c>
      <c r="E84" s="79">
        <v>3457500</v>
      </c>
      <c r="F84" s="177">
        <v>21000</v>
      </c>
      <c r="G84" s="72">
        <f t="shared" si="17"/>
        <v>24149.999999999996</v>
      </c>
      <c r="H84" s="72">
        <f t="shared" si="18"/>
        <v>3433350</v>
      </c>
      <c r="I84" s="79">
        <v>2445883</v>
      </c>
      <c r="J84" s="80">
        <f t="shared" si="20"/>
        <v>2445.8829999999998</v>
      </c>
      <c r="K84" s="72">
        <v>0.98170000000000002</v>
      </c>
      <c r="L84" s="91">
        <f t="shared" si="19"/>
        <v>2401</v>
      </c>
      <c r="M84" s="251">
        <f>ROUNDDOWN((SUM(L84:L91)),0)</f>
        <v>19020</v>
      </c>
      <c r="N84" s="152">
        <f>M84</f>
        <v>19020</v>
      </c>
    </row>
    <row r="85" spans="2:14" ht="14.4" x14ac:dyDescent="0.3">
      <c r="B85" s="81">
        <v>44593</v>
      </c>
      <c r="C85" s="77">
        <v>44593</v>
      </c>
      <c r="D85" s="78">
        <v>44620</v>
      </c>
      <c r="E85" s="79">
        <v>3780000</v>
      </c>
      <c r="F85" s="177">
        <v>19500</v>
      </c>
      <c r="G85" s="72">
        <f t="shared" si="17"/>
        <v>22425</v>
      </c>
      <c r="H85" s="72">
        <f t="shared" si="18"/>
        <v>3757575</v>
      </c>
      <c r="I85" s="79">
        <v>2678623</v>
      </c>
      <c r="J85" s="80">
        <f t="shared" si="20"/>
        <v>2678.623</v>
      </c>
      <c r="K85" s="72">
        <v>0.98170000000000002</v>
      </c>
      <c r="L85" s="91">
        <f t="shared" si="19"/>
        <v>2629</v>
      </c>
      <c r="M85" s="249"/>
    </row>
    <row r="86" spans="2:14" ht="14.4" x14ac:dyDescent="0.3">
      <c r="B86" s="81">
        <v>44621</v>
      </c>
      <c r="C86" s="77">
        <v>44621</v>
      </c>
      <c r="D86" s="78">
        <v>44651</v>
      </c>
      <c r="E86" s="79">
        <v>3535500</v>
      </c>
      <c r="F86" s="177">
        <v>19500</v>
      </c>
      <c r="G86" s="72">
        <f t="shared" si="17"/>
        <v>22425</v>
      </c>
      <c r="H86" s="72">
        <f t="shared" si="18"/>
        <v>3513075</v>
      </c>
      <c r="I86" s="79">
        <v>2839524</v>
      </c>
      <c r="J86" s="80">
        <f t="shared" si="20"/>
        <v>2839.5239999999999</v>
      </c>
      <c r="K86" s="72">
        <v>0.98170000000000002</v>
      </c>
      <c r="L86" s="91">
        <f t="shared" si="19"/>
        <v>2787</v>
      </c>
      <c r="M86" s="249"/>
    </row>
    <row r="87" spans="2:14" ht="14.4" x14ac:dyDescent="0.3">
      <c r="B87" s="81">
        <v>44652</v>
      </c>
      <c r="C87" s="77">
        <v>44652</v>
      </c>
      <c r="D87" s="78">
        <v>44681</v>
      </c>
      <c r="E87" s="79">
        <v>3673500</v>
      </c>
      <c r="F87" s="177">
        <v>19500</v>
      </c>
      <c r="G87" s="72">
        <f t="shared" si="17"/>
        <v>22425</v>
      </c>
      <c r="H87" s="72">
        <f t="shared" si="18"/>
        <v>3651075</v>
      </c>
      <c r="I87" s="79">
        <v>2608586</v>
      </c>
      <c r="J87" s="80">
        <f t="shared" si="20"/>
        <v>2608.5859999999998</v>
      </c>
      <c r="K87" s="72">
        <v>0.98170000000000002</v>
      </c>
      <c r="L87" s="91">
        <f t="shared" si="19"/>
        <v>2560</v>
      </c>
      <c r="M87" s="249"/>
    </row>
    <row r="88" spans="2:14" ht="14.4" x14ac:dyDescent="0.3">
      <c r="B88" s="81">
        <v>44682</v>
      </c>
      <c r="C88" s="77">
        <v>44682</v>
      </c>
      <c r="D88" s="78">
        <v>44712</v>
      </c>
      <c r="E88" s="79">
        <v>3535500</v>
      </c>
      <c r="F88" s="177">
        <v>19500</v>
      </c>
      <c r="G88" s="72">
        <f t="shared" si="17"/>
        <v>22425</v>
      </c>
      <c r="H88" s="72">
        <f t="shared" si="18"/>
        <v>3513075</v>
      </c>
      <c r="I88" s="79">
        <v>2509515</v>
      </c>
      <c r="J88" s="80">
        <f t="shared" si="20"/>
        <v>2509.5149999999999</v>
      </c>
      <c r="K88" s="72">
        <v>0.98170000000000002</v>
      </c>
      <c r="L88" s="91">
        <f t="shared" si="19"/>
        <v>2463</v>
      </c>
      <c r="M88" s="249"/>
    </row>
    <row r="89" spans="2:14" ht="14.4" x14ac:dyDescent="0.3">
      <c r="B89" s="81">
        <v>44713</v>
      </c>
      <c r="C89" s="77">
        <v>44713</v>
      </c>
      <c r="D89" s="78">
        <v>44742</v>
      </c>
      <c r="E89" s="180">
        <v>2475000</v>
      </c>
      <c r="F89" s="181">
        <v>8750</v>
      </c>
      <c r="G89" s="72">
        <f t="shared" si="17"/>
        <v>10062.5</v>
      </c>
      <c r="H89" s="72">
        <f t="shared" si="18"/>
        <v>2464937.5</v>
      </c>
      <c r="I89" s="79">
        <v>2445374</v>
      </c>
      <c r="J89" s="80">
        <f t="shared" si="20"/>
        <v>2445.3739999999998</v>
      </c>
      <c r="K89" s="72">
        <v>0.98170000000000002</v>
      </c>
      <c r="L89" s="91">
        <f t="shared" si="19"/>
        <v>2400</v>
      </c>
      <c r="M89" s="249"/>
    </row>
    <row r="90" spans="2:14" ht="14.4" x14ac:dyDescent="0.3">
      <c r="B90" s="81">
        <v>44743</v>
      </c>
      <c r="C90" s="77">
        <v>44743</v>
      </c>
      <c r="D90" s="78">
        <v>44773</v>
      </c>
      <c r="E90" s="79">
        <v>2758200</v>
      </c>
      <c r="F90" s="177">
        <v>18000</v>
      </c>
      <c r="G90" s="72">
        <f t="shared" si="17"/>
        <v>20700</v>
      </c>
      <c r="H90" s="72">
        <f t="shared" si="18"/>
        <v>2737500</v>
      </c>
      <c r="I90" s="90">
        <v>1928920</v>
      </c>
      <c r="J90" s="80">
        <f t="shared" si="20"/>
        <v>1928.92</v>
      </c>
      <c r="K90" s="72">
        <v>0.98170000000000002</v>
      </c>
      <c r="L90" s="91">
        <f t="shared" si="19"/>
        <v>1893</v>
      </c>
      <c r="M90" s="249"/>
    </row>
    <row r="91" spans="2:14" ht="15" thickBot="1" x14ac:dyDescent="0.35">
      <c r="B91" s="81">
        <v>44774</v>
      </c>
      <c r="C91" s="77">
        <v>44774</v>
      </c>
      <c r="D91" s="78">
        <v>44804</v>
      </c>
      <c r="E91" s="79">
        <v>2712000</v>
      </c>
      <c r="F91" s="177">
        <v>19500</v>
      </c>
      <c r="G91" s="72">
        <f t="shared" si="17"/>
        <v>22425</v>
      </c>
      <c r="H91" s="72">
        <f t="shared" si="18"/>
        <v>2689575</v>
      </c>
      <c r="I91" s="79">
        <v>1922866.5</v>
      </c>
      <c r="J91" s="80">
        <f t="shared" si="20"/>
        <v>1922.8665000000001</v>
      </c>
      <c r="K91" s="72">
        <v>0.98170000000000002</v>
      </c>
      <c r="L91" s="91">
        <f t="shared" si="19"/>
        <v>1887</v>
      </c>
      <c r="M91" s="250"/>
    </row>
    <row r="92" spans="2:14" ht="14.4" x14ac:dyDescent="0.3">
      <c r="B92" s="252" t="s">
        <v>12</v>
      </c>
      <c r="C92" s="252"/>
      <c r="D92" s="252"/>
      <c r="E92" s="171"/>
      <c r="F92" s="178"/>
      <c r="G92" s="171"/>
      <c r="H92" s="171">
        <f>ROUNDDOWN((SUM(H75:H91)),0)</f>
        <v>55720337</v>
      </c>
      <c r="I92" s="171">
        <f t="shared" ref="I92:J92" si="21">ROUNDDOWN((SUM(I75:I91)),0)</f>
        <v>40779975</v>
      </c>
      <c r="J92" s="171">
        <f t="shared" si="21"/>
        <v>40779</v>
      </c>
      <c r="K92" s="171"/>
      <c r="L92" s="171">
        <f>ROUNDDOWN(SUM(L75:L91),0)</f>
        <v>40025</v>
      </c>
      <c r="M92" s="179">
        <f>M75+M84</f>
        <v>40025</v>
      </c>
    </row>
    <row r="93" spans="2:14" ht="14.4" x14ac:dyDescent="0.3">
      <c r="H93" s="180"/>
    </row>
  </sheetData>
  <mergeCells count="60">
    <mergeCell ref="K27:K28"/>
    <mergeCell ref="L27:L28"/>
    <mergeCell ref="M27:M28"/>
    <mergeCell ref="F2:J2"/>
    <mergeCell ref="B4:B5"/>
    <mergeCell ref="C4:D4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B23:D23"/>
    <mergeCell ref="F25:J25"/>
    <mergeCell ref="B27:B28"/>
    <mergeCell ref="C27:D27"/>
    <mergeCell ref="E27:E28"/>
    <mergeCell ref="F27:F28"/>
    <mergeCell ref="G27:G28"/>
    <mergeCell ref="H27:H28"/>
    <mergeCell ref="I27:I28"/>
    <mergeCell ref="J27:J28"/>
    <mergeCell ref="B69:D69"/>
    <mergeCell ref="B46:D46"/>
    <mergeCell ref="F48:J48"/>
    <mergeCell ref="M50:M51"/>
    <mergeCell ref="L50:L51"/>
    <mergeCell ref="H50:H51"/>
    <mergeCell ref="I50:I51"/>
    <mergeCell ref="J50:J51"/>
    <mergeCell ref="K50:K51"/>
    <mergeCell ref="B50:B51"/>
    <mergeCell ref="C50:D50"/>
    <mergeCell ref="E50:E51"/>
    <mergeCell ref="F50:F51"/>
    <mergeCell ref="G50:G51"/>
    <mergeCell ref="F71:J71"/>
    <mergeCell ref="B73:B74"/>
    <mergeCell ref="C73:D73"/>
    <mergeCell ref="E73:E74"/>
    <mergeCell ref="F73:F74"/>
    <mergeCell ref="G73:G74"/>
    <mergeCell ref="H73:H74"/>
    <mergeCell ref="I73:I74"/>
    <mergeCell ref="J73:J74"/>
    <mergeCell ref="M75:M83"/>
    <mergeCell ref="M84:M91"/>
    <mergeCell ref="B92:D92"/>
    <mergeCell ref="K73:K74"/>
    <mergeCell ref="L73:L74"/>
    <mergeCell ref="M73:M74"/>
    <mergeCell ref="M6:M14"/>
    <mergeCell ref="M15:M22"/>
    <mergeCell ref="M38:M45"/>
    <mergeCell ref="M52:M60"/>
    <mergeCell ref="M61:M68"/>
    <mergeCell ref="M29:M37"/>
  </mergeCells>
  <pageMargins left="0.78749999999999998" right="0.78749999999999998" top="1.0249999999999999" bottom="1.0249999999999999" header="0.78749999999999998" footer="0.78749999999999998"/>
  <pageSetup orientation="portrait" horizontalDpi="300" verticalDpi="300" r:id="rId1"/>
  <headerFooter>
    <oddHeader>&amp;C&amp;A</oddHeader>
    <oddFooter>&amp;CPage &amp;P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4:N23"/>
  <sheetViews>
    <sheetView topLeftCell="B7" zoomScalePageLayoutView="60" workbookViewId="0">
      <selection activeCell="E33" sqref="E33"/>
    </sheetView>
  </sheetViews>
  <sheetFormatPr defaultRowHeight="13.2" x14ac:dyDescent="0.25"/>
  <cols>
    <col min="1" max="4" width="11.6640625" style="58" customWidth="1"/>
    <col min="5" max="5" width="14.33203125" style="58" customWidth="1"/>
    <col min="6" max="7" width="14.44140625" style="58" customWidth="1"/>
    <col min="8" max="8" width="20.5546875" style="58" customWidth="1"/>
    <col min="9" max="9" width="19.88671875" style="58" customWidth="1"/>
    <col min="10" max="10" width="22.44140625" style="58" customWidth="1"/>
    <col min="11" max="11" width="11.88671875" style="58" customWidth="1"/>
    <col min="12" max="12" width="17.44140625" style="58" customWidth="1"/>
    <col min="13" max="13" width="14.33203125" style="58" customWidth="1"/>
    <col min="14" max="256" width="11.6640625" style="58" customWidth="1"/>
    <col min="257" max="1025" width="11.5546875" style="58"/>
    <col min="1026" max="16384" width="8.88671875" style="58"/>
  </cols>
  <sheetData>
    <row r="4" spans="2:14" ht="15" customHeight="1" x14ac:dyDescent="0.25">
      <c r="B4" s="256" t="s">
        <v>0</v>
      </c>
      <c r="C4" s="240" t="s">
        <v>1</v>
      </c>
      <c r="D4" s="240"/>
      <c r="E4" s="241" t="s">
        <v>2</v>
      </c>
      <c r="F4" s="262" t="s">
        <v>3</v>
      </c>
      <c r="G4" s="253" t="s">
        <v>18</v>
      </c>
      <c r="H4" s="240" t="s">
        <v>4</v>
      </c>
      <c r="I4" s="240" t="s">
        <v>5</v>
      </c>
      <c r="J4" s="241" t="s">
        <v>6</v>
      </c>
      <c r="K4" s="241" t="s">
        <v>7</v>
      </c>
      <c r="L4" s="241" t="s">
        <v>8</v>
      </c>
      <c r="M4" s="253" t="s">
        <v>9</v>
      </c>
    </row>
    <row r="5" spans="2:14" ht="33" customHeight="1" thickBot="1" x14ac:dyDescent="0.3">
      <c r="B5" s="256"/>
      <c r="C5" s="175" t="s">
        <v>10</v>
      </c>
      <c r="D5" s="168" t="s">
        <v>11</v>
      </c>
      <c r="E5" s="241"/>
      <c r="F5" s="262"/>
      <c r="G5" s="253"/>
      <c r="H5" s="240"/>
      <c r="I5" s="240"/>
      <c r="J5" s="241"/>
      <c r="K5" s="241"/>
      <c r="L5" s="241"/>
      <c r="M5" s="254"/>
    </row>
    <row r="6" spans="2:14" ht="14.4" x14ac:dyDescent="0.3">
      <c r="B6" s="140">
        <v>44287</v>
      </c>
      <c r="C6" s="77">
        <v>44287</v>
      </c>
      <c r="D6" s="78">
        <v>44316</v>
      </c>
      <c r="E6" s="71">
        <v>969675</v>
      </c>
      <c r="F6" s="72">
        <v>4000</v>
      </c>
      <c r="G6" s="70">
        <f t="shared" ref="G6:G22" si="0">F6*1.15</f>
        <v>4600</v>
      </c>
      <c r="H6" s="80">
        <f t="shared" ref="H6:H22" si="1">E6-G6</f>
        <v>965075</v>
      </c>
      <c r="I6" s="72">
        <v>965075</v>
      </c>
      <c r="J6" s="80">
        <f t="shared" ref="J6:J22" si="2">H6/1000</f>
        <v>965.07500000000005</v>
      </c>
      <c r="K6" s="72">
        <v>0.98170000000000002</v>
      </c>
      <c r="L6" s="91">
        <f t="shared" ref="L6:L22" si="3">ROUNDDOWN(J6*K6,0)</f>
        <v>947</v>
      </c>
      <c r="M6" s="251">
        <f>ROUNDDOWN((SUM(L6:L14)),0)</f>
        <v>7554</v>
      </c>
      <c r="N6" s="152">
        <f>M6</f>
        <v>7554</v>
      </c>
    </row>
    <row r="7" spans="2:14" ht="14.4" x14ac:dyDescent="0.3">
      <c r="B7" s="140">
        <v>44317</v>
      </c>
      <c r="C7" s="77">
        <v>44317</v>
      </c>
      <c r="D7" s="78">
        <v>44347</v>
      </c>
      <c r="E7" s="79">
        <v>981327</v>
      </c>
      <c r="F7" s="79">
        <v>5850</v>
      </c>
      <c r="G7" s="70">
        <f>F7*1.15</f>
        <v>6727.4999999999991</v>
      </c>
      <c r="H7" s="80">
        <f>E7-G7</f>
        <v>974599.5</v>
      </c>
      <c r="I7" s="79">
        <v>974599</v>
      </c>
      <c r="J7" s="80">
        <f t="shared" si="2"/>
        <v>974.59950000000003</v>
      </c>
      <c r="K7" s="72">
        <v>0.98170000000000002</v>
      </c>
      <c r="L7" s="91">
        <f t="shared" si="3"/>
        <v>956</v>
      </c>
      <c r="M7" s="249"/>
    </row>
    <row r="8" spans="2:14" ht="14.4" x14ac:dyDescent="0.3">
      <c r="B8" s="140">
        <v>44348</v>
      </c>
      <c r="C8" s="77">
        <v>44348</v>
      </c>
      <c r="D8" s="78">
        <v>44377</v>
      </c>
      <c r="E8" s="79">
        <v>836756</v>
      </c>
      <c r="F8" s="79">
        <v>4500</v>
      </c>
      <c r="G8" s="70">
        <f t="shared" si="0"/>
        <v>5175</v>
      </c>
      <c r="H8" s="80">
        <f t="shared" si="1"/>
        <v>831581</v>
      </c>
      <c r="I8" s="79">
        <v>831581</v>
      </c>
      <c r="J8" s="80">
        <f t="shared" si="2"/>
        <v>831.58100000000002</v>
      </c>
      <c r="K8" s="72">
        <v>0.98170000000000002</v>
      </c>
      <c r="L8" s="91">
        <f t="shared" si="3"/>
        <v>816</v>
      </c>
      <c r="M8" s="249"/>
    </row>
    <row r="9" spans="2:14" ht="14.4" x14ac:dyDescent="0.3">
      <c r="B9" s="140">
        <v>44378</v>
      </c>
      <c r="C9" s="77">
        <v>44378</v>
      </c>
      <c r="D9" s="78">
        <v>44408</v>
      </c>
      <c r="E9" s="79">
        <v>708016</v>
      </c>
      <c r="F9" s="79">
        <v>4000</v>
      </c>
      <c r="G9" s="70">
        <f t="shared" si="0"/>
        <v>4600</v>
      </c>
      <c r="H9" s="80">
        <f t="shared" si="1"/>
        <v>703416</v>
      </c>
      <c r="I9" s="79">
        <v>703416</v>
      </c>
      <c r="J9" s="80">
        <f t="shared" si="2"/>
        <v>703.41600000000005</v>
      </c>
      <c r="K9" s="72">
        <v>0.98170000000000002</v>
      </c>
      <c r="L9" s="91">
        <f t="shared" si="3"/>
        <v>690</v>
      </c>
      <c r="M9" s="249"/>
    </row>
    <row r="10" spans="2:14" ht="14.4" x14ac:dyDescent="0.3">
      <c r="B10" s="140">
        <v>44409</v>
      </c>
      <c r="C10" s="77">
        <v>44409</v>
      </c>
      <c r="D10" s="78">
        <v>44439</v>
      </c>
      <c r="E10" s="79">
        <v>777757</v>
      </c>
      <c r="F10" s="79">
        <v>4500</v>
      </c>
      <c r="G10" s="70">
        <f t="shared" si="0"/>
        <v>5175</v>
      </c>
      <c r="H10" s="80">
        <f t="shared" si="1"/>
        <v>772582</v>
      </c>
      <c r="I10" s="79">
        <v>772582</v>
      </c>
      <c r="J10" s="80">
        <f t="shared" si="2"/>
        <v>772.58199999999999</v>
      </c>
      <c r="K10" s="72">
        <v>0.98170000000000002</v>
      </c>
      <c r="L10" s="91">
        <f t="shared" si="3"/>
        <v>758</v>
      </c>
      <c r="M10" s="249"/>
    </row>
    <row r="11" spans="2:14" ht="14.4" x14ac:dyDescent="0.3">
      <c r="B11" s="140">
        <v>44440</v>
      </c>
      <c r="C11" s="77">
        <v>44440</v>
      </c>
      <c r="D11" s="78">
        <v>44469</v>
      </c>
      <c r="E11" s="79">
        <v>796871</v>
      </c>
      <c r="F11" s="79">
        <v>5850</v>
      </c>
      <c r="G11" s="70">
        <f t="shared" si="0"/>
        <v>6727.4999999999991</v>
      </c>
      <c r="H11" s="80">
        <f t="shared" si="1"/>
        <v>790143.5</v>
      </c>
      <c r="I11" s="79">
        <v>790143</v>
      </c>
      <c r="J11" s="80">
        <f t="shared" si="2"/>
        <v>790.14350000000002</v>
      </c>
      <c r="K11" s="72">
        <v>0.98170000000000002</v>
      </c>
      <c r="L11" s="91">
        <f t="shared" si="3"/>
        <v>775</v>
      </c>
      <c r="M11" s="249"/>
    </row>
    <row r="12" spans="2:14" ht="14.4" x14ac:dyDescent="0.3">
      <c r="B12" s="140">
        <v>44470</v>
      </c>
      <c r="C12" s="77">
        <v>44470</v>
      </c>
      <c r="D12" s="78">
        <v>44500</v>
      </c>
      <c r="E12" s="79">
        <v>1057189</v>
      </c>
      <c r="F12" s="79">
        <v>4666</v>
      </c>
      <c r="G12" s="70">
        <f t="shared" si="0"/>
        <v>5365.9</v>
      </c>
      <c r="H12" s="80">
        <f t="shared" si="1"/>
        <v>1051823.1000000001</v>
      </c>
      <c r="I12" s="79">
        <v>1051822</v>
      </c>
      <c r="J12" s="80">
        <f t="shared" si="2"/>
        <v>1051.8231000000001</v>
      </c>
      <c r="K12" s="72">
        <v>0.98170000000000002</v>
      </c>
      <c r="L12" s="91">
        <f t="shared" si="3"/>
        <v>1032</v>
      </c>
      <c r="M12" s="249"/>
    </row>
    <row r="13" spans="2:14" ht="14.4" x14ac:dyDescent="0.3">
      <c r="B13" s="140">
        <v>44501</v>
      </c>
      <c r="C13" s="77">
        <v>44501</v>
      </c>
      <c r="D13" s="78">
        <v>44530</v>
      </c>
      <c r="E13" s="79">
        <v>774895</v>
      </c>
      <c r="F13" s="79">
        <v>5727</v>
      </c>
      <c r="G13" s="70">
        <f t="shared" si="0"/>
        <v>6586.0499999999993</v>
      </c>
      <c r="H13" s="80">
        <f t="shared" si="1"/>
        <v>768308.95</v>
      </c>
      <c r="I13" s="79">
        <v>768309</v>
      </c>
      <c r="J13" s="80">
        <f t="shared" si="2"/>
        <v>768.30894999999998</v>
      </c>
      <c r="K13" s="72">
        <v>0.98170000000000002</v>
      </c>
      <c r="L13" s="91">
        <f t="shared" si="3"/>
        <v>754</v>
      </c>
      <c r="M13" s="249"/>
    </row>
    <row r="14" spans="2:14" ht="15" thickBot="1" x14ac:dyDescent="0.35">
      <c r="B14" s="140">
        <v>44531</v>
      </c>
      <c r="C14" s="77">
        <v>44531</v>
      </c>
      <c r="D14" s="78">
        <v>44561</v>
      </c>
      <c r="E14" s="79">
        <v>849017</v>
      </c>
      <c r="F14" s="79">
        <v>6136</v>
      </c>
      <c r="G14" s="70">
        <f t="shared" si="0"/>
        <v>7056.4</v>
      </c>
      <c r="H14" s="80">
        <f t="shared" si="1"/>
        <v>841960.6</v>
      </c>
      <c r="I14" s="79">
        <v>841960</v>
      </c>
      <c r="J14" s="80">
        <f t="shared" si="2"/>
        <v>841.9606</v>
      </c>
      <c r="K14" s="72">
        <v>0.98170000000000002</v>
      </c>
      <c r="L14" s="91">
        <f t="shared" si="3"/>
        <v>826</v>
      </c>
      <c r="M14" s="250"/>
    </row>
    <row r="15" spans="2:14" ht="14.4" x14ac:dyDescent="0.3">
      <c r="B15" s="140">
        <v>44562</v>
      </c>
      <c r="C15" s="77">
        <v>44562</v>
      </c>
      <c r="D15" s="78">
        <v>44592</v>
      </c>
      <c r="E15" s="79">
        <v>902834</v>
      </c>
      <c r="F15" s="79">
        <v>4666.67</v>
      </c>
      <c r="G15" s="182">
        <f t="shared" si="0"/>
        <v>5366.6704999999993</v>
      </c>
      <c r="H15" s="80">
        <f t="shared" si="1"/>
        <v>897467.32949999999</v>
      </c>
      <c r="I15" s="79">
        <v>897467</v>
      </c>
      <c r="J15" s="80">
        <f t="shared" si="2"/>
        <v>897.46732950000001</v>
      </c>
      <c r="K15" s="72">
        <v>0.98170000000000002</v>
      </c>
      <c r="L15" s="91">
        <f t="shared" si="3"/>
        <v>881</v>
      </c>
      <c r="M15" s="251">
        <f>ROUNDDOWN((SUM(L15:L22)),0)</f>
        <v>6887</v>
      </c>
    </row>
    <row r="16" spans="2:14" ht="14.4" x14ac:dyDescent="0.3">
      <c r="B16" s="140">
        <v>44593</v>
      </c>
      <c r="C16" s="77">
        <v>44593</v>
      </c>
      <c r="D16" s="78">
        <v>44620</v>
      </c>
      <c r="E16" s="79">
        <v>990678</v>
      </c>
      <c r="F16" s="79">
        <v>5850</v>
      </c>
      <c r="G16" s="70">
        <f t="shared" si="0"/>
        <v>6727.4999999999991</v>
      </c>
      <c r="H16" s="80">
        <f t="shared" si="1"/>
        <v>983950.5</v>
      </c>
      <c r="I16" s="79">
        <v>983950</v>
      </c>
      <c r="J16" s="80">
        <f t="shared" si="2"/>
        <v>983.95050000000003</v>
      </c>
      <c r="K16" s="72">
        <v>0.98170000000000002</v>
      </c>
      <c r="L16" s="91">
        <f t="shared" si="3"/>
        <v>965</v>
      </c>
      <c r="M16" s="249"/>
      <c r="N16" s="152">
        <f>M15</f>
        <v>6887</v>
      </c>
    </row>
    <row r="17" spans="2:13" ht="14.4" x14ac:dyDescent="0.3">
      <c r="B17" s="140">
        <v>44621</v>
      </c>
      <c r="C17" s="77">
        <v>44621</v>
      </c>
      <c r="D17" s="78">
        <v>44651</v>
      </c>
      <c r="E17" s="79">
        <v>1052157</v>
      </c>
      <c r="F17" s="79">
        <v>4200</v>
      </c>
      <c r="G17" s="70">
        <f t="shared" si="0"/>
        <v>4830</v>
      </c>
      <c r="H17" s="80">
        <f t="shared" si="1"/>
        <v>1047327</v>
      </c>
      <c r="I17" s="79">
        <v>1047327</v>
      </c>
      <c r="J17" s="80">
        <f t="shared" si="2"/>
        <v>1047.327</v>
      </c>
      <c r="K17" s="72">
        <v>0.98170000000000002</v>
      </c>
      <c r="L17" s="91">
        <f t="shared" si="3"/>
        <v>1028</v>
      </c>
      <c r="M17" s="249"/>
    </row>
    <row r="18" spans="2:13" ht="14.4" x14ac:dyDescent="0.3">
      <c r="B18" s="140">
        <v>44652</v>
      </c>
      <c r="C18" s="77">
        <v>44652</v>
      </c>
      <c r="D18" s="78">
        <v>44681</v>
      </c>
      <c r="E18" s="79">
        <v>949216</v>
      </c>
      <c r="F18" s="79">
        <v>5850</v>
      </c>
      <c r="G18" s="70">
        <f t="shared" si="0"/>
        <v>6727.4999999999991</v>
      </c>
      <c r="H18" s="80">
        <f t="shared" si="1"/>
        <v>942488.5</v>
      </c>
      <c r="I18" s="79">
        <v>942488</v>
      </c>
      <c r="J18" s="80">
        <f t="shared" si="2"/>
        <v>942.48850000000004</v>
      </c>
      <c r="K18" s="72">
        <v>0.98170000000000002</v>
      </c>
      <c r="L18" s="91">
        <f t="shared" si="3"/>
        <v>925</v>
      </c>
      <c r="M18" s="249"/>
    </row>
    <row r="19" spans="2:13" ht="14.4" x14ac:dyDescent="0.3">
      <c r="B19" s="140">
        <v>44682</v>
      </c>
      <c r="C19" s="77">
        <v>44682</v>
      </c>
      <c r="D19" s="78">
        <v>44712</v>
      </c>
      <c r="E19" s="79">
        <v>908544</v>
      </c>
      <c r="F19" s="79">
        <v>4333</v>
      </c>
      <c r="G19" s="70">
        <f t="shared" si="0"/>
        <v>4982.95</v>
      </c>
      <c r="H19" s="80">
        <f t="shared" si="1"/>
        <v>903561.05</v>
      </c>
      <c r="I19" s="79">
        <v>903561</v>
      </c>
      <c r="J19" s="80">
        <f t="shared" si="2"/>
        <v>903.56105000000002</v>
      </c>
      <c r="K19" s="72">
        <v>0.98170000000000002</v>
      </c>
      <c r="L19" s="91">
        <f t="shared" si="3"/>
        <v>887</v>
      </c>
      <c r="M19" s="249"/>
    </row>
    <row r="20" spans="2:13" ht="14.4" x14ac:dyDescent="0.3">
      <c r="B20" s="140">
        <v>44713</v>
      </c>
      <c r="C20" s="77">
        <v>44713</v>
      </c>
      <c r="D20" s="78">
        <v>44742</v>
      </c>
      <c r="E20" s="79">
        <v>884428</v>
      </c>
      <c r="F20" s="79">
        <v>5850</v>
      </c>
      <c r="G20" s="70">
        <f t="shared" si="0"/>
        <v>6727.4999999999991</v>
      </c>
      <c r="H20" s="80">
        <f t="shared" si="1"/>
        <v>877700.5</v>
      </c>
      <c r="I20" s="79">
        <v>877700</v>
      </c>
      <c r="J20" s="80">
        <f t="shared" si="2"/>
        <v>877.70050000000003</v>
      </c>
      <c r="K20" s="72">
        <v>0.98170000000000002</v>
      </c>
      <c r="L20" s="91">
        <f t="shared" si="3"/>
        <v>861</v>
      </c>
      <c r="M20" s="249"/>
    </row>
    <row r="21" spans="2:13" ht="14.4" x14ac:dyDescent="0.3">
      <c r="B21" s="140">
        <v>44743</v>
      </c>
      <c r="C21" s="77">
        <v>44743</v>
      </c>
      <c r="D21" s="78">
        <v>44773</v>
      </c>
      <c r="E21" s="79">
        <v>693480</v>
      </c>
      <c r="F21" s="79">
        <v>4000</v>
      </c>
      <c r="G21" s="70">
        <f t="shared" si="0"/>
        <v>4600</v>
      </c>
      <c r="H21" s="80">
        <f t="shared" si="1"/>
        <v>688880</v>
      </c>
      <c r="I21" s="79">
        <v>688880</v>
      </c>
      <c r="J21" s="80">
        <f t="shared" si="2"/>
        <v>688.88</v>
      </c>
      <c r="K21" s="72">
        <v>0.98170000000000002</v>
      </c>
      <c r="L21" s="91">
        <f t="shared" si="3"/>
        <v>676</v>
      </c>
      <c r="M21" s="249"/>
    </row>
    <row r="22" spans="2:13" ht="15" thickBot="1" x14ac:dyDescent="0.35">
      <c r="B22" s="140">
        <v>44774</v>
      </c>
      <c r="C22" s="77">
        <v>44774</v>
      </c>
      <c r="D22" s="78">
        <v>44804</v>
      </c>
      <c r="E22" s="79">
        <v>683436</v>
      </c>
      <c r="F22" s="79">
        <v>5850</v>
      </c>
      <c r="G22" s="70">
        <f t="shared" si="0"/>
        <v>6727.4999999999991</v>
      </c>
      <c r="H22" s="80">
        <f t="shared" si="1"/>
        <v>676708.5</v>
      </c>
      <c r="I22" s="79">
        <v>676708</v>
      </c>
      <c r="J22" s="80">
        <f t="shared" si="2"/>
        <v>676.70849999999996</v>
      </c>
      <c r="K22" s="72">
        <v>0.98170000000000002</v>
      </c>
      <c r="L22" s="91">
        <f t="shared" si="3"/>
        <v>664</v>
      </c>
      <c r="M22" s="250"/>
    </row>
    <row r="23" spans="2:13" ht="14.4" x14ac:dyDescent="0.3">
      <c r="B23" s="252" t="s">
        <v>12</v>
      </c>
      <c r="C23" s="252"/>
      <c r="D23" s="252"/>
      <c r="E23" s="171"/>
      <c r="F23" s="171"/>
      <c r="G23" s="183"/>
      <c r="H23" s="172">
        <f>ROUNDDOWN((SUM(H6:H22)),0)</f>
        <v>14717573</v>
      </c>
      <c r="I23" s="172">
        <f>ROUNDDOWN((SUM(I6:I22)),0)</f>
        <v>14717568</v>
      </c>
      <c r="J23" s="172">
        <f t="shared" ref="J23:L23" si="4">ROUNDDOWN((SUM(J6:J22)),0)</f>
        <v>14717</v>
      </c>
      <c r="K23" s="172"/>
      <c r="L23" s="172">
        <f t="shared" si="4"/>
        <v>14441</v>
      </c>
      <c r="M23" s="179">
        <f>M6+M15</f>
        <v>14441</v>
      </c>
    </row>
  </sheetData>
  <mergeCells count="14">
    <mergeCell ref="M6:M14"/>
    <mergeCell ref="M15:M22"/>
    <mergeCell ref="M4:M5"/>
    <mergeCell ref="B23:D23"/>
    <mergeCell ref="H4:H5"/>
    <mergeCell ref="I4:I5"/>
    <mergeCell ref="J4:J5"/>
    <mergeCell ref="K4:K5"/>
    <mergeCell ref="L4:L5"/>
    <mergeCell ref="B4:B5"/>
    <mergeCell ref="C4:D4"/>
    <mergeCell ref="E4:E5"/>
    <mergeCell ref="F4:F5"/>
    <mergeCell ref="G4:G5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R41"/>
  <sheetViews>
    <sheetView zoomScaleNormal="100" zoomScalePageLayoutView="60" workbookViewId="0">
      <selection activeCell="H7" sqref="H7"/>
    </sheetView>
  </sheetViews>
  <sheetFormatPr defaultRowHeight="13.2" x14ac:dyDescent="0.25"/>
  <cols>
    <col min="1" max="2" width="11.6640625" customWidth="1"/>
    <col min="3" max="3" width="12.109375" customWidth="1"/>
    <col min="4" max="4" width="12.88671875" customWidth="1"/>
    <col min="5" max="5" width="12" customWidth="1"/>
    <col min="6" max="6" width="14.6640625" customWidth="1"/>
    <col min="7" max="7" width="11.6640625" customWidth="1"/>
    <col min="8" max="8" width="14.6640625" customWidth="1"/>
    <col min="9" max="9" width="17.33203125" customWidth="1"/>
    <col min="10" max="10" width="15.88671875" customWidth="1"/>
    <col min="11" max="11" width="11.6640625" customWidth="1"/>
    <col min="12" max="13" width="14.109375" customWidth="1"/>
    <col min="14" max="17" width="11.6640625" customWidth="1"/>
    <col min="18" max="18" width="10.44140625" customWidth="1"/>
    <col min="19" max="252" width="11.6640625" customWidth="1"/>
    <col min="253" max="1021" width="11.5546875"/>
  </cols>
  <sheetData>
    <row r="1" spans="2:18" ht="13.8" thickBot="1" x14ac:dyDescent="0.3"/>
    <row r="2" spans="2:18" ht="13.95" customHeight="1" x14ac:dyDescent="0.25">
      <c r="B2" s="228" t="s">
        <v>0</v>
      </c>
      <c r="C2" s="229" t="s">
        <v>1</v>
      </c>
      <c r="D2" s="229"/>
      <c r="E2" s="222" t="s">
        <v>2</v>
      </c>
      <c r="F2" s="265" t="s">
        <v>19</v>
      </c>
      <c r="G2" s="222" t="s">
        <v>3</v>
      </c>
      <c r="H2" s="229" t="s">
        <v>4</v>
      </c>
      <c r="I2" s="229" t="s">
        <v>5</v>
      </c>
      <c r="J2" s="222" t="s">
        <v>6</v>
      </c>
      <c r="K2" s="222" t="s">
        <v>7</v>
      </c>
      <c r="L2" s="222" t="s">
        <v>8</v>
      </c>
      <c r="M2" s="229" t="s">
        <v>9</v>
      </c>
      <c r="O2" s="236">
        <v>44287</v>
      </c>
      <c r="P2" s="237"/>
      <c r="Q2" s="237"/>
      <c r="R2" s="238"/>
    </row>
    <row r="3" spans="2:18" ht="30.75" customHeight="1" thickBot="1" x14ac:dyDescent="0.3">
      <c r="B3" s="228"/>
      <c r="C3" s="2" t="s">
        <v>10</v>
      </c>
      <c r="D3" s="1" t="s">
        <v>11</v>
      </c>
      <c r="E3" s="222"/>
      <c r="F3" s="265"/>
      <c r="G3" s="222"/>
      <c r="H3" s="229"/>
      <c r="I3" s="229"/>
      <c r="J3" s="222"/>
      <c r="K3" s="222"/>
      <c r="L3" s="222"/>
      <c r="M3" s="263"/>
      <c r="O3" s="114" t="s">
        <v>138</v>
      </c>
      <c r="P3" s="115" t="s">
        <v>139</v>
      </c>
      <c r="Q3" s="116"/>
      <c r="R3" s="117"/>
    </row>
    <row r="4" spans="2:18" ht="14.4" x14ac:dyDescent="0.3">
      <c r="B4" s="40">
        <v>44287</v>
      </c>
      <c r="C4" s="38">
        <v>44286</v>
      </c>
      <c r="D4" s="39">
        <v>44316</v>
      </c>
      <c r="E4" s="138">
        <f>122985*R41</f>
        <v>115462.65970120508</v>
      </c>
      <c r="F4" s="184">
        <v>4476.88976</v>
      </c>
      <c r="G4" s="72">
        <v>540</v>
      </c>
      <c r="H4" s="71">
        <f>E4-G4</f>
        <v>114922.65970120508</v>
      </c>
      <c r="I4" s="3">
        <f>E4+F4-G4</f>
        <v>119399.54946120508</v>
      </c>
      <c r="J4" s="5">
        <f t="shared" ref="J4:J20" si="0">H4/1000</f>
        <v>114.92265970120508</v>
      </c>
      <c r="K4" s="4">
        <v>0.97699999999999998</v>
      </c>
      <c r="L4" s="73">
        <f t="shared" ref="L4:L19" si="1">J4*K4</f>
        <v>112.27943852807736</v>
      </c>
      <c r="M4" s="266">
        <f>ROUNDDOWN((SUM(L4:L12)),0)</f>
        <v>962</v>
      </c>
      <c r="N4" s="66">
        <f>M4</f>
        <v>962</v>
      </c>
      <c r="O4" s="114"/>
      <c r="P4" s="137"/>
      <c r="Q4" s="116"/>
      <c r="R4" s="116"/>
    </row>
    <row r="5" spans="2:18" ht="14.4" x14ac:dyDescent="0.3">
      <c r="B5" s="40">
        <v>44317</v>
      </c>
      <c r="C5" s="38">
        <v>44316</v>
      </c>
      <c r="D5" s="39">
        <v>44347</v>
      </c>
      <c r="E5" s="79">
        <v>138870</v>
      </c>
      <c r="F5" s="177">
        <v>1607</v>
      </c>
      <c r="G5" s="79">
        <v>585</v>
      </c>
      <c r="H5" s="71">
        <f>E5-G5</f>
        <v>138285</v>
      </c>
      <c r="I5" s="3">
        <f t="shared" ref="I5:I20" si="2">E5+F5-G5</f>
        <v>139892</v>
      </c>
      <c r="J5" s="5">
        <f t="shared" si="0"/>
        <v>138.285</v>
      </c>
      <c r="K5" s="4">
        <v>0.97699999999999998</v>
      </c>
      <c r="L5" s="73">
        <f t="shared" si="1"/>
        <v>135.104445</v>
      </c>
      <c r="M5" s="267"/>
      <c r="O5" s="118">
        <v>44286</v>
      </c>
      <c r="P5" s="119">
        <v>7522.3402987949221</v>
      </c>
      <c r="Q5" s="120"/>
      <c r="R5" s="120"/>
    </row>
    <row r="6" spans="2:18" ht="14.4" x14ac:dyDescent="0.3">
      <c r="B6" s="40">
        <v>44348</v>
      </c>
      <c r="C6" s="38">
        <v>44346</v>
      </c>
      <c r="D6" s="39">
        <v>44377</v>
      </c>
      <c r="E6" s="79">
        <v>116100</v>
      </c>
      <c r="F6" s="177">
        <v>3502</v>
      </c>
      <c r="G6" s="79">
        <v>540</v>
      </c>
      <c r="H6" s="71">
        <f t="shared" ref="H6:H20" si="3">E6-G6</f>
        <v>115560</v>
      </c>
      <c r="I6" s="3">
        <f t="shared" si="2"/>
        <v>119062</v>
      </c>
      <c r="J6" s="5">
        <f>H6/1000</f>
        <v>115.56</v>
      </c>
      <c r="K6" s="4">
        <v>0.97699999999999998</v>
      </c>
      <c r="L6" s="73">
        <f t="shared" si="1"/>
        <v>112.90212</v>
      </c>
      <c r="M6" s="267"/>
      <c r="O6" s="118">
        <v>44287</v>
      </c>
      <c r="P6" s="119">
        <v>977.2166201884362</v>
      </c>
      <c r="Q6" s="121"/>
      <c r="R6" s="120"/>
    </row>
    <row r="7" spans="2:18" ht="14.4" x14ac:dyDescent="0.3">
      <c r="B7" s="40">
        <v>44378</v>
      </c>
      <c r="C7" s="38">
        <v>44377</v>
      </c>
      <c r="D7" s="39">
        <v>44408</v>
      </c>
      <c r="E7" s="79">
        <v>97290</v>
      </c>
      <c r="F7" s="177">
        <v>2899</v>
      </c>
      <c r="G7" s="79">
        <v>630</v>
      </c>
      <c r="H7" s="71">
        <f t="shared" si="3"/>
        <v>96660</v>
      </c>
      <c r="I7" s="3">
        <f t="shared" si="2"/>
        <v>99559</v>
      </c>
      <c r="J7" s="5">
        <f t="shared" si="0"/>
        <v>96.66</v>
      </c>
      <c r="K7" s="4">
        <v>0.97699999999999998</v>
      </c>
      <c r="L7" s="73">
        <f t="shared" si="1"/>
        <v>94.436819999999997</v>
      </c>
      <c r="M7" s="267"/>
      <c r="O7" s="118">
        <v>44288</v>
      </c>
      <c r="P7" s="119">
        <v>925.93636325982811</v>
      </c>
      <c r="Q7" s="121"/>
      <c r="R7" s="120"/>
    </row>
    <row r="8" spans="2:18" ht="14.4" x14ac:dyDescent="0.3">
      <c r="B8" s="40">
        <v>44409</v>
      </c>
      <c r="C8" s="38">
        <v>44408</v>
      </c>
      <c r="D8" s="39">
        <v>44439</v>
      </c>
      <c r="E8" s="79">
        <v>109260</v>
      </c>
      <c r="F8" s="177">
        <v>1572</v>
      </c>
      <c r="G8" s="79">
        <v>630</v>
      </c>
      <c r="H8" s="71">
        <f t="shared" si="3"/>
        <v>108630</v>
      </c>
      <c r="I8" s="3">
        <f t="shared" si="2"/>
        <v>110202</v>
      </c>
      <c r="J8" s="5">
        <f t="shared" si="0"/>
        <v>108.63</v>
      </c>
      <c r="K8" s="4">
        <v>0.97699999999999998</v>
      </c>
      <c r="L8" s="73">
        <f t="shared" si="1"/>
        <v>106.13150999999999</v>
      </c>
      <c r="M8" s="267"/>
      <c r="O8" s="118">
        <v>44289</v>
      </c>
      <c r="P8" s="119">
        <v>2689.1755125676937</v>
      </c>
      <c r="Q8" s="121"/>
      <c r="R8" s="120"/>
    </row>
    <row r="9" spans="2:18" ht="14.4" x14ac:dyDescent="0.3">
      <c r="B9" s="40">
        <v>44440</v>
      </c>
      <c r="C9" s="38">
        <v>44439</v>
      </c>
      <c r="D9" s="39">
        <v>44469</v>
      </c>
      <c r="E9" s="79">
        <v>113175</v>
      </c>
      <c r="F9" s="177">
        <v>0</v>
      </c>
      <c r="G9" s="79">
        <v>630</v>
      </c>
      <c r="H9" s="71">
        <f t="shared" si="3"/>
        <v>112545</v>
      </c>
      <c r="I9" s="3">
        <f t="shared" si="2"/>
        <v>112545</v>
      </c>
      <c r="J9" s="5">
        <f t="shared" si="0"/>
        <v>112.545</v>
      </c>
      <c r="K9" s="4">
        <v>0.97699999999999998</v>
      </c>
      <c r="L9" s="73">
        <f t="shared" si="1"/>
        <v>109.95646499999999</v>
      </c>
      <c r="M9" s="267"/>
      <c r="O9" s="118">
        <v>44290</v>
      </c>
      <c r="P9" s="119">
        <v>1159.2457092218833</v>
      </c>
      <c r="Q9" s="121"/>
      <c r="R9" s="120"/>
    </row>
    <row r="10" spans="2:18" ht="14.4" x14ac:dyDescent="0.3">
      <c r="B10" s="40">
        <v>44470</v>
      </c>
      <c r="C10" s="38">
        <v>44469</v>
      </c>
      <c r="D10" s="39">
        <v>44500</v>
      </c>
      <c r="E10" s="79">
        <v>125595</v>
      </c>
      <c r="F10" s="177">
        <v>0</v>
      </c>
      <c r="G10" s="79">
        <v>630</v>
      </c>
      <c r="H10" s="71">
        <f t="shared" si="3"/>
        <v>124965</v>
      </c>
      <c r="I10" s="3">
        <f t="shared" si="2"/>
        <v>124965</v>
      </c>
      <c r="J10" s="5">
        <f t="shared" si="0"/>
        <v>124.965</v>
      </c>
      <c r="K10" s="4">
        <v>0.97699999999999998</v>
      </c>
      <c r="L10" s="73">
        <f t="shared" si="1"/>
        <v>122.090805</v>
      </c>
      <c r="M10" s="267"/>
      <c r="O10" s="118">
        <v>44291</v>
      </c>
      <c r="P10" s="119">
        <v>848.79081216916018</v>
      </c>
      <c r="Q10" s="121"/>
      <c r="R10" s="120"/>
    </row>
    <row r="11" spans="2:18" ht="14.4" x14ac:dyDescent="0.3">
      <c r="B11" s="40">
        <v>44501</v>
      </c>
      <c r="C11" s="38">
        <v>44500</v>
      </c>
      <c r="D11" s="39">
        <v>44530</v>
      </c>
      <c r="E11" s="79">
        <v>88155</v>
      </c>
      <c r="F11" s="177">
        <v>1158</v>
      </c>
      <c r="G11" s="79">
        <v>675</v>
      </c>
      <c r="H11" s="71">
        <f t="shared" si="3"/>
        <v>87480</v>
      </c>
      <c r="I11" s="3">
        <f t="shared" si="2"/>
        <v>88638</v>
      </c>
      <c r="J11" s="5">
        <f t="shared" si="0"/>
        <v>87.48</v>
      </c>
      <c r="K11" s="4">
        <v>0.97699999999999998</v>
      </c>
      <c r="L11" s="73">
        <f t="shared" si="1"/>
        <v>85.467960000000005</v>
      </c>
      <c r="M11" s="267"/>
      <c r="O11" s="118">
        <v>44292</v>
      </c>
      <c r="P11" s="119">
        <v>2324.0193400946177</v>
      </c>
      <c r="Q11" s="121"/>
      <c r="R11" s="120"/>
    </row>
    <row r="12" spans="2:18" ht="15" thickBot="1" x14ac:dyDescent="0.35">
      <c r="B12" s="40">
        <v>44531</v>
      </c>
      <c r="C12" s="38">
        <v>44530</v>
      </c>
      <c r="D12" s="39">
        <v>44561</v>
      </c>
      <c r="E12" s="79">
        <v>86760</v>
      </c>
      <c r="F12" s="177">
        <v>3684</v>
      </c>
      <c r="G12" s="79">
        <v>675</v>
      </c>
      <c r="H12" s="71">
        <f t="shared" si="3"/>
        <v>86085</v>
      </c>
      <c r="I12" s="3">
        <f t="shared" si="2"/>
        <v>89769</v>
      </c>
      <c r="J12" s="5">
        <f t="shared" si="0"/>
        <v>86.084999999999994</v>
      </c>
      <c r="K12" s="4">
        <v>0.97699999999999998</v>
      </c>
      <c r="L12" s="73">
        <f t="shared" si="1"/>
        <v>84.10504499999999</v>
      </c>
      <c r="M12" s="268"/>
      <c r="O12" s="118">
        <v>44293</v>
      </c>
      <c r="P12" s="119">
        <v>6858.190530494142</v>
      </c>
      <c r="Q12" s="121"/>
      <c r="R12" s="120"/>
    </row>
    <row r="13" spans="2:18" ht="14.4" x14ac:dyDescent="0.3">
      <c r="B13" s="40">
        <v>44562</v>
      </c>
      <c r="C13" s="38">
        <v>44561</v>
      </c>
      <c r="D13" s="39">
        <v>44592</v>
      </c>
      <c r="E13" s="79">
        <v>92205</v>
      </c>
      <c r="F13" s="177">
        <v>0</v>
      </c>
      <c r="G13" s="79">
        <v>675</v>
      </c>
      <c r="H13" s="71">
        <f t="shared" si="3"/>
        <v>91530</v>
      </c>
      <c r="I13" s="3">
        <f t="shared" si="2"/>
        <v>91530</v>
      </c>
      <c r="J13" s="5">
        <f t="shared" si="0"/>
        <v>91.53</v>
      </c>
      <c r="K13" s="4">
        <v>0.97699999999999998</v>
      </c>
      <c r="L13" s="73">
        <f t="shared" si="1"/>
        <v>89.424809999999994</v>
      </c>
      <c r="M13" s="266">
        <f>ROUNDDOWN((SUM(L13:L20)),0)</f>
        <v>883</v>
      </c>
      <c r="N13" s="66">
        <f>M13</f>
        <v>883</v>
      </c>
      <c r="O13" s="118">
        <v>44294</v>
      </c>
      <c r="P13" s="119">
        <v>2100.3104940361445</v>
      </c>
      <c r="Q13" s="121"/>
      <c r="R13" s="120"/>
    </row>
    <row r="14" spans="2:18" ht="14.4" x14ac:dyDescent="0.3">
      <c r="B14" s="40">
        <v>44593</v>
      </c>
      <c r="C14" s="38">
        <v>44592</v>
      </c>
      <c r="D14" s="39">
        <v>44620</v>
      </c>
      <c r="E14" s="79">
        <v>110700</v>
      </c>
      <c r="F14" s="177">
        <v>0</v>
      </c>
      <c r="G14" s="79">
        <v>585</v>
      </c>
      <c r="H14" s="71">
        <f t="shared" si="3"/>
        <v>110115</v>
      </c>
      <c r="I14" s="3">
        <f t="shared" si="2"/>
        <v>110115</v>
      </c>
      <c r="J14" s="5">
        <f t="shared" si="0"/>
        <v>110.11499999999999</v>
      </c>
      <c r="K14" s="4">
        <v>0.97699999999999998</v>
      </c>
      <c r="L14" s="73">
        <f t="shared" si="1"/>
        <v>107.58235499999999</v>
      </c>
      <c r="M14" s="267"/>
      <c r="O14" s="118">
        <v>44295</v>
      </c>
      <c r="P14" s="119">
        <v>743.17427141665792</v>
      </c>
      <c r="Q14" s="121"/>
      <c r="R14" s="120"/>
    </row>
    <row r="15" spans="2:18" ht="14.4" x14ac:dyDescent="0.3">
      <c r="B15" s="40">
        <v>44621</v>
      </c>
      <c r="C15" s="38">
        <v>44620</v>
      </c>
      <c r="D15" s="39">
        <v>44651</v>
      </c>
      <c r="E15" s="79">
        <v>125820</v>
      </c>
      <c r="F15" s="177">
        <v>0</v>
      </c>
      <c r="G15" s="79">
        <v>675</v>
      </c>
      <c r="H15" s="71">
        <f t="shared" si="3"/>
        <v>125145</v>
      </c>
      <c r="I15" s="3">
        <f t="shared" si="2"/>
        <v>125145</v>
      </c>
      <c r="J15" s="5">
        <f t="shared" si="0"/>
        <v>125.145</v>
      </c>
      <c r="K15" s="4">
        <v>0.97699999999999998</v>
      </c>
      <c r="L15" s="73">
        <f t="shared" si="1"/>
        <v>122.26666499999999</v>
      </c>
      <c r="M15" s="267"/>
      <c r="O15" s="118">
        <v>44296</v>
      </c>
      <c r="P15" s="119">
        <v>518.14056074880682</v>
      </c>
      <c r="Q15" s="120"/>
      <c r="R15" s="120"/>
    </row>
    <row r="16" spans="2:18" ht="14.4" x14ac:dyDescent="0.3">
      <c r="B16" s="40">
        <v>44652</v>
      </c>
      <c r="C16" s="38">
        <v>44651</v>
      </c>
      <c r="D16" s="39">
        <v>44681</v>
      </c>
      <c r="E16" s="79">
        <v>133875</v>
      </c>
      <c r="F16" s="177">
        <v>3893</v>
      </c>
      <c r="G16" s="79">
        <v>585</v>
      </c>
      <c r="H16" s="71">
        <f t="shared" si="3"/>
        <v>133290</v>
      </c>
      <c r="I16" s="3">
        <f t="shared" si="2"/>
        <v>137183</v>
      </c>
      <c r="J16" s="5">
        <f t="shared" si="0"/>
        <v>133.29</v>
      </c>
      <c r="K16" s="4">
        <v>0.97699999999999998</v>
      </c>
      <c r="L16" s="73">
        <f t="shared" si="1"/>
        <v>130.22432999999998</v>
      </c>
      <c r="M16" s="267"/>
      <c r="O16" s="118">
        <v>44297</v>
      </c>
      <c r="P16" s="122">
        <v>1773.5957597911597</v>
      </c>
      <c r="Q16" s="116"/>
      <c r="R16" s="117"/>
    </row>
    <row r="17" spans="2:18" ht="14.4" x14ac:dyDescent="0.3">
      <c r="B17" s="40">
        <v>44682</v>
      </c>
      <c r="C17" s="38">
        <v>44681</v>
      </c>
      <c r="D17" s="39">
        <v>44712</v>
      </c>
      <c r="E17" s="79">
        <v>134010</v>
      </c>
      <c r="F17" s="177">
        <v>1935</v>
      </c>
      <c r="G17" s="79">
        <v>585</v>
      </c>
      <c r="H17" s="71">
        <f t="shared" si="3"/>
        <v>133425</v>
      </c>
      <c r="I17" s="3">
        <f t="shared" si="2"/>
        <v>135360</v>
      </c>
      <c r="J17" s="5">
        <f t="shared" si="0"/>
        <v>133.42500000000001</v>
      </c>
      <c r="K17" s="4">
        <v>0.97699999999999998</v>
      </c>
      <c r="L17" s="73">
        <f t="shared" si="1"/>
        <v>130.35622499999999</v>
      </c>
      <c r="M17" s="267"/>
      <c r="O17" s="118">
        <v>44298</v>
      </c>
      <c r="P17" s="122">
        <v>4441.6445883840333</v>
      </c>
      <c r="Q17" s="116"/>
      <c r="R17" s="117"/>
    </row>
    <row r="18" spans="2:18" ht="14.4" x14ac:dyDescent="0.3">
      <c r="B18" s="81">
        <v>44713</v>
      </c>
      <c r="C18" s="38">
        <v>44712</v>
      </c>
      <c r="D18" s="39">
        <v>44742</v>
      </c>
      <c r="E18" s="79">
        <v>122715</v>
      </c>
      <c r="F18" s="177">
        <v>7249</v>
      </c>
      <c r="G18" s="79">
        <v>585</v>
      </c>
      <c r="H18" s="71">
        <f t="shared" si="3"/>
        <v>122130</v>
      </c>
      <c r="I18" s="71">
        <f t="shared" si="2"/>
        <v>129379</v>
      </c>
      <c r="J18" s="80">
        <f t="shared" si="0"/>
        <v>122.13</v>
      </c>
      <c r="K18" s="4">
        <v>0.97699999999999998</v>
      </c>
      <c r="L18" s="73">
        <f t="shared" si="1"/>
        <v>119.32100999999999</v>
      </c>
      <c r="M18" s="267"/>
      <c r="O18" s="118">
        <v>44299</v>
      </c>
      <c r="P18" s="122">
        <v>7612.570417105112</v>
      </c>
      <c r="Q18" s="116"/>
      <c r="R18" s="117"/>
    </row>
    <row r="19" spans="2:18" ht="14.4" x14ac:dyDescent="0.3">
      <c r="B19" s="81">
        <v>44743</v>
      </c>
      <c r="C19" s="38">
        <v>44742</v>
      </c>
      <c r="D19" s="39">
        <v>44773</v>
      </c>
      <c r="E19" s="79">
        <v>91980</v>
      </c>
      <c r="F19" s="177">
        <v>4325</v>
      </c>
      <c r="G19" s="79">
        <v>585</v>
      </c>
      <c r="H19" s="71">
        <f t="shared" si="3"/>
        <v>91395</v>
      </c>
      <c r="I19" s="71">
        <f t="shared" si="2"/>
        <v>95720</v>
      </c>
      <c r="J19" s="80">
        <f t="shared" si="0"/>
        <v>91.394999999999996</v>
      </c>
      <c r="K19" s="4">
        <v>0.97699999999999998</v>
      </c>
      <c r="L19" s="73">
        <f t="shared" si="1"/>
        <v>89.292914999999994</v>
      </c>
      <c r="M19" s="267"/>
      <c r="O19" s="118">
        <v>44300</v>
      </c>
      <c r="P19" s="122">
        <v>7163.5126108598679</v>
      </c>
      <c r="Q19" s="116"/>
      <c r="R19" s="117"/>
    </row>
    <row r="20" spans="2:18" ht="15" thickBot="1" x14ac:dyDescent="0.35">
      <c r="B20" s="81">
        <v>44774</v>
      </c>
      <c r="C20" s="38">
        <v>44773</v>
      </c>
      <c r="D20" s="39">
        <v>44804</v>
      </c>
      <c r="E20" s="79">
        <v>98100</v>
      </c>
      <c r="F20" s="177">
        <v>7546</v>
      </c>
      <c r="G20" s="79">
        <v>585</v>
      </c>
      <c r="H20" s="71">
        <f t="shared" si="3"/>
        <v>97515</v>
      </c>
      <c r="I20" s="71">
        <f t="shared" si="2"/>
        <v>105061</v>
      </c>
      <c r="J20" s="80">
        <f t="shared" si="0"/>
        <v>97.515000000000001</v>
      </c>
      <c r="K20" s="4">
        <v>0.97699999999999998</v>
      </c>
      <c r="L20" s="73">
        <f>J20*K20</f>
        <v>95.272154999999998</v>
      </c>
      <c r="M20" s="268"/>
      <c r="O20" s="118">
        <v>44301</v>
      </c>
      <c r="P20" s="122">
        <v>6008.2863508502969</v>
      </c>
      <c r="Q20" s="116"/>
      <c r="R20" s="117"/>
    </row>
    <row r="21" spans="2:18" ht="14.4" x14ac:dyDescent="0.3">
      <c r="B21" s="264" t="s">
        <v>12</v>
      </c>
      <c r="C21" s="264"/>
      <c r="D21" s="264"/>
      <c r="E21" s="82"/>
      <c r="F21" s="83"/>
      <c r="G21" s="82"/>
      <c r="H21" s="84">
        <f>ROUNDDOWN((SUM(H4:H20)),0)</f>
        <v>1889677</v>
      </c>
      <c r="I21" s="84">
        <f t="shared" ref="I21:J21" si="4">ROUNDDOWN((SUM(I4:I20)),0)</f>
        <v>1933524</v>
      </c>
      <c r="J21" s="84">
        <f t="shared" si="4"/>
        <v>1889</v>
      </c>
      <c r="K21" s="84"/>
      <c r="L21" s="84">
        <f t="shared" ref="L21" si="5">ROUNDDOWN((SUM(L4:L20)),0)</f>
        <v>1846</v>
      </c>
      <c r="M21" s="85">
        <f>M13+M4</f>
        <v>1845</v>
      </c>
      <c r="O21" s="118">
        <v>44302</v>
      </c>
      <c r="P21" s="122">
        <v>7123.1509938920726</v>
      </c>
      <c r="Q21" s="116"/>
      <c r="R21" s="117"/>
    </row>
    <row r="22" spans="2:18" x14ac:dyDescent="0.25">
      <c r="O22" s="118">
        <v>44303</v>
      </c>
      <c r="P22" s="122">
        <v>6051.3483464075689</v>
      </c>
      <c r="Q22" s="116"/>
      <c r="R22" s="117"/>
    </row>
    <row r="23" spans="2:18" x14ac:dyDescent="0.25">
      <c r="O23" s="118">
        <v>44304</v>
      </c>
      <c r="P23" s="122">
        <v>5487.7078993950417</v>
      </c>
      <c r="Q23" s="116"/>
      <c r="R23" s="117"/>
    </row>
    <row r="24" spans="2:18" x14ac:dyDescent="0.25">
      <c r="O24" s="118">
        <v>44305</v>
      </c>
      <c r="P24" s="122">
        <v>6201.7879813608752</v>
      </c>
      <c r="Q24" s="116"/>
      <c r="R24" s="117"/>
    </row>
    <row r="25" spans="2:18" x14ac:dyDescent="0.25">
      <c r="O25" s="118">
        <v>44306</v>
      </c>
      <c r="P25" s="122">
        <v>2100.1973063717792</v>
      </c>
      <c r="Q25" s="116"/>
      <c r="R25" s="117"/>
    </row>
    <row r="26" spans="2:18" x14ac:dyDescent="0.25">
      <c r="O26" s="118">
        <v>44307</v>
      </c>
      <c r="P26" s="122">
        <v>706.03039591939967</v>
      </c>
      <c r="Q26" s="116"/>
      <c r="R26" s="117"/>
    </row>
    <row r="27" spans="2:18" x14ac:dyDescent="0.25">
      <c r="O27" s="118">
        <v>44308</v>
      </c>
      <c r="P27" s="122">
        <v>720.99538067956314</v>
      </c>
      <c r="Q27" s="116"/>
      <c r="R27" s="117"/>
    </row>
    <row r="28" spans="2:18" x14ac:dyDescent="0.25">
      <c r="O28" s="118">
        <v>44309</v>
      </c>
      <c r="P28" s="122">
        <v>7895.2558919249532</v>
      </c>
      <c r="Q28" s="116"/>
      <c r="R28" s="117"/>
    </row>
    <row r="29" spans="2:18" x14ac:dyDescent="0.25">
      <c r="O29" s="118">
        <v>44310</v>
      </c>
      <c r="P29" s="122">
        <v>3757.7212222020235</v>
      </c>
      <c r="Q29" s="116"/>
      <c r="R29" s="117"/>
    </row>
    <row r="30" spans="2:18" x14ac:dyDescent="0.25">
      <c r="O30" s="118">
        <v>44311</v>
      </c>
      <c r="P30" s="122">
        <v>2696.2293554884304</v>
      </c>
      <c r="Q30" s="116"/>
      <c r="R30" s="117"/>
    </row>
    <row r="31" spans="2:18" x14ac:dyDescent="0.25">
      <c r="O31" s="118">
        <v>44312</v>
      </c>
      <c r="P31" s="122">
        <v>8587.3651509759111</v>
      </c>
      <c r="Q31" s="116"/>
      <c r="R31" s="117"/>
    </row>
    <row r="32" spans="2:18" x14ac:dyDescent="0.25">
      <c r="O32" s="118">
        <v>44313</v>
      </c>
      <c r="P32" s="122">
        <v>2280.9068065514371</v>
      </c>
      <c r="Q32" s="116"/>
      <c r="R32" s="117"/>
    </row>
    <row r="33" spans="15:18" x14ac:dyDescent="0.25">
      <c r="O33" s="118">
        <v>44314</v>
      </c>
      <c r="P33" s="122">
        <v>3674.2446988738798</v>
      </c>
      <c r="Q33" s="116"/>
      <c r="R33" s="117"/>
    </row>
    <row r="34" spans="15:18" x14ac:dyDescent="0.25">
      <c r="O34" s="118">
        <v>44315</v>
      </c>
      <c r="P34" s="122">
        <v>8311.0499790297417</v>
      </c>
      <c r="Q34" s="116"/>
      <c r="R34" s="117"/>
    </row>
    <row r="35" spans="15:18" x14ac:dyDescent="0.25">
      <c r="O35" s="118">
        <v>44316</v>
      </c>
      <c r="P35" s="122">
        <v>3724.8583509445211</v>
      </c>
      <c r="Q35" s="116"/>
      <c r="R35" s="117"/>
    </row>
    <row r="36" spans="15:18" x14ac:dyDescent="0.25">
      <c r="O36" s="118"/>
      <c r="P36" s="122"/>
      <c r="Q36" s="116"/>
      <c r="R36" s="117"/>
    </row>
    <row r="37" spans="15:18" x14ac:dyDescent="0.25">
      <c r="O37" s="123" t="s">
        <v>140</v>
      </c>
      <c r="P37" s="124">
        <f>SUM(P5:P36)</f>
        <v>122984.99999999996</v>
      </c>
      <c r="Q37" s="116"/>
      <c r="R37" s="117"/>
    </row>
    <row r="38" spans="15:18" ht="13.8" thickBot="1" x14ac:dyDescent="0.3">
      <c r="O38" s="125"/>
      <c r="P38" s="116"/>
      <c r="Q38" s="116"/>
      <c r="R38" s="117"/>
    </row>
    <row r="39" spans="15:18" x14ac:dyDescent="0.25">
      <c r="O39" s="127" t="s">
        <v>153</v>
      </c>
      <c r="P39" s="128"/>
      <c r="Q39" s="129"/>
      <c r="R39" s="120">
        <f>P37</f>
        <v>122984.99999999996</v>
      </c>
    </row>
    <row r="40" spans="15:18" x14ac:dyDescent="0.25">
      <c r="O40" s="130" t="s">
        <v>154</v>
      </c>
      <c r="P40" s="131"/>
      <c r="Q40" s="132"/>
      <c r="R40" s="120">
        <f>SUM(P6:P35)</f>
        <v>115462.65970120503</v>
      </c>
    </row>
    <row r="41" spans="15:18" ht="13.8" thickBot="1" x14ac:dyDescent="0.3">
      <c r="O41" s="133" t="s">
        <v>141</v>
      </c>
      <c r="P41" s="134"/>
      <c r="Q41" s="135"/>
      <c r="R41" s="126">
        <f>R40/R39</f>
        <v>0.93883530268898707</v>
      </c>
    </row>
  </sheetData>
  <mergeCells count="15">
    <mergeCell ref="O2:R2"/>
    <mergeCell ref="M2:M3"/>
    <mergeCell ref="B21:D21"/>
    <mergeCell ref="H2:H3"/>
    <mergeCell ref="I2:I3"/>
    <mergeCell ref="J2:J3"/>
    <mergeCell ref="K2:K3"/>
    <mergeCell ref="L2:L3"/>
    <mergeCell ref="B2:B3"/>
    <mergeCell ref="C2:D2"/>
    <mergeCell ref="E2:E3"/>
    <mergeCell ref="F2:F3"/>
    <mergeCell ref="G2:G3"/>
    <mergeCell ref="M4:M12"/>
    <mergeCell ref="M13:M20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Pending</vt:lpstr>
      <vt:lpstr>Instance - 1 _Bhadla_</vt:lpstr>
      <vt:lpstr>Instance - 2 _Achempet_</vt:lpstr>
      <vt:lpstr>Instance - 3 _Kalwakurthy_</vt:lpstr>
      <vt:lpstr>Instance - 4 _Salakpur_mutsyal</vt:lpstr>
      <vt:lpstr>Instance - 5 _Alladurg_</vt:lpstr>
      <vt:lpstr>Instance - 6 _Karnataka_</vt:lpstr>
      <vt:lpstr>Instance - 7 _Bijapur_ 6_8 MW</vt:lpstr>
      <vt:lpstr>Instance - 8 _Hotgi_</vt:lpstr>
      <vt:lpstr>Instance - 9 _Gotan_</vt:lpstr>
      <vt:lpstr>Instance - 10 _Sevagram</vt:lpstr>
      <vt:lpstr>Instance - 11 _Pune_</vt:lpstr>
      <vt:lpstr>ER Calculation</vt:lpstr>
      <vt:lpstr>Calibration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Naren</dc:creator>
  <cp:lastModifiedBy>Admin 01</cp:lastModifiedBy>
  <cp:revision>1</cp:revision>
  <dcterms:created xsi:type="dcterms:W3CDTF">2008-01-25T18:43:47Z</dcterms:created>
  <dcterms:modified xsi:type="dcterms:W3CDTF">2022-12-30T12:31:35Z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