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vcs024.sharepoint.com/sites/Program/Shared Documents/General/Programs Cross-Cutting/Project Tracking/Project Reviews/1186, Vinales, Chile/1186_CP1_V3/1186_R1_Response/"/>
    </mc:Choice>
  </mc:AlternateContent>
  <xr:revisionPtr revIDLastSave="188" documentId="8_{B7E7E38F-D33E-4B2E-BDBF-B6102695760C}" xr6:coauthVersionLast="47" xr6:coauthVersionMax="47" xr10:uidLastSave="{2C85F2AB-284A-4B6F-BAB6-D688F5806302}"/>
  <bookViews>
    <workbookView xWindow="-120" yWindow="-120" windowWidth="29040" windowHeight="15840" firstSheet="2" activeTab="2" xr2:uid="{00000000-000D-0000-FFFF-FFFF00000000}"/>
  </bookViews>
  <sheets>
    <sheet name="Summary" sheetId="8" r:id="rId1"/>
    <sheet name="Monrep Tables" sheetId="7" r:id="rId2"/>
    <sheet name="Emissions" sheetId="9" r:id="rId3"/>
    <sheet name="2020 Data" sheetId="6" r:id="rId4"/>
    <sheet name="2019 Data" sheetId="3" r:id="rId5"/>
    <sheet name="2018 Data" sheetId="2" r:id="rId6"/>
    <sheet name="2017 Data " sheetId="4" r:id="rId7"/>
    <sheet name="2020 wet tons " sheetId="11" r:id="rId8"/>
    <sheet name="2019 wet tons" sheetId="12" r:id="rId9"/>
    <sheet name="2018 wet tons.." sheetId="13" r:id="rId10"/>
    <sheet name="2017 wet tons" sheetId="14" r:id="rId11"/>
    <sheet name="EF" sheetId="10" r:id="rId12"/>
  </sheets>
  <externalReferences>
    <externalReference r:id="rId13"/>
    <externalReference r:id="rId14"/>
  </externalReferences>
  <definedNames>
    <definedName name="_A">#REF!</definedName>
    <definedName name="año1994" localSheetId="6">#REF!</definedName>
    <definedName name="año1994" localSheetId="3">#REF!</definedName>
    <definedName name="año1994" localSheetId="2">#REF!</definedName>
    <definedName name="año1994" localSheetId="1">#REF!</definedName>
    <definedName name="año1994" localSheetId="0">#REF!</definedName>
    <definedName name="año1994">#REF!</definedName>
    <definedName name="año1995" localSheetId="6">#REF!</definedName>
    <definedName name="año1995" localSheetId="3">#REF!</definedName>
    <definedName name="año1995" localSheetId="2">#REF!</definedName>
    <definedName name="año1995" localSheetId="1">#REF!</definedName>
    <definedName name="año1995" localSheetId="0">#REF!</definedName>
    <definedName name="año1995">#REF!</definedName>
    <definedName name="año1996" localSheetId="6">#REF!</definedName>
    <definedName name="año1996" localSheetId="3">#REF!</definedName>
    <definedName name="año1996" localSheetId="2">#REF!</definedName>
    <definedName name="año1996" localSheetId="1">#REF!</definedName>
    <definedName name="año1996" localSheetId="0">#REF!</definedName>
    <definedName name="año1996">#REF!</definedName>
    <definedName name="año1997" localSheetId="6">#REF!</definedName>
    <definedName name="año1997" localSheetId="3">#REF!</definedName>
    <definedName name="año1997" localSheetId="2">#REF!</definedName>
    <definedName name="año1997">#REF!</definedName>
    <definedName name="año1998" localSheetId="6">#REF!</definedName>
    <definedName name="año1998" localSheetId="3">#REF!</definedName>
    <definedName name="año1998" localSheetId="2">#REF!</definedName>
    <definedName name="año1998">#REF!</definedName>
    <definedName name="año1999" localSheetId="6">#REF!</definedName>
    <definedName name="año1999" localSheetId="3">#REF!</definedName>
    <definedName name="año1999" localSheetId="2">#REF!</definedName>
    <definedName name="año1999">#REF!</definedName>
    <definedName name="año2000" localSheetId="6">#REF!</definedName>
    <definedName name="año2000" localSheetId="3">#REF!</definedName>
    <definedName name="año2000" localSheetId="2">#REF!</definedName>
    <definedName name="año2000">#REF!</definedName>
    <definedName name="año2001" localSheetId="6">#REF!</definedName>
    <definedName name="año2001" localSheetId="3">#REF!</definedName>
    <definedName name="año2001" localSheetId="2">#REF!</definedName>
    <definedName name="año2001">#REF!</definedName>
    <definedName name="año2002" localSheetId="6">#REF!</definedName>
    <definedName name="año2002" localSheetId="3">#REF!</definedName>
    <definedName name="año2002" localSheetId="2">#REF!</definedName>
    <definedName name="año2002">#REF!</definedName>
    <definedName name="año2003" localSheetId="6">#REF!</definedName>
    <definedName name="año2003" localSheetId="3">#REF!</definedName>
    <definedName name="año2003" localSheetId="2">#REF!</definedName>
    <definedName name="año2003">#REF!</definedName>
    <definedName name="Dieselfueldensity" localSheetId="3">[1]Emissions!#REF!</definedName>
    <definedName name="Dieselfueldensity" localSheetId="2">[2]Emissions!#REF!</definedName>
    <definedName name="Dieselfueldensity" localSheetId="1">[2]Emissions!#REF!</definedName>
    <definedName name="Dieselfueldensity" localSheetId="0">[2]Emissions!#REF!</definedName>
    <definedName name="Dieselfueldensity">[1]Emissions!#REF!</definedName>
    <definedName name="fueldensitydiesel" localSheetId="2">[2]Emissions!$E$73</definedName>
    <definedName name="fueldensitydiesel" localSheetId="1">[2]Emissions!$E$73</definedName>
    <definedName name="fueldensitydiesel" localSheetId="0">[2]Emissions!$E$73</definedName>
    <definedName name="fueldensitydiesel">[1]Emissions!$E$73</definedName>
    <definedName name="monte">#REF!</definedName>
    <definedName name="OLE_LINK12" localSheetId="6">#REF!</definedName>
    <definedName name="OLE_LINK12" localSheetId="3">#REF!</definedName>
    <definedName name="OLE_LINK12" localSheetId="2">#REF!</definedName>
    <definedName name="OLE_LINK12" localSheetId="1">#REF!</definedName>
    <definedName name="OLE_LINK12" localSheetId="0">#REF!</definedName>
    <definedName name="OLE_LINK12">#REF!</definedName>
    <definedName name="Type_of_Power_Plant" localSheetId="6">#REF!</definedName>
    <definedName name="Type_of_Power_Plant" localSheetId="3">#REF!</definedName>
    <definedName name="Type_of_Power_Plant" localSheetId="2">#REF!</definedName>
    <definedName name="Type_of_Power_Plant" localSheetId="1">#REF!</definedName>
    <definedName name="Type_of_Power_Plant" localSheetId="0">#REF!</definedName>
    <definedName name="Type_of_Power_Plant">#REF!</definedName>
    <definedName name="wiuhjwehjehjwehj">#REF!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2" i="9" l="1"/>
  <c r="E150" i="9"/>
  <c r="E129" i="9"/>
  <c r="E135" i="9" a="1"/>
  <c r="E135" i="9" s="1"/>
  <c r="E140" i="9" s="1"/>
  <c r="E120" i="9"/>
  <c r="E124" i="9" l="1"/>
  <c r="H240" i="9"/>
  <c r="E12" i="8"/>
  <c r="E11" i="8"/>
  <c r="E10" i="8"/>
  <c r="G48" i="14"/>
  <c r="H238" i="9" s="1"/>
  <c r="G51" i="13" l="1"/>
  <c r="G238" i="9" s="1"/>
  <c r="G45" i="12"/>
  <c r="F238" i="9" s="1"/>
  <c r="F42" i="12"/>
  <c r="G50" i="14"/>
  <c r="G44" i="14"/>
  <c r="F44" i="14"/>
  <c r="F28" i="14"/>
  <c r="G49" i="14" s="1"/>
  <c r="G47" i="14" s="1"/>
  <c r="G53" i="13"/>
  <c r="G52" i="13"/>
  <c r="G240" i="9" s="1"/>
  <c r="F48" i="13"/>
  <c r="G46" i="12"/>
  <c r="G44" i="12" s="1"/>
  <c r="G42" i="12"/>
  <c r="F34" i="12"/>
  <c r="G40" i="11"/>
  <c r="G35" i="11"/>
  <c r="F30" i="11"/>
  <c r="F35" i="11" s="1"/>
  <c r="G36" i="11" s="1"/>
  <c r="G50" i="13" l="1"/>
  <c r="F240" i="9"/>
  <c r="G39" i="11"/>
  <c r="G38" i="11"/>
  <c r="E238" i="9" s="1"/>
  <c r="G43" i="12"/>
  <c r="G37" i="11" l="1"/>
  <c r="E240" i="9"/>
  <c r="H135" i="9" a="1"/>
  <c r="H135" i="9" s="1"/>
  <c r="G135" i="9" a="1"/>
  <c r="G135" i="9" s="1"/>
  <c r="F135" i="9" a="1"/>
  <c r="F135" i="9" s="1"/>
  <c r="Q42" i="6"/>
  <c r="H42" i="6"/>
  <c r="I42" i="6"/>
  <c r="J42" i="6"/>
  <c r="K42" i="6"/>
  <c r="L42" i="6"/>
  <c r="M42" i="6"/>
  <c r="N42" i="6"/>
  <c r="O42" i="6"/>
  <c r="P42" i="6"/>
  <c r="G42" i="6"/>
  <c r="F42" i="6"/>
  <c r="E42" i="6"/>
  <c r="Q42" i="3"/>
  <c r="G42" i="3"/>
  <c r="H42" i="3"/>
  <c r="I42" i="3"/>
  <c r="J42" i="3"/>
  <c r="K42" i="3"/>
  <c r="L42" i="3"/>
  <c r="M42" i="3"/>
  <c r="N42" i="3"/>
  <c r="O42" i="3"/>
  <c r="P42" i="3"/>
  <c r="F42" i="3"/>
  <c r="E42" i="3"/>
  <c r="Q42" i="2"/>
  <c r="G42" i="2"/>
  <c r="H42" i="2"/>
  <c r="I42" i="2"/>
  <c r="J42" i="2"/>
  <c r="K42" i="2"/>
  <c r="L42" i="2"/>
  <c r="M42" i="2"/>
  <c r="N42" i="2"/>
  <c r="O42" i="2"/>
  <c r="P42" i="2"/>
  <c r="F42" i="2"/>
  <c r="E42" i="2"/>
  <c r="Q42" i="4"/>
  <c r="H42" i="4"/>
  <c r="I42" i="4"/>
  <c r="J42" i="4"/>
  <c r="K42" i="4"/>
  <c r="L42" i="4"/>
  <c r="M42" i="4"/>
  <c r="N42" i="4"/>
  <c r="O42" i="4"/>
  <c r="P42" i="4"/>
  <c r="G42" i="4"/>
  <c r="F42" i="4"/>
  <c r="E42" i="4"/>
  <c r="E41" i="4"/>
  <c r="G33" i="4"/>
  <c r="H33" i="4"/>
  <c r="I33" i="4"/>
  <c r="J33" i="4"/>
  <c r="K33" i="4"/>
  <c r="L33" i="4"/>
  <c r="M33" i="4"/>
  <c r="N33" i="4"/>
  <c r="O33" i="4"/>
  <c r="P33" i="4"/>
  <c r="F33" i="4"/>
  <c r="E33" i="4"/>
  <c r="E34" i="4"/>
  <c r="P38" i="4"/>
  <c r="H39" i="4"/>
  <c r="H34" i="4" s="1"/>
  <c r="I39" i="4"/>
  <c r="I34" i="4" s="1"/>
  <c r="J39" i="4"/>
  <c r="J34" i="4" s="1"/>
  <c r="K39" i="4"/>
  <c r="K34" i="4" s="1"/>
  <c r="L39" i="4"/>
  <c r="L34" i="4" s="1"/>
  <c r="M39" i="4"/>
  <c r="M34" i="4" s="1"/>
  <c r="N39" i="4"/>
  <c r="N34" i="4" s="1"/>
  <c r="O39" i="4"/>
  <c r="O34" i="4" s="1"/>
  <c r="P39" i="4"/>
  <c r="P34" i="4" s="1"/>
  <c r="G39" i="4"/>
  <c r="G34" i="4" s="1"/>
  <c r="F39" i="4"/>
  <c r="F34" i="4" s="1"/>
  <c r="E39" i="4"/>
  <c r="Q39" i="4" s="1"/>
  <c r="E38" i="4"/>
  <c r="E35" i="4" s="1"/>
  <c r="H34" i="2"/>
  <c r="J34" i="2"/>
  <c r="K34" i="2"/>
  <c r="M34" i="2"/>
  <c r="P34" i="2"/>
  <c r="Q39" i="2"/>
  <c r="G39" i="2"/>
  <c r="G34" i="2" s="1"/>
  <c r="H39" i="2"/>
  <c r="I39" i="2"/>
  <c r="I34" i="2" s="1"/>
  <c r="J39" i="2"/>
  <c r="K39" i="2"/>
  <c r="L39" i="2"/>
  <c r="L34" i="2" s="1"/>
  <c r="M39" i="2"/>
  <c r="N39" i="2"/>
  <c r="N34" i="2" s="1"/>
  <c r="O39" i="2"/>
  <c r="O34" i="2" s="1"/>
  <c r="P39" i="2"/>
  <c r="F39" i="2"/>
  <c r="F34" i="2" s="1"/>
  <c r="E39" i="2"/>
  <c r="E34" i="2" s="1"/>
  <c r="E38" i="2"/>
  <c r="F34" i="3"/>
  <c r="G34" i="3"/>
  <c r="H34" i="3"/>
  <c r="N34" i="3"/>
  <c r="O34" i="3"/>
  <c r="P34" i="3"/>
  <c r="F39" i="3"/>
  <c r="G39" i="3"/>
  <c r="H39" i="3"/>
  <c r="I39" i="3"/>
  <c r="I34" i="3" s="1"/>
  <c r="F133" i="9" s="1" a="1"/>
  <c r="F133" i="9" s="1"/>
  <c r="J39" i="3"/>
  <c r="J34" i="3" s="1"/>
  <c r="K39" i="3"/>
  <c r="K34" i="3" s="1"/>
  <c r="L39" i="3"/>
  <c r="L34" i="3" s="1"/>
  <c r="M39" i="3"/>
  <c r="M34" i="3" s="1"/>
  <c r="N39" i="3"/>
  <c r="O39" i="3"/>
  <c r="P39" i="3"/>
  <c r="E34" i="3"/>
  <c r="Q34" i="3" s="1"/>
  <c r="E39" i="3"/>
  <c r="E38" i="3"/>
  <c r="Q39" i="3" l="1"/>
  <c r="G133" i="9" a="1"/>
  <c r="G133" i="9" s="1"/>
  <c r="Q34" i="2"/>
  <c r="H133" i="9" a="1"/>
  <c r="H133" i="9" s="1"/>
  <c r="E242" i="9"/>
  <c r="E93" i="9" l="1"/>
  <c r="E96" i="9" s="1"/>
  <c r="G63" i="8" l="1"/>
  <c r="E164" i="9" l="1"/>
  <c r="J177" i="7" l="1"/>
  <c r="H177" i="7"/>
  <c r="F177" i="7"/>
  <c r="F45" i="9" l="1"/>
  <c r="H199" i="7" l="1"/>
  <c r="D199" i="7"/>
  <c r="F67" i="6" l="1"/>
  <c r="E67" i="6"/>
  <c r="F65" i="6"/>
  <c r="E65" i="6"/>
  <c r="E66" i="3" l="1"/>
  <c r="F64" i="3"/>
  <c r="E64" i="3"/>
  <c r="F62" i="2"/>
  <c r="E62" i="2"/>
  <c r="F60" i="2"/>
  <c r="E60" i="2"/>
  <c r="F62" i="4"/>
  <c r="F60" i="4"/>
  <c r="E62" i="4"/>
  <c r="G62" i="4" s="1"/>
  <c r="E60" i="4"/>
  <c r="G62" i="2"/>
  <c r="G66" i="3"/>
  <c r="G67" i="6"/>
  <c r="C7" i="10" l="1"/>
  <c r="G83" i="7"/>
  <c r="D27" i="7"/>
  <c r="G44" i="6"/>
  <c r="M44" i="6"/>
  <c r="E70" i="4" l="1"/>
  <c r="E61" i="4"/>
  <c r="D8" i="10"/>
  <c r="C8" i="10"/>
  <c r="D6" i="10" l="1"/>
  <c r="D7" i="10"/>
  <c r="E19" i="9" l="1"/>
  <c r="P33" i="3" l="1"/>
  <c r="F33" i="3"/>
  <c r="E33" i="3"/>
  <c r="E44" i="3" s="1"/>
  <c r="P56" i="6" l="1"/>
  <c r="O56" i="6"/>
  <c r="F56" i="6"/>
  <c r="G56" i="6"/>
  <c r="H56" i="6"/>
  <c r="I56" i="6"/>
  <c r="J56" i="6"/>
  <c r="K56" i="6"/>
  <c r="L56" i="6"/>
  <c r="M56" i="6"/>
  <c r="E56" i="6"/>
  <c r="P58" i="6"/>
  <c r="O58" i="6"/>
  <c r="F58" i="6"/>
  <c r="G58" i="6"/>
  <c r="H58" i="6"/>
  <c r="I58" i="6"/>
  <c r="J58" i="6"/>
  <c r="K58" i="6"/>
  <c r="L58" i="6"/>
  <c r="M58" i="6"/>
  <c r="E58" i="6"/>
  <c r="N58" i="6"/>
  <c r="N56" i="6"/>
  <c r="F242" i="9"/>
  <c r="H241" i="9"/>
  <c r="Q72" i="2"/>
  <c r="H41" i="4"/>
  <c r="H45" i="4" s="1"/>
  <c r="I41" i="4"/>
  <c r="I45" i="4" s="1"/>
  <c r="J41" i="4"/>
  <c r="J45" i="4" s="1"/>
  <c r="K41" i="4"/>
  <c r="K45" i="4" s="1"/>
  <c r="L41" i="4"/>
  <c r="L45" i="4" s="1"/>
  <c r="M41" i="4"/>
  <c r="N41" i="4"/>
  <c r="N45" i="4" s="1"/>
  <c r="O41" i="4"/>
  <c r="O45" i="4" s="1"/>
  <c r="P41" i="4"/>
  <c r="G41" i="4"/>
  <c r="G45" i="4" s="1"/>
  <c r="F41" i="4"/>
  <c r="H38" i="4"/>
  <c r="I38" i="4"/>
  <c r="J38" i="4"/>
  <c r="K38" i="4"/>
  <c r="L38" i="4"/>
  <c r="M38" i="4"/>
  <c r="N38" i="4"/>
  <c r="O38" i="4"/>
  <c r="G38" i="4"/>
  <c r="F38" i="4"/>
  <c r="F35" i="4" s="1"/>
  <c r="G41" i="2"/>
  <c r="H41" i="2"/>
  <c r="I41" i="2"/>
  <c r="J41" i="2"/>
  <c r="K41" i="2"/>
  <c r="L41" i="2"/>
  <c r="M41" i="2"/>
  <c r="N41" i="2"/>
  <c r="O41" i="2"/>
  <c r="P41" i="2"/>
  <c r="F41" i="2"/>
  <c r="G38" i="2"/>
  <c r="H38" i="2"/>
  <c r="H35" i="2" s="1"/>
  <c r="I38" i="2"/>
  <c r="I35" i="2" s="1"/>
  <c r="I45" i="2" s="1"/>
  <c r="J38" i="2"/>
  <c r="J35" i="2" s="1"/>
  <c r="K38" i="2"/>
  <c r="L38" i="2"/>
  <c r="L35" i="2" s="1"/>
  <c r="M38" i="2"/>
  <c r="M35" i="2" s="1"/>
  <c r="N38" i="2"/>
  <c r="N35" i="2" s="1"/>
  <c r="O38" i="2"/>
  <c r="P38" i="2"/>
  <c r="P35" i="2" s="1"/>
  <c r="F38" i="2"/>
  <c r="F35" i="2" s="1"/>
  <c r="F45" i="2" s="1"/>
  <c r="E41" i="2"/>
  <c r="M41" i="3"/>
  <c r="N41" i="3"/>
  <c r="O41" i="3"/>
  <c r="P41" i="3"/>
  <c r="L41" i="3"/>
  <c r="F41" i="3"/>
  <c r="G41" i="3"/>
  <c r="G45" i="3" s="1"/>
  <c r="H41" i="3"/>
  <c r="I41" i="3"/>
  <c r="J41" i="3"/>
  <c r="E41" i="3"/>
  <c r="M38" i="3"/>
  <c r="M35" i="3" s="1"/>
  <c r="N38" i="3"/>
  <c r="N35" i="3" s="1"/>
  <c r="O38" i="3"/>
  <c r="O35" i="3" s="1"/>
  <c r="P38" i="3"/>
  <c r="P35" i="3" s="1"/>
  <c r="L38" i="3"/>
  <c r="L35" i="3" s="1"/>
  <c r="F38" i="3"/>
  <c r="F35" i="3" s="1"/>
  <c r="G38" i="3"/>
  <c r="G35" i="3" s="1"/>
  <c r="H38" i="3"/>
  <c r="H35" i="3" s="1"/>
  <c r="I38" i="3"/>
  <c r="I35" i="3" s="1"/>
  <c r="J38" i="3"/>
  <c r="J35" i="3" s="1"/>
  <c r="E35" i="3"/>
  <c r="E45" i="3" l="1"/>
  <c r="H45" i="3"/>
  <c r="L45" i="2"/>
  <c r="N71" i="2"/>
  <c r="J45" i="2"/>
  <c r="G71" i="4"/>
  <c r="I71" i="4"/>
  <c r="H45" i="2"/>
  <c r="P45" i="2"/>
  <c r="M71" i="2"/>
  <c r="L71" i="2"/>
  <c r="N45" i="2"/>
  <c r="M45" i="2"/>
  <c r="P75" i="3"/>
  <c r="F75" i="3"/>
  <c r="F45" i="3"/>
  <c r="L75" i="3"/>
  <c r="L45" i="3"/>
  <c r="P45" i="3"/>
  <c r="O45" i="3"/>
  <c r="J45" i="3"/>
  <c r="N45" i="3"/>
  <c r="I45" i="3"/>
  <c r="M45" i="3"/>
  <c r="L71" i="4"/>
  <c r="M71" i="4"/>
  <c r="M45" i="4"/>
  <c r="E45" i="4"/>
  <c r="F71" i="4"/>
  <c r="F45" i="4"/>
  <c r="P71" i="4"/>
  <c r="P45" i="4"/>
  <c r="O71" i="2"/>
  <c r="O35" i="2"/>
  <c r="O45" i="2" s="1"/>
  <c r="G71" i="2"/>
  <c r="G35" i="2"/>
  <c r="G45" i="2" s="1"/>
  <c r="J71" i="2"/>
  <c r="F71" i="2"/>
  <c r="I71" i="2"/>
  <c r="E71" i="2"/>
  <c r="E35" i="2"/>
  <c r="E45" i="2" s="1"/>
  <c r="K71" i="2"/>
  <c r="K35" i="2"/>
  <c r="K45" i="2" s="1"/>
  <c r="P71" i="2"/>
  <c r="H71" i="2"/>
  <c r="O75" i="3"/>
  <c r="N75" i="3"/>
  <c r="E75" i="3"/>
  <c r="I75" i="3"/>
  <c r="M75" i="3"/>
  <c r="J75" i="3"/>
  <c r="H75" i="3"/>
  <c r="G75" i="3"/>
  <c r="H71" i="4"/>
  <c r="K71" i="4"/>
  <c r="O71" i="4"/>
  <c r="J71" i="4"/>
  <c r="N71" i="4"/>
  <c r="Q41" i="4"/>
  <c r="E71" i="4"/>
  <c r="Q38" i="2"/>
  <c r="Q58" i="6"/>
  <c r="Q56" i="6"/>
  <c r="Q38" i="4"/>
  <c r="Q41" i="2"/>
  <c r="H236" i="9" l="1"/>
  <c r="G236" i="9"/>
  <c r="Q45" i="2"/>
  <c r="Q45" i="4"/>
  <c r="Q71" i="4"/>
  <c r="Q71" i="2"/>
  <c r="Q35" i="2"/>
  <c r="K41" i="3"/>
  <c r="K38" i="3"/>
  <c r="D177" i="7"/>
  <c r="P37" i="6"/>
  <c r="P39" i="6" s="1"/>
  <c r="P34" i="6" s="1"/>
  <c r="O37" i="6"/>
  <c r="O39" i="6" s="1"/>
  <c r="O34" i="6" s="1"/>
  <c r="N37" i="6"/>
  <c r="M37" i="6"/>
  <c r="M39" i="6" s="1"/>
  <c r="M34" i="6" s="1"/>
  <c r="L37" i="6"/>
  <c r="L39" i="6" s="1"/>
  <c r="L34" i="6" s="1"/>
  <c r="K37" i="6"/>
  <c r="K39" i="6" s="1"/>
  <c r="K34" i="6" s="1"/>
  <c r="J37" i="6"/>
  <c r="J39" i="6" s="1"/>
  <c r="J34" i="6" s="1"/>
  <c r="I37" i="6"/>
  <c r="I39" i="6" s="1"/>
  <c r="I34" i="6" s="1"/>
  <c r="H37" i="6"/>
  <c r="H39" i="6" s="1"/>
  <c r="H34" i="6" s="1"/>
  <c r="G37" i="6"/>
  <c r="G39" i="6" s="1"/>
  <c r="G34" i="6" s="1"/>
  <c r="F37" i="6"/>
  <c r="F39" i="6" s="1"/>
  <c r="F34" i="6" s="1"/>
  <c r="E37" i="6"/>
  <c r="N41" i="6"/>
  <c r="O41" i="6"/>
  <c r="P41" i="6"/>
  <c r="M41" i="6"/>
  <c r="H41" i="6"/>
  <c r="I41" i="6"/>
  <c r="J41" i="6"/>
  <c r="K41" i="6"/>
  <c r="G41" i="6"/>
  <c r="N38" i="6" l="1"/>
  <c r="N35" i="6" s="1"/>
  <c r="N45" i="6" s="1"/>
  <c r="N39" i="6"/>
  <c r="N34" i="6" s="1"/>
  <c r="E33" i="6"/>
  <c r="E39" i="6"/>
  <c r="Q38" i="3"/>
  <c r="K35" i="3"/>
  <c r="K45" i="3" s="1"/>
  <c r="Q45" i="3" s="1"/>
  <c r="Q41" i="3"/>
  <c r="F236" i="9" s="1"/>
  <c r="K75" i="3"/>
  <c r="Q75" i="3" s="1"/>
  <c r="L38" i="6"/>
  <c r="L35" i="6" s="1"/>
  <c r="M38" i="6"/>
  <c r="F38" i="6"/>
  <c r="F35" i="6" s="1"/>
  <c r="N75" i="6"/>
  <c r="E38" i="6"/>
  <c r="E35" i="6" s="1"/>
  <c r="G38" i="6"/>
  <c r="O38" i="6"/>
  <c r="H38" i="6"/>
  <c r="I38" i="6"/>
  <c r="P38" i="6"/>
  <c r="P35" i="6" s="1"/>
  <c r="P45" i="6" s="1"/>
  <c r="K38" i="6"/>
  <c r="K35" i="6" s="1"/>
  <c r="K45" i="6" s="1"/>
  <c r="J38" i="6"/>
  <c r="N76" i="6"/>
  <c r="E34" i="6" l="1"/>
  <c r="Q39" i="6"/>
  <c r="K76" i="6"/>
  <c r="Q35" i="3"/>
  <c r="J76" i="6"/>
  <c r="J35" i="6"/>
  <c r="J45" i="6" s="1"/>
  <c r="M76" i="6"/>
  <c r="M35" i="6"/>
  <c r="M45" i="6" s="1"/>
  <c r="G76" i="6"/>
  <c r="G35" i="6"/>
  <c r="P76" i="6"/>
  <c r="I76" i="6"/>
  <c r="I35" i="6"/>
  <c r="I45" i="6" s="1"/>
  <c r="H76" i="6"/>
  <c r="H35" i="6"/>
  <c r="H45" i="6" s="1"/>
  <c r="O76" i="6"/>
  <c r="O35" i="6"/>
  <c r="O45" i="6" s="1"/>
  <c r="Q38" i="6"/>
  <c r="D5" i="10"/>
  <c r="C5" i="10"/>
  <c r="Q34" i="6" l="1"/>
  <c r="E133" i="9" a="1"/>
  <c r="E133" i="9" s="1"/>
  <c r="Q35" i="6"/>
  <c r="G45" i="6"/>
  <c r="L40" i="6"/>
  <c r="L41" i="6" s="1"/>
  <c r="F40" i="6"/>
  <c r="E40" i="6"/>
  <c r="E250" i="9" l="1"/>
  <c r="D192" i="7" s="1"/>
  <c r="L76" i="6"/>
  <c r="L45" i="6"/>
  <c r="E44" i="6"/>
  <c r="E41" i="6"/>
  <c r="E76" i="6" s="1"/>
  <c r="E75" i="6"/>
  <c r="F41" i="6"/>
  <c r="F44" i="6"/>
  <c r="Q40" i="6"/>
  <c r="F76" i="6" l="1"/>
  <c r="F45" i="6"/>
  <c r="E45" i="6"/>
  <c r="Q45" i="6" s="1"/>
  <c r="E251" i="9"/>
  <c r="D193" i="7" s="1"/>
  <c r="Q41" i="6"/>
  <c r="E236" i="9" s="1"/>
  <c r="Q76" i="6"/>
  <c r="F145" i="9"/>
  <c r="G145" i="9" s="1"/>
  <c r="H145" i="9" s="1"/>
  <c r="G144" i="9"/>
  <c r="H144" i="9" s="1"/>
  <c r="D183" i="7" l="1"/>
  <c r="F70" i="4"/>
  <c r="G70" i="4"/>
  <c r="H70" i="4"/>
  <c r="I70" i="4"/>
  <c r="J70" i="4"/>
  <c r="K70" i="4"/>
  <c r="L70" i="4"/>
  <c r="M70" i="4"/>
  <c r="N70" i="4"/>
  <c r="O70" i="4"/>
  <c r="P70" i="4"/>
  <c r="F70" i="2"/>
  <c r="G70" i="2"/>
  <c r="H70" i="2"/>
  <c r="I70" i="2"/>
  <c r="J70" i="2"/>
  <c r="K70" i="2"/>
  <c r="L70" i="2"/>
  <c r="M70" i="2"/>
  <c r="N70" i="2"/>
  <c r="O70" i="2"/>
  <c r="P70" i="2"/>
  <c r="E70" i="2"/>
  <c r="F74" i="3"/>
  <c r="G74" i="3"/>
  <c r="H74" i="3"/>
  <c r="I74" i="3"/>
  <c r="J74" i="3"/>
  <c r="K74" i="3"/>
  <c r="L74" i="3"/>
  <c r="M74" i="3"/>
  <c r="N74" i="3"/>
  <c r="O74" i="3"/>
  <c r="P74" i="3"/>
  <c r="E74" i="3"/>
  <c r="F75" i="6"/>
  <c r="G75" i="6"/>
  <c r="H75" i="6"/>
  <c r="I75" i="6"/>
  <c r="J75" i="6"/>
  <c r="K75" i="6"/>
  <c r="L75" i="6"/>
  <c r="M75" i="6"/>
  <c r="O75" i="6"/>
  <c r="P75" i="6"/>
  <c r="K79" i="7"/>
  <c r="I79" i="7"/>
  <c r="G79" i="7"/>
  <c r="E79" i="7"/>
  <c r="E18" i="9" l="1"/>
  <c r="G19" i="9"/>
  <c r="F19" i="9"/>
  <c r="F18" i="9"/>
  <c r="C6" i="10"/>
  <c r="H26" i="7" s="1"/>
  <c r="H19" i="9"/>
  <c r="J26" i="7"/>
  <c r="F20" i="9" l="1"/>
  <c r="F223" i="9" s="1"/>
  <c r="F221" i="9" s="1"/>
  <c r="D26" i="7"/>
  <c r="G18" i="9"/>
  <c r="G20" i="9" s="1"/>
  <c r="G223" i="9" s="1"/>
  <c r="G221" i="9" s="1"/>
  <c r="F26" i="7"/>
  <c r="E16" i="8" s="1"/>
  <c r="H18" i="9"/>
  <c r="H20" i="9" s="1"/>
  <c r="H223" i="9" s="1"/>
  <c r="H221" i="9" s="1"/>
  <c r="E20" i="9"/>
  <c r="E223" i="9" s="1"/>
  <c r="E221" i="9" s="1"/>
  <c r="E266" i="9" s="1"/>
  <c r="F27" i="7"/>
  <c r="E17" i="8" s="1"/>
  <c r="H27" i="7"/>
  <c r="F17" i="8" s="1"/>
  <c r="J27" i="7"/>
  <c r="K34" i="7" s="1"/>
  <c r="D23" i="8"/>
  <c r="E23" i="8"/>
  <c r="F23" i="8"/>
  <c r="G23" i="8"/>
  <c r="E34" i="7"/>
  <c r="G17" i="8"/>
  <c r="G16" i="8"/>
  <c r="F16" i="8"/>
  <c r="D17" i="8"/>
  <c r="D16" i="8"/>
  <c r="I34" i="7" l="1"/>
  <c r="D18" i="8"/>
  <c r="G34" i="7"/>
  <c r="E18" i="8" s="1"/>
  <c r="J117" i="7"/>
  <c r="F117" i="7"/>
  <c r="H117" i="7" s="1"/>
  <c r="F118" i="7"/>
  <c r="H118" i="7" s="1"/>
  <c r="J118" i="7" s="1"/>
  <c r="F178" i="7" l="1"/>
  <c r="F183" i="7" s="1"/>
  <c r="H178" i="7" l="1"/>
  <c r="Q37" i="2"/>
  <c r="Q40" i="2"/>
  <c r="J178" i="7" l="1"/>
  <c r="H183" i="7"/>
  <c r="G84" i="7"/>
  <c r="I84" i="7" s="1"/>
  <c r="K84" i="7" s="1"/>
  <c r="K69" i="7"/>
  <c r="I69" i="7"/>
  <c r="G69" i="7"/>
  <c r="E69" i="7"/>
  <c r="E203" i="9"/>
  <c r="D142" i="7" s="1"/>
  <c r="D148" i="7" s="1"/>
  <c r="F75" i="9"/>
  <c r="G75" i="9" s="1"/>
  <c r="H75" i="9" s="1"/>
  <c r="F95" i="9"/>
  <c r="F85" i="9"/>
  <c r="G85" i="9" s="1"/>
  <c r="H85" i="9" s="1"/>
  <c r="F38" i="9"/>
  <c r="G38" i="9" s="1"/>
  <c r="H38" i="9" s="1"/>
  <c r="G95" i="9" l="1"/>
  <c r="F79" i="9"/>
  <c r="G79" i="9" s="1"/>
  <c r="H79" i="9" s="1"/>
  <c r="F69" i="9"/>
  <c r="G69" i="9" s="1"/>
  <c r="H69" i="9" s="1"/>
  <c r="F89" i="9"/>
  <c r="G89" i="9" s="1"/>
  <c r="H95" i="9" l="1"/>
  <c r="H89" i="9"/>
  <c r="H270" i="9" l="1"/>
  <c r="K45" i="8" s="1"/>
  <c r="H267" i="9"/>
  <c r="H242" i="9"/>
  <c r="H268" i="9" s="1"/>
  <c r="I45" i="8" s="1"/>
  <c r="H252" i="9"/>
  <c r="H251" i="9"/>
  <c r="J193" i="7" s="1"/>
  <c r="H93" i="9"/>
  <c r="H96" i="9" s="1"/>
  <c r="H83" i="9"/>
  <c r="H86" i="9" s="1"/>
  <c r="H72" i="9"/>
  <c r="H73" i="9" s="1"/>
  <c r="H57" i="9"/>
  <c r="H45" i="9"/>
  <c r="H37" i="9"/>
  <c r="H16" i="9"/>
  <c r="G270" i="9"/>
  <c r="G267" i="9"/>
  <c r="H44" i="8" s="1"/>
  <c r="G250" i="9"/>
  <c r="H192" i="7" s="1"/>
  <c r="G242" i="9"/>
  <c r="G268" i="9" s="1"/>
  <c r="I44" i="8" s="1"/>
  <c r="G252" i="9"/>
  <c r="G251" i="9"/>
  <c r="H193" i="7" s="1"/>
  <c r="G140" i="9"/>
  <c r="G196" i="9" s="1"/>
  <c r="G93" i="9"/>
  <c r="G96" i="9" s="1"/>
  <c r="G83" i="9"/>
  <c r="G86" i="9" s="1"/>
  <c r="G72" i="9"/>
  <c r="G73" i="9" s="1"/>
  <c r="G76" i="9" s="1"/>
  <c r="G57" i="9"/>
  <c r="G45" i="9"/>
  <c r="G37" i="9"/>
  <c r="G16" i="9"/>
  <c r="F270" i="9"/>
  <c r="K43" i="8" s="1"/>
  <c r="F267" i="9"/>
  <c r="F268" i="9"/>
  <c r="I43" i="8" s="1"/>
  <c r="F252" i="9"/>
  <c r="F251" i="9"/>
  <c r="F193" i="7" s="1"/>
  <c r="F93" i="9"/>
  <c r="F96" i="9" s="1"/>
  <c r="F83" i="9"/>
  <c r="F86" i="9" s="1"/>
  <c r="F72" i="9"/>
  <c r="F73" i="9" s="1"/>
  <c r="F57" i="9"/>
  <c r="F37" i="9"/>
  <c r="F16" i="9"/>
  <c r="E270" i="9"/>
  <c r="K42" i="8" s="1"/>
  <c r="E267" i="9"/>
  <c r="H41" i="8" s="1"/>
  <c r="E268" i="9"/>
  <c r="I42" i="8" s="1"/>
  <c r="E252" i="9"/>
  <c r="E83" i="9"/>
  <c r="E86" i="9" s="1"/>
  <c r="E72" i="9"/>
  <c r="E73" i="9" s="1"/>
  <c r="E76" i="9" s="1"/>
  <c r="E57" i="9"/>
  <c r="E45" i="9"/>
  <c r="E83" i="7" s="1"/>
  <c r="E37" i="9"/>
  <c r="E16" i="9"/>
  <c r="E143" i="9" s="1"/>
  <c r="E146" i="9" s="1"/>
  <c r="F143" i="9" l="1"/>
  <c r="F146" i="9" s="1"/>
  <c r="G143" i="9"/>
  <c r="G146" i="9" s="1"/>
  <c r="H143" i="9"/>
  <c r="H146" i="9" s="1"/>
  <c r="I83" i="7"/>
  <c r="K83" i="7"/>
  <c r="F203" i="9"/>
  <c r="F142" i="7" s="1"/>
  <c r="H203" i="9"/>
  <c r="J142" i="7" s="1"/>
  <c r="F140" i="9"/>
  <c r="F196" i="9" s="1"/>
  <c r="H140" i="9"/>
  <c r="H196" i="9" s="1"/>
  <c r="G203" i="9"/>
  <c r="H142" i="7" s="1"/>
  <c r="H76" i="9"/>
  <c r="H250" i="9"/>
  <c r="J192" i="7" s="1"/>
  <c r="G206" i="9"/>
  <c r="G212" i="9" s="1"/>
  <c r="F76" i="9"/>
  <c r="F206" i="9" s="1"/>
  <c r="F212" i="9" s="1"/>
  <c r="F250" i="9"/>
  <c r="F192" i="7" s="1"/>
  <c r="E206" i="9"/>
  <c r="E212" i="9" s="1"/>
  <c r="E196" i="9"/>
  <c r="H206" i="9" l="1"/>
  <c r="H212" i="9" s="1"/>
  <c r="J183" i="7" l="1"/>
  <c r="J220" i="7" s="1"/>
  <c r="F220" i="7"/>
  <c r="F163" i="7" l="1"/>
  <c r="H220" i="7"/>
  <c r="I91" i="7"/>
  <c r="H148" i="7"/>
  <c r="H155" i="7" s="1"/>
  <c r="D220" i="7"/>
  <c r="K91" i="7"/>
  <c r="J148" i="7"/>
  <c r="F148" i="7"/>
  <c r="F155" i="7" s="1"/>
  <c r="D163" i="7"/>
  <c r="E91" i="7"/>
  <c r="D155" i="7"/>
  <c r="G91" i="7" l="1"/>
  <c r="H163" i="7"/>
  <c r="J155" i="7"/>
  <c r="F18" i="8" l="1"/>
  <c r="G18" i="8"/>
  <c r="J163" i="7"/>
  <c r="E82" i="4" l="1"/>
  <c r="O19" i="3" l="1"/>
  <c r="Q19" i="3" s="1"/>
  <c r="P19" i="6" l="1"/>
  <c r="O19" i="6"/>
  <c r="Q19" i="6" l="1"/>
  <c r="O19" i="2"/>
  <c r="Q19" i="2" s="1"/>
  <c r="E16" i="6" l="1"/>
  <c r="Q130" i="6"/>
  <c r="Q129" i="6"/>
  <c r="Q128" i="6"/>
  <c r="D33" i="8" s="1"/>
  <c r="Q118" i="6"/>
  <c r="Q117" i="6"/>
  <c r="Q116" i="6"/>
  <c r="E197" i="9" s="1"/>
  <c r="E198" i="9" s="1"/>
  <c r="P87" i="6"/>
  <c r="O87" i="6"/>
  <c r="N87" i="6"/>
  <c r="M87" i="6"/>
  <c r="L87" i="6"/>
  <c r="K87" i="6"/>
  <c r="J87" i="6"/>
  <c r="I87" i="6"/>
  <c r="H87" i="6"/>
  <c r="G87" i="6"/>
  <c r="F87" i="6"/>
  <c r="E87" i="6"/>
  <c r="Q86" i="6"/>
  <c r="Q85" i="6"/>
  <c r="F70" i="6"/>
  <c r="E70" i="6"/>
  <c r="F68" i="6"/>
  <c r="E68" i="6"/>
  <c r="F66" i="6"/>
  <c r="E66" i="6"/>
  <c r="G66" i="6" s="1"/>
  <c r="D197" i="7" s="1"/>
  <c r="Q59" i="6"/>
  <c r="Q57" i="6"/>
  <c r="Q55" i="6"/>
  <c r="Q43" i="6"/>
  <c r="Q37" i="6"/>
  <c r="Q36" i="6"/>
  <c r="P44" i="6"/>
  <c r="O44" i="6"/>
  <c r="N44" i="6"/>
  <c r="L44" i="6"/>
  <c r="K44" i="6"/>
  <c r="J44" i="6"/>
  <c r="I44" i="6"/>
  <c r="H44" i="6"/>
  <c r="Q27" i="6"/>
  <c r="E128" i="9" s="1"/>
  <c r="Q26" i="6"/>
  <c r="E147" i="9" s="1"/>
  <c r="Q25" i="6"/>
  <c r="P20" i="6"/>
  <c r="O20" i="6"/>
  <c r="N20" i="6"/>
  <c r="M20" i="6"/>
  <c r="L20" i="6"/>
  <c r="K20" i="6"/>
  <c r="J20" i="6"/>
  <c r="I20" i="6"/>
  <c r="H20" i="6"/>
  <c r="G20" i="6"/>
  <c r="F20" i="6"/>
  <c r="E20" i="6"/>
  <c r="P17" i="6"/>
  <c r="O17" i="6"/>
  <c r="N17" i="6"/>
  <c r="M17" i="6"/>
  <c r="L17" i="6"/>
  <c r="K17" i="6"/>
  <c r="J17" i="6"/>
  <c r="I17" i="6"/>
  <c r="H17" i="6"/>
  <c r="G17" i="6"/>
  <c r="F17" i="6"/>
  <c r="E17" i="6"/>
  <c r="P16" i="6"/>
  <c r="O16" i="6"/>
  <c r="N16" i="6"/>
  <c r="M16" i="6"/>
  <c r="L16" i="6"/>
  <c r="K16" i="6"/>
  <c r="J16" i="6"/>
  <c r="I16" i="6"/>
  <c r="H16" i="6"/>
  <c r="G16" i="6"/>
  <c r="F16" i="6"/>
  <c r="Q15" i="6"/>
  <c r="Q14" i="6"/>
  <c r="D13" i="7" s="1"/>
  <c r="Q13" i="6"/>
  <c r="D12" i="7" s="1"/>
  <c r="D162" i="7" s="1"/>
  <c r="D167" i="7" s="1"/>
  <c r="D218" i="7" s="1"/>
  <c r="Q12" i="6"/>
  <c r="D11" i="7" s="1"/>
  <c r="G68" i="6" l="1"/>
  <c r="D198" i="7" s="1"/>
  <c r="D209" i="7" s="1"/>
  <c r="D221" i="7" s="1"/>
  <c r="Q44" i="6"/>
  <c r="Q20" i="6"/>
  <c r="Q16" i="6"/>
  <c r="E31" i="9"/>
  <c r="E46" i="9" s="1"/>
  <c r="E134" i="9"/>
  <c r="E152" i="9" s="1"/>
  <c r="D28" i="8"/>
  <c r="E188" i="9"/>
  <c r="D31" i="8"/>
  <c r="E108" i="9"/>
  <c r="E111" i="9" s="1"/>
  <c r="E113" i="9" s="1"/>
  <c r="E21" i="7"/>
  <c r="E32" i="9"/>
  <c r="E47" i="9" s="1"/>
  <c r="E136" i="9"/>
  <c r="Q33" i="6"/>
  <c r="Q87" i="6"/>
  <c r="E191" i="9" s="1"/>
  <c r="Q75" i="6"/>
  <c r="E235" i="9" s="1"/>
  <c r="Q17" i="6"/>
  <c r="P16" i="3"/>
  <c r="O16" i="3"/>
  <c r="N16" i="3"/>
  <c r="M16" i="3"/>
  <c r="L16" i="3"/>
  <c r="K16" i="3"/>
  <c r="J16" i="3"/>
  <c r="I16" i="3"/>
  <c r="H16" i="3"/>
  <c r="G16" i="3"/>
  <c r="F16" i="3"/>
  <c r="E16" i="3"/>
  <c r="E156" i="9" l="1"/>
  <c r="E162" i="9" s="1"/>
  <c r="E166" i="9" s="1"/>
  <c r="E192" i="9"/>
  <c r="E153" i="9"/>
  <c r="E157" i="9" s="1"/>
  <c r="E163" i="9" s="1"/>
  <c r="E160" i="9"/>
  <c r="E253" i="9"/>
  <c r="E176" i="9"/>
  <c r="E199" i="9"/>
  <c r="E211" i="9" s="1"/>
  <c r="D129" i="7"/>
  <c r="D135" i="7" s="1"/>
  <c r="D154" i="7" s="1"/>
  <c r="D113" i="7"/>
  <c r="D20" i="8"/>
  <c r="D41" i="7"/>
  <c r="E46" i="7" s="1"/>
  <c r="D29" i="8"/>
  <c r="D116" i="7"/>
  <c r="E81" i="7"/>
  <c r="E80" i="7"/>
  <c r="Q16" i="3"/>
  <c r="E167" i="9" l="1"/>
  <c r="E171" i="9" s="1"/>
  <c r="E177" i="9" s="1"/>
  <c r="E155" i="9"/>
  <c r="E154" i="9"/>
  <c r="E168" i="9"/>
  <c r="E172" i="9" s="1"/>
  <c r="E269" i="9"/>
  <c r="J42" i="8" s="1"/>
  <c r="D42" i="8"/>
  <c r="D50" i="7"/>
  <c r="E99" i="7" s="1"/>
  <c r="D122" i="7"/>
  <c r="D153" i="7" s="1"/>
  <c r="D156" i="7" s="1"/>
  <c r="D217" i="7" s="1"/>
  <c r="D224" i="7" s="1"/>
  <c r="E61" i="7"/>
  <c r="E44" i="4"/>
  <c r="E165" i="9" l="1"/>
  <c r="E210" i="9"/>
  <c r="E213" i="9" s="1"/>
  <c r="E265" i="9" s="1"/>
  <c r="E63" i="7"/>
  <c r="E67" i="7"/>
  <c r="D21" i="8"/>
  <c r="E62" i="7"/>
  <c r="Q13" i="4"/>
  <c r="J12" i="7" s="1"/>
  <c r="P16" i="2"/>
  <c r="O16" i="2"/>
  <c r="N16" i="2"/>
  <c r="M16" i="2"/>
  <c r="L16" i="2"/>
  <c r="K16" i="2"/>
  <c r="J16" i="2"/>
  <c r="I16" i="2"/>
  <c r="H16" i="2"/>
  <c r="G16" i="2"/>
  <c r="F16" i="2"/>
  <c r="E16" i="2"/>
  <c r="G42" i="8" l="1"/>
  <c r="J162" i="7"/>
  <c r="J167" i="7" s="1"/>
  <c r="J218" i="7" s="1"/>
  <c r="F42" i="8"/>
  <c r="F49" i="8" s="1"/>
  <c r="D62" i="8" s="1"/>
  <c r="E271" i="9"/>
  <c r="Q16" i="2"/>
  <c r="D22" i="8"/>
  <c r="D24" i="8" s="1"/>
  <c r="E68" i="7"/>
  <c r="E70" i="7" s="1"/>
  <c r="E63" i="4"/>
  <c r="E89" i="7" l="1"/>
  <c r="E77" i="7"/>
  <c r="F82" i="4"/>
  <c r="E78" i="7" l="1"/>
  <c r="E76" i="7" s="1"/>
  <c r="D25" i="8"/>
  <c r="O19" i="4"/>
  <c r="Q19" i="4" s="1"/>
  <c r="P16" i="4"/>
  <c r="O16" i="4"/>
  <c r="N16" i="4"/>
  <c r="M16" i="4"/>
  <c r="L16" i="4"/>
  <c r="K16" i="4"/>
  <c r="J16" i="4"/>
  <c r="I16" i="4"/>
  <c r="H16" i="4"/>
  <c r="G16" i="4"/>
  <c r="F16" i="4"/>
  <c r="E16" i="4"/>
  <c r="E178" i="9" l="1"/>
  <c r="Q16" i="4"/>
  <c r="Q12" i="4"/>
  <c r="Q14" i="4"/>
  <c r="J13" i="7" s="1"/>
  <c r="Q15" i="4"/>
  <c r="E17" i="4"/>
  <c r="F17" i="4"/>
  <c r="G17" i="4"/>
  <c r="H17" i="4"/>
  <c r="I17" i="4"/>
  <c r="J17" i="4"/>
  <c r="K17" i="4"/>
  <c r="L17" i="4"/>
  <c r="M17" i="4"/>
  <c r="N17" i="4"/>
  <c r="O17" i="4"/>
  <c r="P17" i="4"/>
  <c r="O20" i="4"/>
  <c r="E20" i="4"/>
  <c r="F20" i="4"/>
  <c r="G20" i="4"/>
  <c r="H20" i="4"/>
  <c r="I20" i="4"/>
  <c r="J20" i="4"/>
  <c r="K20" i="4"/>
  <c r="L20" i="4"/>
  <c r="M20" i="4"/>
  <c r="N20" i="4"/>
  <c r="P20" i="4"/>
  <c r="Q25" i="4"/>
  <c r="H120" i="9" s="1"/>
  <c r="Q26" i="4"/>
  <c r="H124" i="9" s="1"/>
  <c r="Q27" i="4"/>
  <c r="H128" i="9" s="1"/>
  <c r="F44" i="4"/>
  <c r="J44" i="4"/>
  <c r="N44" i="4"/>
  <c r="Q36" i="4"/>
  <c r="Q43" i="4"/>
  <c r="Q53" i="4"/>
  <c r="Q54" i="4"/>
  <c r="Q55" i="4"/>
  <c r="F61" i="4"/>
  <c r="G61" i="4" s="1"/>
  <c r="J197" i="7" s="1"/>
  <c r="F63" i="4"/>
  <c r="G63" i="4" s="1"/>
  <c r="J198" i="7" s="1"/>
  <c r="E65" i="4"/>
  <c r="F65" i="4"/>
  <c r="Q80" i="4"/>
  <c r="Q81" i="4"/>
  <c r="G82" i="4"/>
  <c r="H82" i="4"/>
  <c r="I82" i="4"/>
  <c r="J82" i="4"/>
  <c r="K82" i="4"/>
  <c r="L82" i="4"/>
  <c r="M82" i="4"/>
  <c r="N82" i="4"/>
  <c r="O82" i="4"/>
  <c r="P82" i="4"/>
  <c r="Q111" i="4"/>
  <c r="Q112" i="4"/>
  <c r="Q113" i="4"/>
  <c r="Q123" i="4"/>
  <c r="G33" i="8" s="1"/>
  <c r="Q124" i="4"/>
  <c r="Q125" i="4"/>
  <c r="E42" i="8" l="1"/>
  <c r="D49" i="8" s="1"/>
  <c r="C62" i="8" s="1"/>
  <c r="E179" i="9"/>
  <c r="H129" i="9"/>
  <c r="H150" i="9" s="1"/>
  <c r="H147" i="9" s="1"/>
  <c r="Q20" i="4"/>
  <c r="J209" i="7"/>
  <c r="J221" i="7" s="1"/>
  <c r="E92" i="7"/>
  <c r="G28" i="8"/>
  <c r="H188" i="9"/>
  <c r="H32" i="9"/>
  <c r="H47" i="9" s="1"/>
  <c r="H136" i="9"/>
  <c r="K81" i="7" s="1"/>
  <c r="G31" i="8"/>
  <c r="H197" i="9"/>
  <c r="H198" i="9" s="1"/>
  <c r="H108" i="9"/>
  <c r="H111" i="9" s="1"/>
  <c r="H113" i="9" s="1"/>
  <c r="H176" i="9" s="1"/>
  <c r="J11" i="7"/>
  <c r="K21" i="7" s="1"/>
  <c r="H31" i="9"/>
  <c r="H46" i="9" s="1"/>
  <c r="H134" i="9"/>
  <c r="Q40" i="4"/>
  <c r="Q37" i="4"/>
  <c r="O44" i="4"/>
  <c r="K44" i="4"/>
  <c r="Q17" i="4"/>
  <c r="Q82" i="4"/>
  <c r="H191" i="9" s="1"/>
  <c r="P44" i="4"/>
  <c r="L44" i="4"/>
  <c r="G44" i="4"/>
  <c r="M44" i="4"/>
  <c r="I44" i="4"/>
  <c r="H44" i="4"/>
  <c r="Q129" i="3"/>
  <c r="Q128" i="3"/>
  <c r="Q127" i="3"/>
  <c r="E33" i="8" s="1"/>
  <c r="Q117" i="3"/>
  <c r="Q116" i="3"/>
  <c r="Q115" i="3"/>
  <c r="P86" i="3"/>
  <c r="O86" i="3"/>
  <c r="N86" i="3"/>
  <c r="M86" i="3"/>
  <c r="L86" i="3"/>
  <c r="K86" i="3"/>
  <c r="J86" i="3"/>
  <c r="I86" i="3"/>
  <c r="H86" i="3"/>
  <c r="G86" i="3"/>
  <c r="F86" i="3"/>
  <c r="E86" i="3"/>
  <c r="Q85" i="3"/>
  <c r="Q84" i="3"/>
  <c r="F69" i="3"/>
  <c r="E69" i="3"/>
  <c r="F67" i="3"/>
  <c r="E67" i="3"/>
  <c r="G67" i="3" s="1"/>
  <c r="F198" i="7" s="1"/>
  <c r="F65" i="3"/>
  <c r="E65" i="3"/>
  <c r="G65" i="3" s="1"/>
  <c r="F197" i="7" s="1"/>
  <c r="Q59" i="3"/>
  <c r="Q58" i="3"/>
  <c r="Q57" i="3"/>
  <c r="O44" i="3"/>
  <c r="Q43" i="3"/>
  <c r="Q40" i="3"/>
  <c r="Q37" i="3"/>
  <c r="Q36" i="3"/>
  <c r="P44" i="3"/>
  <c r="N44" i="3"/>
  <c r="M44" i="3"/>
  <c r="L44" i="3"/>
  <c r="K44" i="3"/>
  <c r="J44" i="3"/>
  <c r="I44" i="3"/>
  <c r="H44" i="3"/>
  <c r="G44" i="3"/>
  <c r="F44" i="3"/>
  <c r="Q27" i="3"/>
  <c r="F128" i="9" s="1"/>
  <c r="Q26" i="3"/>
  <c r="F124" i="9" s="1"/>
  <c r="Q25" i="3"/>
  <c r="F120" i="9" s="1"/>
  <c r="P20" i="3"/>
  <c r="O20" i="3"/>
  <c r="N20" i="3"/>
  <c r="M20" i="3"/>
  <c r="L20" i="3"/>
  <c r="K20" i="3"/>
  <c r="J20" i="3"/>
  <c r="I20" i="3"/>
  <c r="H20" i="3"/>
  <c r="G20" i="3"/>
  <c r="F20" i="3"/>
  <c r="E20" i="3"/>
  <c r="P17" i="3"/>
  <c r="O17" i="3"/>
  <c r="N17" i="3"/>
  <c r="M17" i="3"/>
  <c r="L17" i="3"/>
  <c r="K17" i="3"/>
  <c r="J17" i="3"/>
  <c r="I17" i="3"/>
  <c r="H17" i="3"/>
  <c r="G17" i="3"/>
  <c r="F17" i="3"/>
  <c r="E17" i="3"/>
  <c r="Q15" i="3"/>
  <c r="Q14" i="3"/>
  <c r="F13" i="7" s="1"/>
  <c r="Q13" i="3"/>
  <c r="F12" i="7" s="1"/>
  <c r="F162" i="7" s="1"/>
  <c r="F167" i="7" s="1"/>
  <c r="F218" i="7" s="1"/>
  <c r="Q12" i="3"/>
  <c r="Q125" i="2"/>
  <c r="Q124" i="2"/>
  <c r="Q123" i="2"/>
  <c r="F33" i="8" s="1"/>
  <c r="Q113" i="2"/>
  <c r="Q112" i="2"/>
  <c r="Q111" i="2"/>
  <c r="P82" i="2"/>
  <c r="O82" i="2"/>
  <c r="N82" i="2"/>
  <c r="M82" i="2"/>
  <c r="L82" i="2"/>
  <c r="K82" i="2"/>
  <c r="J82" i="2"/>
  <c r="I82" i="2"/>
  <c r="H82" i="2"/>
  <c r="G82" i="2"/>
  <c r="F82" i="2"/>
  <c r="E82" i="2"/>
  <c r="Q81" i="2"/>
  <c r="Q80" i="2"/>
  <c r="F65" i="2"/>
  <c r="E65" i="2"/>
  <c r="F63" i="2"/>
  <c r="E63" i="2"/>
  <c r="F61" i="2"/>
  <c r="E61" i="2"/>
  <c r="Q55" i="2"/>
  <c r="Q54" i="2"/>
  <c r="Q53" i="2"/>
  <c r="N44" i="2"/>
  <c r="Q43" i="2"/>
  <c r="Q36" i="2"/>
  <c r="P44" i="2"/>
  <c r="O44" i="2"/>
  <c r="M44" i="2"/>
  <c r="L44" i="2"/>
  <c r="K44" i="2"/>
  <c r="J44" i="2"/>
  <c r="I44" i="2"/>
  <c r="H44" i="2"/>
  <c r="G44" i="2"/>
  <c r="F44" i="2"/>
  <c r="E44" i="2"/>
  <c r="Q27" i="2"/>
  <c r="G128" i="9" s="1"/>
  <c r="Q26" i="2"/>
  <c r="G124" i="9" s="1"/>
  <c r="G129" i="9" s="1"/>
  <c r="Q25" i="2"/>
  <c r="G120" i="9" s="1"/>
  <c r="P20" i="2"/>
  <c r="O20" i="2"/>
  <c r="N20" i="2"/>
  <c r="M20" i="2"/>
  <c r="L20" i="2"/>
  <c r="K20" i="2"/>
  <c r="J20" i="2"/>
  <c r="I20" i="2"/>
  <c r="H20" i="2"/>
  <c r="G20" i="2"/>
  <c r="F20" i="2"/>
  <c r="E20" i="2"/>
  <c r="P17" i="2"/>
  <c r="O17" i="2"/>
  <c r="N17" i="2"/>
  <c r="M17" i="2"/>
  <c r="L17" i="2"/>
  <c r="K17" i="2"/>
  <c r="J17" i="2"/>
  <c r="I17" i="2"/>
  <c r="H17" i="2"/>
  <c r="G17" i="2"/>
  <c r="F17" i="2"/>
  <c r="E17" i="2"/>
  <c r="Q15" i="2"/>
  <c r="Q14" i="2"/>
  <c r="H13" i="7" s="1"/>
  <c r="Q13" i="2"/>
  <c r="H12" i="7" s="1"/>
  <c r="H162" i="7" s="1"/>
  <c r="H167" i="7" s="1"/>
  <c r="H218" i="7" s="1"/>
  <c r="Q12" i="2"/>
  <c r="G61" i="2" l="1"/>
  <c r="H197" i="7" s="1"/>
  <c r="C42" i="8"/>
  <c r="F129" i="9"/>
  <c r="H152" i="9"/>
  <c r="F62" i="8"/>
  <c r="H62" i="8" s="1"/>
  <c r="Q20" i="2"/>
  <c r="Q20" i="3"/>
  <c r="F209" i="7"/>
  <c r="F221" i="7" s="1"/>
  <c r="E100" i="7"/>
  <c r="E101" i="7" s="1"/>
  <c r="C49" i="8"/>
  <c r="G63" i="2"/>
  <c r="H198" i="7" s="1"/>
  <c r="H142" i="9"/>
  <c r="H160" i="9" s="1"/>
  <c r="H199" i="9"/>
  <c r="H211" i="9" s="1"/>
  <c r="J129" i="7"/>
  <c r="J135" i="7" s="1"/>
  <c r="J154" i="7" s="1"/>
  <c r="J41" i="7"/>
  <c r="K46" i="7" s="1"/>
  <c r="J50" i="7" s="1"/>
  <c r="K99" i="7" s="1"/>
  <c r="G20" i="8"/>
  <c r="D45" i="8"/>
  <c r="G29" i="8"/>
  <c r="J116" i="7"/>
  <c r="G108" i="9"/>
  <c r="G111" i="9" s="1"/>
  <c r="G113" i="9" s="1"/>
  <c r="G176" i="9" s="1"/>
  <c r="H11" i="7"/>
  <c r="I21" i="7" s="1"/>
  <c r="F31" i="8"/>
  <c r="G197" i="9"/>
  <c r="G198" i="9" s="1"/>
  <c r="Q70" i="4"/>
  <c r="H235" i="9" s="1"/>
  <c r="G31" i="9"/>
  <c r="G46" i="9" s="1"/>
  <c r="G134" i="9"/>
  <c r="F31" i="9"/>
  <c r="F46" i="9" s="1"/>
  <c r="F134" i="9"/>
  <c r="F28" i="8"/>
  <c r="G188" i="9"/>
  <c r="F108" i="9"/>
  <c r="F111" i="9" s="1"/>
  <c r="F113" i="9" s="1"/>
  <c r="F176" i="9" s="1"/>
  <c r="F11" i="7"/>
  <c r="G21" i="7" s="1"/>
  <c r="E31" i="8"/>
  <c r="F197" i="9"/>
  <c r="F198" i="9" s="1"/>
  <c r="G32" i="9"/>
  <c r="G47" i="9" s="1"/>
  <c r="G136" i="9"/>
  <c r="I81" i="7" s="1"/>
  <c r="F150" i="9"/>
  <c r="F147" i="9" s="1"/>
  <c r="F32" i="9"/>
  <c r="F47" i="9" s="1"/>
  <c r="F136" i="9"/>
  <c r="G81" i="7" s="1"/>
  <c r="E28" i="8"/>
  <c r="F188" i="9"/>
  <c r="K80" i="7"/>
  <c r="H253" i="9"/>
  <c r="H269" i="9" s="1"/>
  <c r="J45" i="8" s="1"/>
  <c r="J113" i="7"/>
  <c r="H192" i="9"/>
  <c r="H210" i="9" s="1"/>
  <c r="G150" i="9"/>
  <c r="G147" i="9" s="1"/>
  <c r="Q86" i="3"/>
  <c r="F191" i="9" s="1"/>
  <c r="Q33" i="3"/>
  <c r="Q82" i="2"/>
  <c r="G191" i="9" s="1"/>
  <c r="Q17" i="3"/>
  <c r="Q74" i="3"/>
  <c r="F235" i="9" s="1"/>
  <c r="Q44" i="3"/>
  <c r="Q70" i="2"/>
  <c r="G235" i="9" s="1"/>
  <c r="Q44" i="2"/>
  <c r="Q33" i="2"/>
  <c r="Q17" i="2"/>
  <c r="Q33" i="4"/>
  <c r="Q44" i="4"/>
  <c r="H156" i="9" l="1"/>
  <c r="H162" i="9" s="1"/>
  <c r="H166" i="9" s="1"/>
  <c r="H209" i="7"/>
  <c r="H221" i="7" s="1"/>
  <c r="H153" i="9"/>
  <c r="H157" i="9" s="1"/>
  <c r="G152" i="9"/>
  <c r="G156" i="9" s="1"/>
  <c r="G162" i="9" s="1"/>
  <c r="G166" i="9" s="1"/>
  <c r="F152" i="9"/>
  <c r="F156" i="9" s="1"/>
  <c r="G142" i="9"/>
  <c r="F142" i="9"/>
  <c r="F160" i="9" s="1"/>
  <c r="H213" i="9"/>
  <c r="H266" i="9" s="1"/>
  <c r="G45" i="8" s="1"/>
  <c r="K61" i="7"/>
  <c r="G199" i="9"/>
  <c r="G211" i="9" s="1"/>
  <c r="H129" i="7"/>
  <c r="H135" i="7" s="1"/>
  <c r="H154" i="7" s="1"/>
  <c r="F199" i="9"/>
  <c r="F211" i="9" s="1"/>
  <c r="F129" i="7"/>
  <c r="F135" i="7" s="1"/>
  <c r="F154" i="7" s="1"/>
  <c r="J122" i="7"/>
  <c r="J153" i="7" s="1"/>
  <c r="J156" i="7" s="1"/>
  <c r="J217" i="7" s="1"/>
  <c r="J224" i="7" s="1"/>
  <c r="E29" i="8"/>
  <c r="F116" i="7"/>
  <c r="E20" i="8"/>
  <c r="F41" i="7"/>
  <c r="G46" i="7" s="1"/>
  <c r="F50" i="7" s="1"/>
  <c r="G99" i="7" s="1"/>
  <c r="F113" i="7"/>
  <c r="F192" i="9"/>
  <c r="F210" i="9" s="1"/>
  <c r="D43" i="8"/>
  <c r="F29" i="8"/>
  <c r="H116" i="7"/>
  <c r="G80" i="7"/>
  <c r="F253" i="9"/>
  <c r="F269" i="9" s="1"/>
  <c r="J43" i="8" s="1"/>
  <c r="D44" i="8"/>
  <c r="H113" i="7"/>
  <c r="H41" i="7"/>
  <c r="I46" i="7" s="1"/>
  <c r="H50" i="7" s="1"/>
  <c r="I99" i="7" s="1"/>
  <c r="F20" i="8"/>
  <c r="I80" i="7"/>
  <c r="G253" i="9"/>
  <c r="G269" i="9" s="1"/>
  <c r="J44" i="8" s="1"/>
  <c r="G21" i="8" l="1"/>
  <c r="H163" i="9"/>
  <c r="H155" i="9"/>
  <c r="G153" i="9"/>
  <c r="G157" i="9" s="1"/>
  <c r="F153" i="9"/>
  <c r="G160" i="9"/>
  <c r="H154" i="9"/>
  <c r="K63" i="7" s="1"/>
  <c r="K67" i="7"/>
  <c r="H265" i="9"/>
  <c r="F45" i="8" s="1"/>
  <c r="F52" i="8" s="1"/>
  <c r="D59" i="8" s="1"/>
  <c r="K62" i="7"/>
  <c r="F213" i="9"/>
  <c r="F265" i="9" s="1"/>
  <c r="F122" i="7"/>
  <c r="F153" i="7" s="1"/>
  <c r="F156" i="7" s="1"/>
  <c r="F217" i="7" s="1"/>
  <c r="F224" i="7" s="1"/>
  <c r="H122" i="7"/>
  <c r="H153" i="7" s="1"/>
  <c r="H156" i="7" s="1"/>
  <c r="H217" i="7" s="1"/>
  <c r="H224" i="7" s="1"/>
  <c r="G61" i="7"/>
  <c r="G192" i="9"/>
  <c r="G210" i="9" s="1"/>
  <c r="G213" i="9" s="1"/>
  <c r="I61" i="7"/>
  <c r="F157" i="9" l="1"/>
  <c r="F163" i="9" s="1"/>
  <c r="F167" i="9" s="1"/>
  <c r="F162" i="9"/>
  <c r="G155" i="9"/>
  <c r="F154" i="9"/>
  <c r="G63" i="7" s="1"/>
  <c r="G62" i="7"/>
  <c r="H271" i="9"/>
  <c r="G22" i="8"/>
  <c r="G24" i="8" s="1"/>
  <c r="K68" i="7"/>
  <c r="K70" i="7" s="1"/>
  <c r="F266" i="9"/>
  <c r="G43" i="8" s="1"/>
  <c r="E21" i="8"/>
  <c r="G67" i="7"/>
  <c r="I67" i="7"/>
  <c r="F21" i="8"/>
  <c r="I62" i="7"/>
  <c r="F43" i="8"/>
  <c r="G68" i="7"/>
  <c r="E22" i="8"/>
  <c r="G266" i="9"/>
  <c r="G44" i="8" s="1"/>
  <c r="G265" i="9"/>
  <c r="G154" i="9"/>
  <c r="I63" i="7" s="1"/>
  <c r="F155" i="9" l="1"/>
  <c r="K77" i="7"/>
  <c r="F50" i="8"/>
  <c r="D61" i="8" s="1"/>
  <c r="G163" i="9"/>
  <c r="G167" i="9" s="1"/>
  <c r="H167" i="9"/>
  <c r="H171" i="9" s="1"/>
  <c r="H177" i="9" s="1"/>
  <c r="F168" i="9"/>
  <c r="F172" i="9" s="1"/>
  <c r="G70" i="7"/>
  <c r="E24" i="8"/>
  <c r="H164" i="9"/>
  <c r="F271" i="9"/>
  <c r="F44" i="8"/>
  <c r="F51" i="8" s="1"/>
  <c r="D60" i="8" s="1"/>
  <c r="G271" i="9"/>
  <c r="F22" i="8"/>
  <c r="F24" i="8" s="1"/>
  <c r="I68" i="7"/>
  <c r="I70" i="7" s="1"/>
  <c r="F166" i="9"/>
  <c r="G168" i="9" l="1"/>
  <c r="G171" i="9"/>
  <c r="G177" i="9" s="1"/>
  <c r="F165" i="9"/>
  <c r="G172" i="9"/>
  <c r="G165" i="9"/>
  <c r="F25" i="8" s="1"/>
  <c r="E25" i="8"/>
  <c r="D63" i="8"/>
  <c r="F171" i="9"/>
  <c r="F177" i="9" s="1"/>
  <c r="F53" i="8"/>
  <c r="I78" i="7"/>
  <c r="H168" i="9"/>
  <c r="F178" i="9"/>
  <c r="E43" i="8" s="1"/>
  <c r="G78" i="7"/>
  <c r="G164" i="9"/>
  <c r="F164" i="9"/>
  <c r="I77" i="7"/>
  <c r="G77" i="7"/>
  <c r="G178" i="9" l="1"/>
  <c r="E44" i="8" s="1"/>
  <c r="H172" i="9"/>
  <c r="H165" i="9"/>
  <c r="G25" i="8" s="1"/>
  <c r="K78" i="7"/>
  <c r="K76" i="7" s="1"/>
  <c r="G179" i="9"/>
  <c r="I89" i="7"/>
  <c r="G89" i="7"/>
  <c r="G92" i="7" s="1"/>
  <c r="G100" i="7" s="1"/>
  <c r="G101" i="7" s="1"/>
  <c r="F179" i="9"/>
  <c r="G76" i="7"/>
  <c r="I76" i="7"/>
  <c r="H178" i="9" l="1"/>
  <c r="K89" i="7" s="1"/>
  <c r="K92" i="7" s="1"/>
  <c r="K100" i="7" s="1"/>
  <c r="K101" i="7" s="1"/>
  <c r="I92" i="7"/>
  <c r="I100" i="7" s="1"/>
  <c r="I101" i="7" s="1"/>
  <c r="C44" i="8"/>
  <c r="D51" i="8"/>
  <c r="D50" i="8"/>
  <c r="C61" i="8" s="1"/>
  <c r="C43" i="8"/>
  <c r="H179" i="9" l="1"/>
  <c r="E45" i="8"/>
  <c r="C51" i="8"/>
  <c r="C60" i="8"/>
  <c r="F60" i="8" s="1"/>
  <c r="H60" i="8" s="1"/>
  <c r="F61" i="8"/>
  <c r="H61" i="8" s="1"/>
  <c r="C50" i="8"/>
  <c r="C45" i="8" l="1"/>
  <c r="D52" i="8"/>
  <c r="C59" i="8" l="1"/>
  <c r="D53" i="8"/>
  <c r="C52" i="8"/>
  <c r="C53" i="8" s="1"/>
  <c r="F59" i="8" l="1"/>
  <c r="C63" i="8"/>
  <c r="H59" i="8" l="1"/>
  <c r="F63" i="8"/>
  <c r="H6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 Andres Fuster Caballero</author>
  </authors>
  <commentList>
    <comment ref="O19" authorId="0" shapeId="0" xr:uid="{00000000-0006-0000-0300-000001000000}">
      <text>
        <r>
          <rPr>
            <b/>
            <sz val="9"/>
            <color indexed="81"/>
            <rFont val="Tahoma"/>
            <family val="2"/>
          </rPr>
          <t>Sergio Andres Fuster Caballero:</t>
        </r>
        <r>
          <rPr>
            <sz val="9"/>
            <color indexed="81"/>
            <rFont val="Tahoma"/>
            <family val="2"/>
          </rPr>
          <t xml:space="preserve">
general stoppage</t>
        </r>
      </text>
    </comment>
    <comment ref="P19" authorId="0" shapeId="0" xr:uid="{00000000-0006-0000-0300-000002000000}">
      <text>
        <r>
          <rPr>
            <b/>
            <sz val="9"/>
            <color indexed="81"/>
            <rFont val="Tahoma"/>
            <family val="2"/>
          </rPr>
          <t>Sergio Andres Fuster Caballero:</t>
        </r>
        <r>
          <rPr>
            <sz val="9"/>
            <color indexed="81"/>
            <rFont val="Tahoma"/>
            <family val="2"/>
          </rPr>
          <t xml:space="preserve">
general stoppage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Sergio Andres Fuster Caballero</author>
  </authors>
  <commentList>
    <comment ref="O19" authorId="0" shapeId="0" xr:uid="{00000000-0006-0000-0200-000001000000}">
      <text>
        <r>
          <rPr>
            <b/>
            <sz val="9"/>
            <color indexed="81"/>
            <rFont val="Tahoma"/>
            <family val="2"/>
          </rPr>
          <t>Sergio Andres Fuster Caballero:</t>
        </r>
        <r>
          <rPr>
            <sz val="9"/>
            <color indexed="81"/>
            <rFont val="Tahoma"/>
            <family val="2"/>
          </rPr>
          <t xml:space="preserve">
general stoppage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Sergio Andres Fuster Caballero</author>
  </authors>
  <commentList>
    <comment ref="O19" authorId="0" shapeId="0" xr:uid="{00000000-0006-0000-0100-000001000000}">
      <text>
        <r>
          <rPr>
            <b/>
            <sz val="9"/>
            <color indexed="81"/>
            <rFont val="Tahoma"/>
            <family val="2"/>
          </rPr>
          <t>Sergio Andres Fuster Caballero:</t>
        </r>
        <r>
          <rPr>
            <sz val="9"/>
            <color indexed="81"/>
            <rFont val="Tahoma"/>
            <family val="2"/>
          </rPr>
          <t xml:space="preserve">
general stoppage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Ricardo Enrique Urrutia Alvear</author>
  </authors>
  <commentList>
    <comment ref="O19" authorId="0" shapeId="0" xr:uid="{00000000-0006-0000-0000-000001000000}">
      <text>
        <r>
          <rPr>
            <b/>
            <sz val="9"/>
            <color indexed="81"/>
            <rFont val="Tahoma"/>
            <family val="2"/>
          </rPr>
          <t>Ricardo Enrique Urrutia Alvear:</t>
        </r>
        <r>
          <rPr>
            <sz val="9"/>
            <color indexed="81"/>
            <rFont val="Tahoma"/>
            <family val="2"/>
          </rPr>
          <t xml:space="preserve">
Parada General Planta</t>
        </r>
      </text>
    </comment>
    <comment ref="P19" authorId="0" shapeId="0" xr:uid="{00000000-0006-0000-0000-000002000000}">
      <text>
        <r>
          <rPr>
            <b/>
            <sz val="9"/>
            <color indexed="81"/>
            <rFont val="Tahoma"/>
            <family val="2"/>
          </rPr>
          <t>Ricardo Enrique Urrutia Alvear:</t>
        </r>
        <r>
          <rPr>
            <sz val="9"/>
            <color indexed="81"/>
            <rFont val="Tahoma"/>
            <family val="2"/>
          </rPr>
          <t xml:space="preserve">
Paro transportista</t>
        </r>
      </text>
    </comment>
    <comment ref="P53" authorId="0" shapeId="0" xr:uid="{00000000-0006-0000-0000-000003000000}">
      <text>
        <r>
          <rPr>
            <b/>
            <sz val="9"/>
            <color indexed="81"/>
            <rFont val="Tahoma"/>
            <family val="2"/>
          </rPr>
          <t>Ricardo Enrique Urrutia Alvear:</t>
        </r>
        <r>
          <rPr>
            <sz val="9"/>
            <color indexed="81"/>
            <rFont val="Tahoma"/>
            <family val="2"/>
          </rPr>
          <t xml:space="preserve">
Por paro de transportista TS07 detuvo su operacion</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<sst xmlns="http://schemas.openxmlformats.org/spreadsheetml/2006/main" count="2777" uniqueCount="697">
  <si>
    <t>GHG EMISSION SAVINGS FOR THE VIÑALES PROJECT ACTIVITY</t>
  </si>
  <si>
    <t>Start date 1st cred. period:</t>
  </si>
  <si>
    <t>Jan-01-2014</t>
  </si>
  <si>
    <t>Finish date of 1st cred. period:</t>
  </si>
  <si>
    <t>Dec-31-2023</t>
  </si>
  <si>
    <t>Start date 1st monit. period:</t>
  </si>
  <si>
    <r>
      <t>Finish date of 1</t>
    </r>
    <r>
      <rPr>
        <b/>
        <vertAlign val="superscript"/>
        <sz val="10"/>
        <rFont val="Arial"/>
        <family val="2"/>
      </rPr>
      <t xml:space="preserve">st </t>
    </r>
    <r>
      <rPr>
        <b/>
        <sz val="10"/>
        <rFont val="Arial"/>
        <family val="2"/>
      </rPr>
      <t>monit. period:</t>
    </r>
  </si>
  <si>
    <t>Dec-31-2020</t>
  </si>
  <si>
    <t>Summary of main monitored data per year</t>
  </si>
  <si>
    <t>(Year)</t>
  </si>
  <si>
    <t>Operating Margin</t>
  </si>
  <si>
    <r>
      <t>(tCO</t>
    </r>
    <r>
      <rPr>
        <vertAlign val="subscript"/>
        <sz val="10"/>
        <rFont val="Arial"/>
        <family val="2"/>
      </rPr>
      <t>2</t>
    </r>
    <r>
      <rPr>
        <sz val="10"/>
        <rFont val="Arial"/>
        <family val="2"/>
      </rPr>
      <t>/MWh)</t>
    </r>
  </si>
  <si>
    <t>Build Margin</t>
  </si>
  <si>
    <t>Combined Margin</t>
  </si>
  <si>
    <t>Minimum baseline electricity generation in the grid</t>
  </si>
  <si>
    <t>(GWh/yr)</t>
  </si>
  <si>
    <t>Biomass mix from internal industrial operations, heat generation.</t>
  </si>
  <si>
    <t>(BDt/yr)</t>
  </si>
  <si>
    <t>Mix of biomass from external industrial operations, heat generation</t>
  </si>
  <si>
    <t>Mix of biomass from forest operations, heat generation.</t>
  </si>
  <si>
    <t>Biomass -based heat generation</t>
  </si>
  <si>
    <t>Biomass attributable to project activity</t>
  </si>
  <si>
    <t>Fossil fuels consumed in the power boiler</t>
  </si>
  <si>
    <t xml:space="preserve">    Diesel</t>
  </si>
  <si>
    <t>(Lt/yr)</t>
  </si>
  <si>
    <t xml:space="preserve">    LPG</t>
  </si>
  <si>
    <t xml:space="preserve"> Fossil fuel consumption (diesel ) due to biomass transportation in the Plant site</t>
  </si>
  <si>
    <t>Diesel</t>
  </si>
  <si>
    <t>Fossil fuels consumed for processing biomass from forestry operations</t>
  </si>
  <si>
    <t>Net emissions savings for CP1MP1</t>
  </si>
  <si>
    <r>
      <t xml:space="preserve">A.- Table considering the total quantity of baseline and project activity emissions. </t>
    </r>
    <r>
      <rPr>
        <b/>
        <u/>
        <sz val="10"/>
        <rFont val="Arial"/>
        <family val="2"/>
      </rPr>
      <t>Not considered truncated and rounded results</t>
    </r>
    <r>
      <rPr>
        <b/>
        <sz val="10"/>
        <rFont val="Arial"/>
        <family val="2"/>
      </rPr>
      <t>.</t>
    </r>
  </si>
  <si>
    <t>Baseline emissions</t>
  </si>
  <si>
    <t>Project activity emissions</t>
  </si>
  <si>
    <t>Net emission savings</t>
  </si>
  <si>
    <t>Grid emissions</t>
  </si>
  <si>
    <t>Methane emissions</t>
  </si>
  <si>
    <t>Fossil fuel at Project site</t>
  </si>
  <si>
    <t>Electricity import from gird to P.B.</t>
  </si>
  <si>
    <t>Electricity generated on-site.</t>
  </si>
  <si>
    <t>Transport to P. Plant</t>
  </si>
  <si>
    <t>methane emissions biomass combusted in P.B.</t>
  </si>
  <si>
    <t>Biogas</t>
  </si>
  <si>
    <t>Leakage</t>
  </si>
  <si>
    <r>
      <t>(tCO</t>
    </r>
    <r>
      <rPr>
        <b/>
        <vertAlign val="subscript"/>
        <sz val="10"/>
        <rFont val="Arial"/>
        <family val="2"/>
      </rPr>
      <t>2</t>
    </r>
    <r>
      <rPr>
        <b/>
        <sz val="10"/>
        <rFont val="Arial"/>
        <family val="2"/>
      </rPr>
      <t>eq/yr)</t>
    </r>
  </si>
  <si>
    <r>
      <t>(tCO</t>
    </r>
    <r>
      <rPr>
        <vertAlign val="subscript"/>
        <sz val="10"/>
        <rFont val="Arial"/>
        <family val="2"/>
      </rPr>
      <t>2</t>
    </r>
    <r>
      <rPr>
        <sz val="10"/>
        <rFont val="Arial"/>
        <family val="2"/>
      </rPr>
      <t>/yr)</t>
    </r>
  </si>
  <si>
    <r>
      <t>(tCO</t>
    </r>
    <r>
      <rPr>
        <vertAlign val="subscript"/>
        <sz val="10"/>
        <rFont val="Arial"/>
        <family val="2"/>
      </rPr>
      <t>2</t>
    </r>
    <r>
      <rPr>
        <sz val="10"/>
        <rFont val="Arial"/>
        <family val="2"/>
      </rPr>
      <t>eq/yr)</t>
    </r>
  </si>
  <si>
    <t>Total year 2020</t>
  </si>
  <si>
    <t>Total year 2019</t>
  </si>
  <si>
    <t>Total year 2018</t>
  </si>
  <si>
    <t>Total year 2017</t>
  </si>
  <si>
    <t xml:space="preserve">B.- Table considering truncated and rounded results from row 41. Baseline and project activity emissions are truncated and rounded in conservative way. </t>
  </si>
  <si>
    <t>Total emissions claimed</t>
  </si>
  <si>
    <r>
      <t>Note:</t>
    </r>
    <r>
      <rPr>
        <sz val="10"/>
        <rFont val="Arial"/>
        <family val="2"/>
      </rPr>
      <t xml:space="preserve"> Net emission savings = Baseline emissions - Project activity emissions - Leakage.</t>
    </r>
  </si>
  <si>
    <t xml:space="preserve"> </t>
  </si>
  <si>
    <t xml:space="preserve"> Emissions due baseline electricity generation</t>
  </si>
  <si>
    <t>Determine total baseline electricity generation</t>
  </si>
  <si>
    <t>Data:</t>
  </si>
  <si>
    <t>(1)  Gross quantity of electricity generated (a)</t>
  </si>
  <si>
    <r>
      <t>EL</t>
    </r>
    <r>
      <rPr>
        <vertAlign val="subscript"/>
        <sz val="10"/>
        <rFont val="Arial"/>
        <family val="2"/>
      </rPr>
      <t>PJ,gross,y</t>
    </r>
  </si>
  <si>
    <t>(2)  Project electricity imports from the grid (a)</t>
  </si>
  <si>
    <r>
      <t>EL</t>
    </r>
    <r>
      <rPr>
        <vertAlign val="subscript"/>
        <sz val="10"/>
        <rFont val="Arial"/>
        <family val="2"/>
      </rPr>
      <t>PJ,imp.y</t>
    </r>
  </si>
  <si>
    <t>(3) Total auxiliary electricity consumption required for the operation of the power plants.(a)</t>
  </si>
  <si>
    <r>
      <t>EL</t>
    </r>
    <r>
      <rPr>
        <vertAlign val="subscript"/>
        <sz val="10"/>
        <rFont val="Arial"/>
        <family val="2"/>
      </rPr>
      <t>PJ,aux,y</t>
    </r>
  </si>
  <si>
    <t xml:space="preserve">Note: </t>
  </si>
  <si>
    <t>(a) The applied value is based on plant´s auxiliary electricity consumption in previous monitoring periods. This value does not contemplate (4) described below.</t>
  </si>
  <si>
    <t>(b) This amount will remain fixed for the whole (2nd) crediting  period. For additional information refer to step 1.2 of the registered and revised PDD.</t>
  </si>
  <si>
    <t>Calculations:</t>
  </si>
  <si>
    <t>(4) Baseline electricity generation capacity in year y</t>
  </si>
  <si>
    <r>
      <t xml:space="preserve">   EL</t>
    </r>
    <r>
      <rPr>
        <vertAlign val="subscript"/>
        <sz val="10"/>
        <rFont val="Arial"/>
        <family val="2"/>
      </rPr>
      <t xml:space="preserve"> BL,y</t>
    </r>
  </si>
  <si>
    <t>(1) + (2) - (3)</t>
  </si>
  <si>
    <t>Data</t>
  </si>
  <si>
    <t>1)  Operating Margin (OM)</t>
  </si>
  <si>
    <r>
      <t>EF</t>
    </r>
    <r>
      <rPr>
        <vertAlign val="subscript"/>
        <sz val="10"/>
        <rFont val="Arial"/>
        <family val="2"/>
      </rPr>
      <t xml:space="preserve"> grid,OM,y</t>
    </r>
  </si>
  <si>
    <t>2)  Build Margin (BM)</t>
  </si>
  <si>
    <r>
      <t>EF</t>
    </r>
    <r>
      <rPr>
        <vertAlign val="subscript"/>
        <sz val="10"/>
        <rFont val="Arial"/>
        <family val="2"/>
      </rPr>
      <t xml:space="preserve"> grid,BM,y</t>
    </r>
  </si>
  <si>
    <t>3)  Weighting of Operating Margin</t>
  </si>
  <si>
    <r>
      <t>W</t>
    </r>
    <r>
      <rPr>
        <vertAlign val="subscript"/>
        <sz val="10"/>
        <rFont val="Arial"/>
        <family val="2"/>
      </rPr>
      <t>OM</t>
    </r>
  </si>
  <si>
    <t>4)  Weighting of Build margin</t>
  </si>
  <si>
    <r>
      <t>W</t>
    </r>
    <r>
      <rPr>
        <vertAlign val="subscript"/>
        <sz val="10"/>
        <rFont val="Arial"/>
        <family val="2"/>
      </rPr>
      <t>BM</t>
    </r>
  </si>
  <si>
    <t>Calculations</t>
  </si>
  <si>
    <t>5)      Combined Margin calculation (CM)</t>
  </si>
  <si>
    <r>
      <t>EF</t>
    </r>
    <r>
      <rPr>
        <vertAlign val="subscript"/>
        <sz val="10"/>
        <rFont val="Arial"/>
        <family val="2"/>
      </rPr>
      <t>grid,CM,y</t>
    </r>
  </si>
  <si>
    <t>(1)*(3) + (2)*(4)</t>
  </si>
  <si>
    <t>Determine the minimum baseline electricity generation in the grid.</t>
  </si>
  <si>
    <t>(1) Baseline electricity generation</t>
  </si>
  <si>
    <r>
      <t>EL</t>
    </r>
    <r>
      <rPr>
        <vertAlign val="subscript"/>
        <sz val="10"/>
        <rFont val="Arial"/>
        <family val="2"/>
      </rPr>
      <t>BL,y</t>
    </r>
  </si>
  <si>
    <t>(2) Baseline electricity generation capacity</t>
  </si>
  <si>
    <r>
      <t>CAP</t>
    </r>
    <r>
      <rPr>
        <vertAlign val="subscript"/>
        <sz val="10"/>
        <rFont val="Arial"/>
        <family val="2"/>
      </rPr>
      <t>EG,total,y</t>
    </r>
  </si>
  <si>
    <t>(3) Minimum baseline electricity generation in the grid</t>
  </si>
  <si>
    <r>
      <t>EL</t>
    </r>
    <r>
      <rPr>
        <vertAlign val="subscript"/>
        <sz val="10"/>
        <rFont val="Arial"/>
        <family val="2"/>
      </rPr>
      <t>BL,GR,y</t>
    </r>
  </si>
  <si>
    <t>Max [0,(1)-(2)]</t>
  </si>
  <si>
    <t>Baseline emissions due to minimum grid electricity displacement.</t>
  </si>
  <si>
    <r>
      <t>EL</t>
    </r>
    <r>
      <rPr>
        <b/>
        <vertAlign val="subscript"/>
        <sz val="10"/>
        <rFont val="Arial"/>
        <family val="2"/>
      </rPr>
      <t xml:space="preserve"> BL,GR,y</t>
    </r>
    <r>
      <rPr>
        <b/>
        <sz val="10"/>
        <rFont val="Arial"/>
        <family val="2"/>
      </rPr>
      <t xml:space="preserve"> * EF</t>
    </r>
    <r>
      <rPr>
        <b/>
        <vertAlign val="subscript"/>
        <sz val="10"/>
        <rFont val="Arial"/>
        <family val="2"/>
      </rPr>
      <t xml:space="preserve"> EG,GR</t>
    </r>
  </si>
  <si>
    <t>Crosscheck number</t>
  </si>
  <si>
    <t xml:space="preserve"> Baseline emissions due to uncontrolled burning or decay of biomass residues</t>
  </si>
  <si>
    <t>Biomass-based heat generation</t>
  </si>
  <si>
    <t>(1)Baseline biomass-based heat generation of the power boiler in year y (without fossil fuel)</t>
  </si>
  <si>
    <r>
      <t>HG</t>
    </r>
    <r>
      <rPr>
        <vertAlign val="subscript"/>
        <sz val="10"/>
        <rFont val="Arial"/>
        <family val="2"/>
      </rPr>
      <t>PJ,BR,y</t>
    </r>
  </si>
  <si>
    <t>(GJ/y)</t>
  </si>
  <si>
    <t>Biomass-based heat generation per category (GJ):</t>
  </si>
  <si>
    <t>(2) Biomass mix from internal industrial operations, heat generation.</t>
  </si>
  <si>
    <t>(3) Mix of biomass from external industrial operations, electricity generation.</t>
  </si>
  <si>
    <t>(4) Mix of biomass from forest operations, electricity generation.</t>
  </si>
  <si>
    <t>(5) Biomass mix from internal industrial operations, heat generation.</t>
  </si>
  <si>
    <r>
      <t>BR</t>
    </r>
    <r>
      <rPr>
        <vertAlign val="subscript"/>
        <sz val="10"/>
        <rFont val="Times New Roman"/>
        <family val="1"/>
      </rPr>
      <t xml:space="preserve"> B4,1,2,y</t>
    </r>
  </si>
  <si>
    <t>(BDt/y)</t>
  </si>
  <si>
    <t>(6) Mix of biomass from external industrial operations, heat generation</t>
  </si>
  <si>
    <r>
      <t>BR</t>
    </r>
    <r>
      <rPr>
        <vertAlign val="subscript"/>
        <sz val="10"/>
        <rFont val="Times New Roman"/>
        <family val="1"/>
      </rPr>
      <t xml:space="preserve"> B4,3y</t>
    </r>
  </si>
  <si>
    <t>(7) Mix of biomass from forest operations, heat generation.</t>
  </si>
  <si>
    <r>
      <t>BR</t>
    </r>
    <r>
      <rPr>
        <vertAlign val="subscript"/>
        <sz val="10"/>
        <rFont val="Times New Roman"/>
        <family val="1"/>
      </rPr>
      <t xml:space="preserve"> B4,4,y</t>
    </r>
  </si>
  <si>
    <t>[ (5) + (6) + (7)]</t>
  </si>
  <si>
    <t>(BD/y)</t>
  </si>
  <si>
    <t>Baseline biomass-based heat generation efficiency of heat generator</t>
  </si>
  <si>
    <r>
      <t>η</t>
    </r>
    <r>
      <rPr>
        <vertAlign val="subscript"/>
        <sz val="10"/>
        <rFont val="Arial"/>
        <family val="2"/>
      </rPr>
      <t xml:space="preserve"> PJ,HG,BR,h</t>
    </r>
  </si>
  <si>
    <t>%</t>
  </si>
  <si>
    <t>[(1) + (2) + (3)]</t>
  </si>
  <si>
    <t>(1) Biomass mix from internal industrial operations, electricity generation.</t>
  </si>
  <si>
    <r>
      <t>BR</t>
    </r>
    <r>
      <rPr>
        <vertAlign val="subscript"/>
        <sz val="10"/>
        <rFont val="Times New Roman"/>
        <family val="1"/>
      </rPr>
      <t>PJ,1,2,y</t>
    </r>
  </si>
  <si>
    <t>(2) Mix of biomass from external industrial operations, electricity generation</t>
  </si>
  <si>
    <r>
      <t>BR</t>
    </r>
    <r>
      <rPr>
        <vertAlign val="subscript"/>
        <sz val="10"/>
        <rFont val="Times New Roman"/>
        <family val="1"/>
      </rPr>
      <t>PJ,3,y</t>
    </r>
  </si>
  <si>
    <t>(3) Mix of biomass from forest operations, electricity generation.</t>
  </si>
  <si>
    <r>
      <t>BR</t>
    </r>
    <r>
      <rPr>
        <vertAlign val="subscript"/>
        <sz val="10"/>
        <rFont val="Times New Roman"/>
        <family val="1"/>
      </rPr>
      <t>PJ,4,y</t>
    </r>
  </si>
  <si>
    <t>4) Net calorific value (NCV) of biomass residues (mix of sawdust and bark) from on-site industrial ops.</t>
  </si>
  <si>
    <r>
      <t>NCV</t>
    </r>
    <r>
      <rPr>
        <vertAlign val="subscript"/>
        <sz val="10"/>
        <rFont val="Arial"/>
        <family val="2"/>
      </rPr>
      <t xml:space="preserve"> BR,1,2,y</t>
    </r>
  </si>
  <si>
    <t>(Kg/TJ)</t>
  </si>
  <si>
    <t>5) Net calorific value (NCV) of biomass residues (mix of sawdust and bark) from off-site industrial ops.</t>
  </si>
  <si>
    <r>
      <t>NCV</t>
    </r>
    <r>
      <rPr>
        <vertAlign val="subscript"/>
        <sz val="10"/>
        <rFont val="Arial"/>
        <family val="2"/>
      </rPr>
      <t xml:space="preserve"> BR,3,y</t>
    </r>
  </si>
  <si>
    <t>6) Net calorific value (NCV) of biomass residues (mix of sawdust and bark) from forestry ops.</t>
  </si>
  <si>
    <r>
      <t>NCV</t>
    </r>
    <r>
      <rPr>
        <vertAlign val="subscript"/>
        <sz val="10"/>
        <rFont val="Arial"/>
        <family val="2"/>
      </rPr>
      <t xml:space="preserve"> BR,4,y</t>
    </r>
  </si>
  <si>
    <r>
      <t>7) Adjusted CH</t>
    </r>
    <r>
      <rPr>
        <vertAlign val="subscript"/>
        <sz val="10"/>
        <rFont val="Arial"/>
        <family val="2"/>
      </rPr>
      <t>4</t>
    </r>
    <r>
      <rPr>
        <sz val="10"/>
        <rFont val="Arial"/>
        <family val="2"/>
      </rPr>
      <t xml:space="preserve"> factor for uncontrolled burning, biomass residues (mix of sawdust and bark) from industrial ops.</t>
    </r>
  </si>
  <si>
    <r>
      <t>EF</t>
    </r>
    <r>
      <rPr>
        <vertAlign val="subscript"/>
        <sz val="10"/>
        <rFont val="Arial"/>
        <family val="2"/>
      </rPr>
      <t xml:space="preserve"> BR,1,2,y</t>
    </r>
    <r>
      <rPr>
        <sz val="10"/>
        <rFont val="Arial"/>
        <family val="2"/>
      </rPr>
      <t xml:space="preserve"> and EF</t>
    </r>
    <r>
      <rPr>
        <vertAlign val="subscript"/>
        <sz val="10"/>
        <rFont val="Arial"/>
        <family val="2"/>
      </rPr>
      <t xml:space="preserve"> BR,3,y</t>
    </r>
    <r>
      <rPr>
        <sz val="10"/>
        <rFont val="Arial"/>
        <family val="2"/>
      </rPr>
      <t xml:space="preserve"> </t>
    </r>
  </si>
  <si>
    <t>(GJ/ton)</t>
  </si>
  <si>
    <r>
      <t>8) Adjusted CH</t>
    </r>
    <r>
      <rPr>
        <vertAlign val="subscript"/>
        <sz val="10"/>
        <rFont val="Arial"/>
        <family val="2"/>
      </rPr>
      <t>4</t>
    </r>
    <r>
      <rPr>
        <sz val="10"/>
        <rFont val="Arial"/>
        <family val="2"/>
      </rPr>
      <t xml:space="preserve"> factor for uncontrolled burning, biomass residues (mix of sawdust and bark) from forestry operations.</t>
    </r>
  </si>
  <si>
    <r>
      <t>EF</t>
    </r>
    <r>
      <rPr>
        <vertAlign val="subscript"/>
        <sz val="10"/>
        <rFont val="Arial"/>
        <family val="2"/>
      </rPr>
      <t xml:space="preserve"> BR,4,y </t>
    </r>
  </si>
  <si>
    <r>
      <t>9) CH</t>
    </r>
    <r>
      <rPr>
        <vertAlign val="subscript"/>
        <sz val="10"/>
        <rFont val="Arial"/>
        <family val="2"/>
      </rPr>
      <t>4</t>
    </r>
    <r>
      <rPr>
        <sz val="10"/>
        <rFont val="Arial"/>
        <family val="2"/>
      </rPr>
      <t xml:space="preserve"> Global Warming Potential</t>
    </r>
  </si>
  <si>
    <t>(number)</t>
  </si>
  <si>
    <r>
      <t>10) Baseline emissions due to aerobic decay or uncontrolled burning of biomass residues (BR</t>
    </r>
    <r>
      <rPr>
        <vertAlign val="subscript"/>
        <sz val="10"/>
        <rFont val="Arial"/>
        <family val="2"/>
      </rPr>
      <t>B1/B3,1,2,y</t>
    </r>
    <r>
      <rPr>
        <sz val="10"/>
        <rFont val="Arial"/>
        <family val="2"/>
      </rPr>
      <t>)</t>
    </r>
  </si>
  <si>
    <t>[(1) * (4) * (7) * (9)]/1000000</t>
  </si>
  <si>
    <r>
      <t>(tCO</t>
    </r>
    <r>
      <rPr>
        <vertAlign val="subscript"/>
        <sz val="10"/>
        <rFont val="Arial"/>
        <family val="2"/>
      </rPr>
      <t>2</t>
    </r>
    <r>
      <rPr>
        <sz val="10"/>
        <rFont val="Arial"/>
        <family val="2"/>
      </rPr>
      <t>)</t>
    </r>
  </si>
  <si>
    <r>
      <t>11) Baseline emissions due to aerobic decay or uncontrolled burning of biomass residues (BR</t>
    </r>
    <r>
      <rPr>
        <vertAlign val="subscript"/>
        <sz val="10"/>
        <rFont val="Arial"/>
        <family val="2"/>
      </rPr>
      <t>B1/B3,3,y</t>
    </r>
    <r>
      <rPr>
        <sz val="10"/>
        <rFont val="Arial"/>
        <family val="2"/>
      </rPr>
      <t>)</t>
    </r>
  </si>
  <si>
    <t>[(2) * (5) * (7) * (9)]/1000000</t>
  </si>
  <si>
    <r>
      <t>12) Baseline emissions due to aerobic decay or uncontrolled burning of biomass residues (BR</t>
    </r>
    <r>
      <rPr>
        <vertAlign val="subscript"/>
        <sz val="10"/>
        <rFont val="Arial"/>
        <family val="2"/>
      </rPr>
      <t>B1/B3,4,y</t>
    </r>
    <r>
      <rPr>
        <sz val="10"/>
        <rFont val="Arial"/>
        <family val="2"/>
      </rPr>
      <t>)</t>
    </r>
  </si>
  <si>
    <t>[(3) * (6) * (8) * (9)]/1000000</t>
  </si>
  <si>
    <t>13) Emissions</t>
  </si>
  <si>
    <r>
      <t>∑ BR</t>
    </r>
    <r>
      <rPr>
        <b/>
        <vertAlign val="subscript"/>
        <sz val="10"/>
        <rFont val="Arial"/>
        <family val="2"/>
      </rPr>
      <t>B1/B3,i=3,4,5,y</t>
    </r>
  </si>
  <si>
    <r>
      <t>(tCO</t>
    </r>
    <r>
      <rPr>
        <b/>
        <vertAlign val="subscript"/>
        <sz val="10"/>
        <rFont val="Arial"/>
        <family val="2"/>
      </rPr>
      <t>2</t>
    </r>
    <r>
      <rPr>
        <b/>
        <sz val="10"/>
        <rFont val="Arial"/>
        <family val="2"/>
      </rPr>
      <t>)</t>
    </r>
  </si>
  <si>
    <t>Note: Equation 36 of ACM0006 (Version 12.1.1) is used for emissions calculation</t>
  </si>
  <si>
    <t>Note: Table below  contains results truncated an ronded down from rows 111 and 112, total baseline emissions.</t>
  </si>
  <si>
    <r>
      <t>EL</t>
    </r>
    <r>
      <rPr>
        <vertAlign val="subscript"/>
        <sz val="10"/>
        <rFont val="Arial"/>
        <family val="2"/>
      </rPr>
      <t xml:space="preserve"> BL,GR,y</t>
    </r>
    <r>
      <rPr>
        <sz val="10"/>
        <rFont val="Arial"/>
        <family val="2"/>
      </rPr>
      <t xml:space="preserve"> * EF</t>
    </r>
    <r>
      <rPr>
        <vertAlign val="subscript"/>
        <sz val="10"/>
        <rFont val="Arial"/>
        <family val="2"/>
      </rPr>
      <t xml:space="preserve"> EG,GR</t>
    </r>
  </si>
  <si>
    <t>Baseline emissions due to aerobic decay or uncontrolled burning of biomass residues.</t>
  </si>
  <si>
    <r>
      <t>∑ BR</t>
    </r>
    <r>
      <rPr>
        <vertAlign val="subscript"/>
        <sz val="10"/>
        <rFont val="Arial"/>
        <family val="2"/>
      </rPr>
      <t>B1/B3,i=3,4,5,y</t>
    </r>
  </si>
  <si>
    <t>TOTAL BASELINE EMISSIONS</t>
  </si>
  <si>
    <r>
      <t>(tCO</t>
    </r>
    <r>
      <rPr>
        <b/>
        <vertAlign val="subscript"/>
        <sz val="10"/>
        <rFont val="Arial"/>
        <family val="2"/>
      </rPr>
      <t>2</t>
    </r>
    <r>
      <rPr>
        <b/>
        <sz val="10"/>
        <rFont val="Arial"/>
        <family val="2"/>
      </rPr>
      <t>eq)</t>
    </r>
  </si>
  <si>
    <t>Project Emissions</t>
  </si>
  <si>
    <r>
      <t>Determination of PE</t>
    </r>
    <r>
      <rPr>
        <b/>
        <u/>
        <vertAlign val="subscript"/>
        <sz val="10"/>
        <rFont val="Arial"/>
        <family val="2"/>
      </rPr>
      <t>FF,y</t>
    </r>
    <r>
      <rPr>
        <b/>
        <u/>
        <sz val="10"/>
        <rFont val="Arial"/>
        <family val="2"/>
      </rPr>
      <t xml:space="preserve"> :     According to "Tool to calculate project or leakage CO</t>
    </r>
    <r>
      <rPr>
        <b/>
        <u/>
        <vertAlign val="subscript"/>
        <sz val="10"/>
        <rFont val="Arial"/>
        <family val="2"/>
      </rPr>
      <t>2</t>
    </r>
    <r>
      <rPr>
        <b/>
        <u/>
        <sz val="10"/>
        <rFont val="Arial"/>
        <family val="2"/>
      </rPr>
      <t xml:space="preserve"> emissions from fossil fuel combustion (version 02)"</t>
    </r>
  </si>
  <si>
    <t xml:space="preserve">Fossil fuel consumption in the power boiler:   </t>
  </si>
  <si>
    <t>(1)   Fossil fuel used in the power boiler due to operational reasons</t>
  </si>
  <si>
    <r>
      <t>FC</t>
    </r>
    <r>
      <rPr>
        <vertAlign val="subscript"/>
        <sz val="10"/>
        <rFont val="Arial"/>
        <family val="2"/>
      </rPr>
      <t xml:space="preserve"> Diesel, project plant, y</t>
    </r>
  </si>
  <si>
    <t>(2)   Fossil fuel net calorific value</t>
  </si>
  <si>
    <r>
      <t>NCV</t>
    </r>
    <r>
      <rPr>
        <vertAlign val="subscript"/>
        <sz val="10"/>
        <rFont val="Arial"/>
        <family val="2"/>
      </rPr>
      <t xml:space="preserve"> FF,diesel,y</t>
    </r>
  </si>
  <si>
    <r>
      <t>(3)   Fossil fuel CO</t>
    </r>
    <r>
      <rPr>
        <vertAlign val="subscript"/>
        <sz val="10"/>
        <rFont val="Arial"/>
        <family val="2"/>
      </rPr>
      <t>2</t>
    </r>
    <r>
      <rPr>
        <sz val="10"/>
        <rFont val="Arial"/>
        <family val="2"/>
      </rPr>
      <t xml:space="preserve"> emission factor</t>
    </r>
  </si>
  <si>
    <r>
      <t>EF</t>
    </r>
    <r>
      <rPr>
        <vertAlign val="subscript"/>
        <sz val="10"/>
        <rFont val="Arial"/>
        <family val="2"/>
      </rPr>
      <t>FF,y,diesel</t>
    </r>
  </si>
  <si>
    <t>(4)   Fossil fuel used in the power boiler due to operational reasons</t>
  </si>
  <si>
    <r>
      <t>FC</t>
    </r>
    <r>
      <rPr>
        <vertAlign val="subscript"/>
        <sz val="10"/>
        <rFont val="Arial"/>
        <family val="2"/>
      </rPr>
      <t xml:space="preserve"> LPG, project plant, y</t>
    </r>
  </si>
  <si>
    <t>(5)   Fossil fuel net calorific value</t>
  </si>
  <si>
    <r>
      <t>NCV</t>
    </r>
    <r>
      <rPr>
        <vertAlign val="subscript"/>
        <sz val="10"/>
        <rFont val="Arial"/>
        <family val="2"/>
      </rPr>
      <t xml:space="preserve"> FF,LPGl,y</t>
    </r>
  </si>
  <si>
    <t>(6)   Fossil fuel CO2 emission factor</t>
  </si>
  <si>
    <r>
      <t>EF</t>
    </r>
    <r>
      <rPr>
        <vertAlign val="subscript"/>
        <sz val="10"/>
        <rFont val="Arial"/>
        <family val="2"/>
      </rPr>
      <t>FF,y,LPG</t>
    </r>
  </si>
  <si>
    <t>(7)   Total emissions</t>
  </si>
  <si>
    <t>[(1) * (2) * (3)]+[(4)*(5)*(6)]</t>
  </si>
  <si>
    <t xml:space="preserve">Fossil fuel consumption due to on-site transportation of biomass residues: </t>
  </si>
  <si>
    <t>(1) Fossil fuel used for on-site biomass transportation due to the project activity</t>
  </si>
  <si>
    <r>
      <t>FC</t>
    </r>
    <r>
      <rPr>
        <vertAlign val="subscript"/>
        <sz val="10"/>
        <rFont val="Arial"/>
        <family val="2"/>
      </rPr>
      <t>Diesel, project site, y</t>
    </r>
  </si>
  <si>
    <t>(2) Fossil fuel net calorific value</t>
  </si>
  <si>
    <t>(3) Fossil fuel CO2 emission factor</t>
  </si>
  <si>
    <t>(4)Total emissions (*)</t>
  </si>
  <si>
    <t>[(1) * (2) * (3)]</t>
  </si>
  <si>
    <t>Fossil fuel consumption for processing biomass residues from forest operations:</t>
  </si>
  <si>
    <t>(1) Fossil fuel used for processing biomass from forestry operations</t>
  </si>
  <si>
    <r>
      <t>FC</t>
    </r>
    <r>
      <rPr>
        <vertAlign val="subscript"/>
        <sz val="10"/>
        <rFont val="Arial"/>
        <family val="2"/>
      </rPr>
      <t>Diesel, biomass processing, y</t>
    </r>
  </si>
  <si>
    <t>(2) Fossil fuel net calorific value</t>
  </si>
  <si>
    <t>(3) Fossil fuel CO2 emission factor</t>
  </si>
  <si>
    <t>(4) Total emissions</t>
  </si>
  <si>
    <t>Carbon dioxide emissions from on-site consumption of fossil fuels</t>
  </si>
  <si>
    <t xml:space="preserve">Fossil fuel consumption in the power boiler </t>
  </si>
  <si>
    <r>
      <t xml:space="preserve"> (FC</t>
    </r>
    <r>
      <rPr>
        <vertAlign val="subscript"/>
        <sz val="10"/>
        <rFont val="Arial"/>
        <family val="2"/>
      </rPr>
      <t xml:space="preserve"> Diesel, project plant, y</t>
    </r>
    <r>
      <rPr>
        <sz val="10"/>
        <rFont val="Arial"/>
        <family val="2"/>
      </rPr>
      <t>)</t>
    </r>
  </si>
  <si>
    <t xml:space="preserve">Fossil fuel consumption due to on-site transportation of biomass residues. </t>
  </si>
  <si>
    <r>
      <t>(FC</t>
    </r>
    <r>
      <rPr>
        <vertAlign val="subscript"/>
        <sz val="10"/>
        <rFont val="Arial"/>
        <family val="2"/>
      </rPr>
      <t xml:space="preserve">Diesel, project site, y </t>
    </r>
    <r>
      <rPr>
        <sz val="10"/>
        <rFont val="Arial"/>
        <family val="2"/>
      </rPr>
      <t>)</t>
    </r>
  </si>
  <si>
    <t xml:space="preserve">Fossil fuel consumption for  biomass from forestry operations processing. </t>
  </si>
  <si>
    <r>
      <t>(FC</t>
    </r>
    <r>
      <rPr>
        <vertAlign val="subscript"/>
        <sz val="10"/>
        <rFont val="Arial"/>
        <family val="2"/>
      </rPr>
      <t>Diesel, biomass processing, y</t>
    </r>
    <r>
      <rPr>
        <sz val="10"/>
        <rFont val="Arial"/>
        <family val="2"/>
      </rPr>
      <t>)</t>
    </r>
  </si>
  <si>
    <t>Total emissions</t>
  </si>
  <si>
    <r>
      <t>Determination of PE</t>
    </r>
    <r>
      <rPr>
        <b/>
        <u/>
        <vertAlign val="subscript"/>
        <sz val="10"/>
        <rFont val="Arial"/>
        <family val="2"/>
      </rPr>
      <t>GR1,y</t>
    </r>
  </si>
  <si>
    <t>1) Project electricity imports from the grid</t>
  </si>
  <si>
    <r>
      <t>EL</t>
    </r>
    <r>
      <rPr>
        <vertAlign val="subscript"/>
        <sz val="10"/>
        <rFont val="Arial"/>
        <family val="2"/>
      </rPr>
      <t xml:space="preserve"> PJ,imp,y</t>
    </r>
  </si>
  <si>
    <t>2) Grid emission factor</t>
  </si>
  <si>
    <r>
      <t>EF</t>
    </r>
    <r>
      <rPr>
        <vertAlign val="subscript"/>
        <sz val="10"/>
        <rFont val="Arial"/>
        <family val="2"/>
      </rPr>
      <t xml:space="preserve"> EG,GR,y</t>
    </r>
  </si>
  <si>
    <t>3)  Total emissions</t>
  </si>
  <si>
    <t>[(1) * (2)]</t>
  </si>
  <si>
    <t>Note:</t>
  </si>
  <si>
    <t>Equation 38 of ACM0006 (Version 12.1.1) is used for emissions calculation</t>
  </si>
  <si>
    <r>
      <t>Determination of PE</t>
    </r>
    <r>
      <rPr>
        <b/>
        <u/>
        <vertAlign val="subscript"/>
        <sz val="10"/>
        <rFont val="Arial"/>
        <family val="2"/>
      </rPr>
      <t>TR,y</t>
    </r>
    <r>
      <rPr>
        <b/>
        <u/>
        <sz val="10"/>
        <rFont val="Arial"/>
        <family val="2"/>
      </rPr>
      <t xml:space="preserve"> : Emissions due to transport of biomass residues to the project plant</t>
    </r>
  </si>
  <si>
    <t>1) Total mass of freight transported in freight transportation activity f.</t>
  </si>
  <si>
    <t>2) Weight average calculation. (c)</t>
  </si>
  <si>
    <r>
      <t>∑[D</t>
    </r>
    <r>
      <rPr>
        <vertAlign val="subscript"/>
        <sz val="10"/>
        <rFont val="Arial"/>
        <family val="2"/>
      </rPr>
      <t>f,m</t>
    </r>
    <r>
      <rPr>
        <sz val="10"/>
        <rFont val="Arial"/>
        <family val="2"/>
      </rPr>
      <t xml:space="preserve"> * FR</t>
    </r>
    <r>
      <rPr>
        <vertAlign val="subscript"/>
        <sz val="10"/>
        <rFont val="Arial"/>
        <family val="2"/>
      </rPr>
      <t>f,m</t>
    </r>
    <r>
      <rPr>
        <sz val="10"/>
        <rFont val="Arial"/>
        <family val="2"/>
      </rPr>
      <t>]</t>
    </r>
  </si>
  <si>
    <t>3) Default CO2 emission factor for freight transportation activity f.</t>
  </si>
  <si>
    <r>
      <t>EF</t>
    </r>
    <r>
      <rPr>
        <vertAlign val="subscript"/>
        <sz val="10"/>
        <rFont val="Arial"/>
        <family val="2"/>
      </rPr>
      <t>CO2,f</t>
    </r>
  </si>
  <si>
    <t xml:space="preserve">(4) Total emissions </t>
  </si>
  <si>
    <r>
      <t>[ (2) * (3) ] / 10</t>
    </r>
    <r>
      <rPr>
        <vertAlign val="superscript"/>
        <sz val="10"/>
        <rFont val="Arial"/>
        <family val="2"/>
      </rPr>
      <t>6</t>
    </r>
  </si>
  <si>
    <r>
      <t>Determination of PE</t>
    </r>
    <r>
      <rPr>
        <b/>
        <u/>
        <vertAlign val="subscript"/>
        <sz val="10"/>
        <rFont val="Arial"/>
        <family val="2"/>
      </rPr>
      <t xml:space="preserve">BR,y </t>
    </r>
  </si>
  <si>
    <t>Emissions from the combustion of biomass residues.</t>
  </si>
  <si>
    <t>(1) Biomass residues (sawdust and bark) from on-site industrial operations. Heat generation</t>
  </si>
  <si>
    <r>
      <t>BR</t>
    </r>
    <r>
      <rPr>
        <vertAlign val="subscript"/>
        <sz val="10"/>
        <rFont val="Arial"/>
        <family val="2"/>
      </rPr>
      <t>B4,1,y</t>
    </r>
    <r>
      <rPr>
        <sz val="10"/>
        <rFont val="Arial"/>
        <family val="2"/>
      </rPr>
      <t xml:space="preserve"> + BR</t>
    </r>
    <r>
      <rPr>
        <vertAlign val="subscript"/>
        <sz val="10"/>
        <rFont val="Arial"/>
        <family val="2"/>
      </rPr>
      <t>B4,2,Y</t>
    </r>
  </si>
  <si>
    <t>(2) Biomass residues (mix of sawdust and bark) from off-site industrial operations, Heat generation.</t>
  </si>
  <si>
    <r>
      <t>BR</t>
    </r>
    <r>
      <rPr>
        <vertAlign val="subscript"/>
        <sz val="10"/>
        <rFont val="Arial"/>
        <family val="2"/>
      </rPr>
      <t>B4,3,y</t>
    </r>
  </si>
  <si>
    <t>(3) Biomass residues (sawdust and bark) from on-site industrial operations. Electricity generation</t>
  </si>
  <si>
    <r>
      <t>BR</t>
    </r>
    <r>
      <rPr>
        <vertAlign val="subscript"/>
        <sz val="10"/>
        <rFont val="Arial"/>
        <family val="2"/>
      </rPr>
      <t>PJ,1,y</t>
    </r>
    <r>
      <rPr>
        <sz val="10"/>
        <rFont val="Arial"/>
        <family val="2"/>
      </rPr>
      <t xml:space="preserve"> + BR</t>
    </r>
    <r>
      <rPr>
        <vertAlign val="subscript"/>
        <sz val="10"/>
        <rFont val="Arial"/>
        <family val="2"/>
      </rPr>
      <t>PJ,2,Y</t>
    </r>
  </si>
  <si>
    <t>(4) Biomass residues (mix of sawdust and bark) from off-site industrial operations, Electricity generation.</t>
  </si>
  <si>
    <r>
      <t>BR</t>
    </r>
    <r>
      <rPr>
        <vertAlign val="subscript"/>
        <sz val="10"/>
        <rFont val="Arial"/>
        <family val="2"/>
      </rPr>
      <t>PJ,3,y</t>
    </r>
  </si>
  <si>
    <t xml:space="preserve">(5) Biomass residues (mix of sawdust and bark) from off-site forestry operations, electricity generation. </t>
  </si>
  <si>
    <r>
      <t>BR</t>
    </r>
    <r>
      <rPr>
        <vertAlign val="subscript"/>
        <sz val="10"/>
        <rFont val="Arial"/>
        <family val="2"/>
      </rPr>
      <t>PJ,4,y</t>
    </r>
  </si>
  <si>
    <t>(6) Net calorific value (NCV) of biomass residues  from on-site industrial ops.</t>
  </si>
  <si>
    <r>
      <t>NCV</t>
    </r>
    <r>
      <rPr>
        <vertAlign val="subscript"/>
        <sz val="10"/>
        <rFont val="Arial"/>
        <family val="2"/>
      </rPr>
      <t xml:space="preserve"> BR,1,y=BR,2,y</t>
    </r>
  </si>
  <si>
    <t>(7) Net calorific value (NCV) of biomass residues (mix of sawdust and bark) from off-site industrial ops.</t>
  </si>
  <si>
    <t>(8) Net calorific value (NCV) of biomass residues (mix of sawdust and bark) from off-site forestry ops.</t>
  </si>
  <si>
    <r>
      <t>(9) Adjusted CH</t>
    </r>
    <r>
      <rPr>
        <vertAlign val="subscript"/>
        <sz val="10"/>
        <rFont val="Arial"/>
        <family val="2"/>
      </rPr>
      <t>4</t>
    </r>
    <r>
      <rPr>
        <sz val="10"/>
        <rFont val="Arial"/>
        <family val="2"/>
      </rPr>
      <t xml:space="preserve"> emission factor for controlled burning, biomass residues (mix of sawdust and bark) from forestry ops.(a)</t>
    </r>
  </si>
  <si>
    <r>
      <t>EF</t>
    </r>
    <r>
      <rPr>
        <vertAlign val="subscript"/>
        <sz val="10"/>
        <rFont val="Arial"/>
        <family val="2"/>
      </rPr>
      <t xml:space="preserve"> CH4,BR</t>
    </r>
  </si>
  <si>
    <t>(10) Conservativeness factor.(b)</t>
  </si>
  <si>
    <r>
      <t>(11) CH</t>
    </r>
    <r>
      <rPr>
        <vertAlign val="subscript"/>
        <sz val="10"/>
        <rFont val="Arial"/>
        <family val="2"/>
      </rPr>
      <t>4</t>
    </r>
    <r>
      <rPr>
        <sz val="10"/>
        <rFont val="Arial"/>
        <family val="2"/>
      </rPr>
      <t xml:space="preserve"> Global Warming Potential.</t>
    </r>
  </si>
  <si>
    <t>GWP</t>
  </si>
  <si>
    <t>(a) The applied value is zero based on measurements performed in previous monitoring periods. This values is used instead of using the default methane emission factor provided in the ACM0006 (Version 12.1.1)</t>
  </si>
  <si>
    <t>(b)  The applied value is obtained from Table 5 of the ACM0006 (Version 12.1.1)</t>
  </si>
  <si>
    <t xml:space="preserve">(12) Emissions </t>
  </si>
  <si>
    <t>[(1)*(6)+(2)*(7)+(3)*(6)+(4)*(7)+ (5)*(8)]* [(9)*(10)*(11)]</t>
  </si>
  <si>
    <t>Total project emissions</t>
  </si>
  <si>
    <t>Note: Table below  contains results truncated an ronded up from rows 233 to 239, total project emissions.</t>
  </si>
  <si>
    <t>Emission sources</t>
  </si>
  <si>
    <t>Emissions due to fossil fuel consumption at the project site.</t>
  </si>
  <si>
    <r>
      <t>PE</t>
    </r>
    <r>
      <rPr>
        <vertAlign val="subscript"/>
        <sz val="10"/>
        <rFont val="Arial"/>
        <family val="2"/>
      </rPr>
      <t>FF,y</t>
    </r>
  </si>
  <si>
    <t>Emissions due to grid electricity imports to the project site.</t>
  </si>
  <si>
    <r>
      <t>PE</t>
    </r>
    <r>
      <rPr>
        <vertAlign val="subscript"/>
        <sz val="10"/>
        <rFont val="Arial"/>
        <family val="2"/>
      </rPr>
      <t>GR1,y</t>
    </r>
  </si>
  <si>
    <t>Emissions due to reduction in electricity generation at the project site as compared to the baseline.</t>
  </si>
  <si>
    <r>
      <t>PE</t>
    </r>
    <r>
      <rPr>
        <vertAlign val="subscript"/>
        <sz val="10"/>
        <rFont val="Arial"/>
        <family val="2"/>
      </rPr>
      <t>GR2,y</t>
    </r>
  </si>
  <si>
    <t>Emissions due to transport of the biomass residues to the project plant.</t>
  </si>
  <si>
    <r>
      <t>PE</t>
    </r>
    <r>
      <rPr>
        <vertAlign val="subscript"/>
        <sz val="10"/>
        <rFont val="Arial"/>
        <family val="2"/>
      </rPr>
      <t>TR,y</t>
    </r>
  </si>
  <si>
    <r>
      <t>PE</t>
    </r>
    <r>
      <rPr>
        <vertAlign val="subscript"/>
        <sz val="10"/>
        <rFont val="Arial"/>
        <family val="2"/>
      </rPr>
      <t xml:space="preserve">BR,y </t>
    </r>
  </si>
  <si>
    <t>Emissions from wastewater generated from the treatment of biomass residues.</t>
  </si>
  <si>
    <r>
      <t>PE</t>
    </r>
    <r>
      <rPr>
        <vertAlign val="subscript"/>
        <sz val="10"/>
        <rFont val="Arial"/>
        <family val="2"/>
      </rPr>
      <t>ww,y</t>
    </r>
  </si>
  <si>
    <t>Emissions from the production of biogas.</t>
  </si>
  <si>
    <r>
      <t>PE</t>
    </r>
    <r>
      <rPr>
        <vertAlign val="subscript"/>
        <sz val="10"/>
        <rFont val="Arial"/>
        <family val="2"/>
      </rPr>
      <t>BG2</t>
    </r>
  </si>
  <si>
    <t>GHG EMISSION SAVINGS FOR VIÑALES PROJECT ACTIVITY</t>
  </si>
  <si>
    <t>-</t>
  </si>
  <si>
    <t>OPERATIONAL PARAMETERS</t>
  </si>
  <si>
    <t>Number of days per year</t>
  </si>
  <si>
    <t>(Days/year)</t>
  </si>
  <si>
    <t xml:space="preserve">Numbers of stopagges days </t>
  </si>
  <si>
    <t>Number of operation hours</t>
  </si>
  <si>
    <t>(Hours/year)</t>
  </si>
  <si>
    <t>(1) Operating Margin</t>
  </si>
  <si>
    <t>OM</t>
  </si>
  <si>
    <r>
      <t>(tCO</t>
    </r>
    <r>
      <rPr>
        <vertAlign val="subscript"/>
        <sz val="10"/>
        <rFont val="Times New Roman"/>
        <family val="1"/>
      </rPr>
      <t>2</t>
    </r>
    <r>
      <rPr>
        <sz val="10"/>
        <rFont val="Times New Roman"/>
        <family val="1"/>
      </rPr>
      <t>/MWh)</t>
    </r>
  </si>
  <si>
    <t>(2) Build Margin</t>
  </si>
  <si>
    <t>BM</t>
  </si>
  <si>
    <t>(3) Combined Margin</t>
  </si>
  <si>
    <t>OM*0.5+BM*0.5</t>
  </si>
  <si>
    <t>Note: Calculated in the "SIC emissions" spreadsheet.</t>
  </si>
  <si>
    <t>Biomass Data</t>
  </si>
  <si>
    <t>Biomass from industrial operations</t>
  </si>
  <si>
    <t>Net calorific value (average) from on-site industrial operations.</t>
  </si>
  <si>
    <t>(GJ / BDt)</t>
  </si>
  <si>
    <t>Net calorific value (average) from off-site industrial operations.</t>
  </si>
  <si>
    <r>
      <t>CH</t>
    </r>
    <r>
      <rPr>
        <vertAlign val="subscript"/>
        <sz val="10"/>
        <rFont val="Times New Roman"/>
        <family val="1"/>
      </rPr>
      <t>4</t>
    </r>
    <r>
      <rPr>
        <sz val="10"/>
        <rFont val="Times New Roman"/>
        <family val="1"/>
      </rPr>
      <t xml:space="preserve"> Global Warming Potential</t>
    </r>
  </si>
  <si>
    <r>
      <t>(tCO</t>
    </r>
    <r>
      <rPr>
        <vertAlign val="subscript"/>
        <sz val="10"/>
        <rFont val="Times New Roman"/>
        <family val="1"/>
      </rPr>
      <t>2</t>
    </r>
    <r>
      <rPr>
        <sz val="10"/>
        <rFont val="Times New Roman"/>
        <family val="1"/>
      </rPr>
      <t>/tCH</t>
    </r>
    <r>
      <rPr>
        <vertAlign val="subscript"/>
        <sz val="10"/>
        <rFont val="Times New Roman"/>
        <family val="1"/>
      </rPr>
      <t>4</t>
    </r>
    <r>
      <rPr>
        <sz val="10"/>
        <rFont val="Times New Roman"/>
        <family val="1"/>
      </rPr>
      <t>)</t>
    </r>
  </si>
  <si>
    <t>Methane emission factor for controlled biomass burning</t>
  </si>
  <si>
    <r>
      <t>CH</t>
    </r>
    <r>
      <rPr>
        <vertAlign val="subscript"/>
        <sz val="10"/>
        <rFont val="Times New Roman"/>
        <family val="1"/>
      </rPr>
      <t>4</t>
    </r>
    <r>
      <rPr>
        <sz val="10"/>
        <rFont val="Times New Roman"/>
        <family val="1"/>
      </rPr>
      <t xml:space="preserve"> emission factor (1)</t>
    </r>
  </si>
  <si>
    <r>
      <t>EF</t>
    </r>
    <r>
      <rPr>
        <vertAlign val="subscript"/>
        <sz val="10"/>
        <rFont val="Times New Roman"/>
        <family val="1"/>
      </rPr>
      <t xml:space="preserve"> CH4,BR</t>
    </r>
  </si>
  <si>
    <r>
      <t>(Kg CH</t>
    </r>
    <r>
      <rPr>
        <vertAlign val="subscript"/>
        <sz val="10"/>
        <rFont val="Times New Roman"/>
        <family val="1"/>
      </rPr>
      <t>4</t>
    </r>
    <r>
      <rPr>
        <sz val="10"/>
        <rFont val="Times New Roman"/>
        <family val="1"/>
      </rPr>
      <t>/TJ)</t>
    </r>
  </si>
  <si>
    <t>Conservativeness factor (2)</t>
  </si>
  <si>
    <r>
      <t>Adjusted CH</t>
    </r>
    <r>
      <rPr>
        <vertAlign val="subscript"/>
        <sz val="10"/>
        <rFont val="Times New Roman"/>
        <family val="1"/>
      </rPr>
      <t xml:space="preserve">4 </t>
    </r>
    <r>
      <rPr>
        <sz val="10"/>
        <rFont val="Times New Roman"/>
        <family val="1"/>
      </rPr>
      <t>emission factor for controlled burning, biomass from forestry operations.</t>
    </r>
  </si>
  <si>
    <t>Controlled burning factor, biomass from industrial operations.</t>
  </si>
  <si>
    <r>
      <t>(tCO</t>
    </r>
    <r>
      <rPr>
        <b/>
        <vertAlign val="subscript"/>
        <sz val="10"/>
        <rFont val="Times New Roman"/>
        <family val="1"/>
      </rPr>
      <t>2</t>
    </r>
    <r>
      <rPr>
        <b/>
        <sz val="10"/>
        <rFont val="Times New Roman"/>
        <family val="1"/>
      </rPr>
      <t>eq/ 000 ton)</t>
    </r>
  </si>
  <si>
    <t>Methane emission factors for uncontrolled biomass burning</t>
  </si>
  <si>
    <t xml:space="preserve">Biomass residues categories (k): </t>
  </si>
  <si>
    <t>CH4 factor for biomass uncontrolled burning (3)</t>
  </si>
  <si>
    <t>Conservativeness factor (4)</t>
  </si>
  <si>
    <t>(%)</t>
  </si>
  <si>
    <t>Adjusted CH4 factor for uncontrolled burning, biomass from industrial operations.</t>
  </si>
  <si>
    <t>Uncontrolled burning factor, biomass from on-site industrial operations</t>
  </si>
  <si>
    <r>
      <t>EF</t>
    </r>
    <r>
      <rPr>
        <vertAlign val="subscript"/>
        <sz val="10"/>
        <rFont val="Times New Roman"/>
        <family val="1"/>
      </rPr>
      <t xml:space="preserve"> BR1,2,y </t>
    </r>
  </si>
  <si>
    <t>Uncontrolled burning factor, biomass from off-site industrial operations</t>
  </si>
  <si>
    <r>
      <t>EF</t>
    </r>
    <r>
      <rPr>
        <vertAlign val="subscript"/>
        <sz val="10"/>
        <rFont val="Times New Roman"/>
        <family val="1"/>
      </rPr>
      <t xml:space="preserve"> BR3,y </t>
    </r>
  </si>
  <si>
    <t>Biomass from forestry operations</t>
  </si>
  <si>
    <t>Net calorific value (average)</t>
  </si>
  <si>
    <t>Biomass residues category (k)</t>
  </si>
  <si>
    <r>
      <t>CH</t>
    </r>
    <r>
      <rPr>
        <vertAlign val="subscript"/>
        <sz val="10"/>
        <rFont val="Times New Roman"/>
        <family val="1"/>
      </rPr>
      <t>4</t>
    </r>
    <r>
      <rPr>
        <sz val="10"/>
        <rFont val="Times New Roman"/>
        <family val="1"/>
      </rPr>
      <t xml:space="preserve"> factor for biomass uncontrolled burning (3)</t>
    </r>
  </si>
  <si>
    <t>Conservativeness factor  (4)</t>
  </si>
  <si>
    <r>
      <t>Adjusted CH</t>
    </r>
    <r>
      <rPr>
        <vertAlign val="subscript"/>
        <sz val="10"/>
        <rFont val="Times New Roman"/>
        <family val="1"/>
      </rPr>
      <t>4</t>
    </r>
    <r>
      <rPr>
        <sz val="10"/>
        <rFont val="Times New Roman"/>
        <family val="1"/>
      </rPr>
      <t xml:space="preserve"> factor for uncontrolled burning, biomass from forestry operations.</t>
    </r>
  </si>
  <si>
    <t>Uncontrolled burning factor, biomass from forestry operations</t>
  </si>
  <si>
    <r>
      <t xml:space="preserve">EF </t>
    </r>
    <r>
      <rPr>
        <vertAlign val="subscript"/>
        <sz val="10"/>
        <rFont val="Times New Roman"/>
        <family val="1"/>
      </rPr>
      <t>BR,4,y</t>
    </r>
  </si>
  <si>
    <t>Notes:</t>
  </si>
  <si>
    <t xml:space="preserve">(1) Parameter monitored directly from the project plant. </t>
  </si>
  <si>
    <t>(2) Conservativeness factor obtained from Table 5, page 50/65  of the ACM0006 (Version 12.1.1).</t>
  </si>
  <si>
    <t>(3) Directly meassured at the start of the project activity.</t>
  </si>
  <si>
    <t>(4) Conservativeness factor obtained from Table 3, page 46/65 of the ACM0006 (Version 12.1.1).</t>
  </si>
  <si>
    <t>Fossil fuel data</t>
  </si>
  <si>
    <t>Net calorific value.</t>
  </si>
  <si>
    <r>
      <t>NCV</t>
    </r>
    <r>
      <rPr>
        <vertAlign val="subscript"/>
        <sz val="10"/>
        <color theme="1"/>
        <rFont val="Times New Roman"/>
        <family val="1"/>
      </rPr>
      <t xml:space="preserve"> Diesel,y</t>
    </r>
  </si>
  <si>
    <t>(TJ /000 ton)</t>
  </si>
  <si>
    <t>Carbon content</t>
  </si>
  <si>
    <t>(tC / TJ)</t>
  </si>
  <si>
    <t>Fraction of carbon oxidized</t>
  </si>
  <si>
    <r>
      <t>CO</t>
    </r>
    <r>
      <rPr>
        <vertAlign val="subscript"/>
        <sz val="10"/>
        <rFont val="Arial"/>
        <family val="2"/>
      </rPr>
      <t>2</t>
    </r>
    <r>
      <rPr>
        <sz val="10"/>
        <rFont val="Arial"/>
        <family val="2"/>
      </rPr>
      <t xml:space="preserve"> / C conversion factor</t>
    </r>
  </si>
  <si>
    <r>
      <t>(tCO</t>
    </r>
    <r>
      <rPr>
        <vertAlign val="subscript"/>
        <sz val="10"/>
        <rFont val="Times New Roman"/>
        <family val="1"/>
      </rPr>
      <t>2</t>
    </r>
    <r>
      <rPr>
        <sz val="10"/>
        <rFont val="Times New Roman"/>
        <family val="1"/>
      </rPr>
      <t xml:space="preserve"> / tC)</t>
    </r>
  </si>
  <si>
    <r>
      <t>Weighted average CO</t>
    </r>
    <r>
      <rPr>
        <vertAlign val="subscript"/>
        <sz val="10"/>
        <color theme="1"/>
        <rFont val="Times New Roman"/>
        <family val="1"/>
      </rPr>
      <t xml:space="preserve">2 </t>
    </r>
    <r>
      <rPr>
        <sz val="10"/>
        <color theme="1"/>
        <rFont val="Times New Roman"/>
        <family val="1"/>
      </rPr>
      <t xml:space="preserve">emission factor of Diesel </t>
    </r>
  </si>
  <si>
    <r>
      <t xml:space="preserve">EF </t>
    </r>
    <r>
      <rPr>
        <vertAlign val="subscript"/>
        <sz val="10"/>
        <color theme="1"/>
        <rFont val="Times New Roman"/>
        <family val="1"/>
      </rPr>
      <t>CO2,i,y</t>
    </r>
  </si>
  <si>
    <r>
      <t>(tCO</t>
    </r>
    <r>
      <rPr>
        <vertAlign val="subscript"/>
        <sz val="10"/>
        <color theme="1"/>
        <rFont val="Times New Roman"/>
        <family val="1"/>
      </rPr>
      <t>2</t>
    </r>
    <r>
      <rPr>
        <sz val="10"/>
        <color theme="1"/>
        <rFont val="Times New Roman"/>
        <family val="1"/>
      </rPr>
      <t>/GJ)</t>
    </r>
  </si>
  <si>
    <t>Fuel density.</t>
  </si>
  <si>
    <t>(Kg/lt)</t>
  </si>
  <si>
    <r>
      <t>CO</t>
    </r>
    <r>
      <rPr>
        <b/>
        <vertAlign val="subscript"/>
        <sz val="10"/>
        <color theme="1"/>
        <rFont val="Times New Roman"/>
        <family val="1"/>
      </rPr>
      <t>2</t>
    </r>
    <r>
      <rPr>
        <b/>
        <sz val="10"/>
        <color theme="1"/>
        <rFont val="Times New Roman"/>
        <family val="1"/>
      </rPr>
      <t xml:space="preserve"> Conversion factor</t>
    </r>
  </si>
  <si>
    <r>
      <t>(tCO</t>
    </r>
    <r>
      <rPr>
        <b/>
        <vertAlign val="subscript"/>
        <sz val="10"/>
        <color theme="1"/>
        <rFont val="Times New Roman"/>
        <family val="1"/>
      </rPr>
      <t>2</t>
    </r>
    <r>
      <rPr>
        <b/>
        <sz val="10"/>
        <color theme="1"/>
        <rFont val="Times New Roman"/>
        <family val="1"/>
      </rPr>
      <t>/ 000 ton)</t>
    </r>
  </si>
  <si>
    <t>Fuel Oil</t>
  </si>
  <si>
    <t>Net calorific value</t>
  </si>
  <si>
    <r>
      <t>NCV</t>
    </r>
    <r>
      <rPr>
        <vertAlign val="subscript"/>
        <sz val="10"/>
        <color theme="1"/>
        <rFont val="Times New Roman"/>
        <family val="1"/>
      </rPr>
      <t xml:space="preserve"> fuel oil,y</t>
    </r>
  </si>
  <si>
    <r>
      <t>Weighted average CO</t>
    </r>
    <r>
      <rPr>
        <vertAlign val="subscript"/>
        <sz val="10"/>
        <color theme="1"/>
        <rFont val="Times New Roman"/>
        <family val="1"/>
      </rPr>
      <t>2</t>
    </r>
    <r>
      <rPr>
        <sz val="10"/>
        <color theme="1"/>
        <rFont val="Times New Roman"/>
        <family val="1"/>
      </rPr>
      <t xml:space="preserve"> emission factor of Fuel Oil </t>
    </r>
  </si>
  <si>
    <t>Fuel density</t>
  </si>
  <si>
    <t>CO2 Conversion factor</t>
  </si>
  <si>
    <t>LPG</t>
  </si>
  <si>
    <r>
      <t>NCV</t>
    </r>
    <r>
      <rPr>
        <vertAlign val="subscript"/>
        <sz val="10"/>
        <color theme="1"/>
        <rFont val="Times New Roman"/>
        <family val="1"/>
      </rPr>
      <t xml:space="preserve"> LPG,y</t>
    </r>
  </si>
  <si>
    <t xml:space="preserve">Weighted average CO2 emission factor of LPG </t>
  </si>
  <si>
    <r>
      <t>EF</t>
    </r>
    <r>
      <rPr>
        <vertAlign val="subscript"/>
        <sz val="10"/>
        <color theme="1"/>
        <rFont val="Times New Roman"/>
        <family val="1"/>
      </rPr>
      <t xml:space="preserve"> CO2,i,y</t>
    </r>
  </si>
  <si>
    <t>Fuel density (liquid phase)</t>
  </si>
  <si>
    <r>
      <t>(tCO</t>
    </r>
    <r>
      <rPr>
        <b/>
        <vertAlign val="subscript"/>
        <sz val="10"/>
        <rFont val="Times New Roman"/>
        <family val="1"/>
      </rPr>
      <t>2</t>
    </r>
    <r>
      <rPr>
        <b/>
        <sz val="10"/>
        <rFont val="Times New Roman"/>
        <family val="1"/>
      </rPr>
      <t>/ 000 ton)</t>
    </r>
  </si>
  <si>
    <t>Net calorific values: Local values whenever available; if not, 2006 IPCC guidelines default values.</t>
  </si>
  <si>
    <t>Carbon content: 2006 IPCC guidelines default values.</t>
  </si>
  <si>
    <t>Fraction of carbon oxidized: 2006 IPCC guidelines default values.</t>
  </si>
  <si>
    <t>Reliable and documented national energy statistics (National Energy Comission, energy balance 2013) is used to get the fossil fuels density.</t>
  </si>
  <si>
    <t>1. BASELINE EMISSIONS</t>
  </si>
  <si>
    <t>1.1 Grid emission savings</t>
  </si>
  <si>
    <t>Baseline electricity generation</t>
  </si>
  <si>
    <r>
      <t xml:space="preserve">EL </t>
    </r>
    <r>
      <rPr>
        <vertAlign val="subscript"/>
        <sz val="10"/>
        <rFont val="Times New Roman"/>
        <family val="1"/>
      </rPr>
      <t>BL,y</t>
    </r>
  </si>
  <si>
    <t>(MWh/yr)</t>
  </si>
  <si>
    <t>Baseline electricity generation capacity</t>
  </si>
  <si>
    <r>
      <t xml:space="preserve">CAP </t>
    </r>
    <r>
      <rPr>
        <vertAlign val="subscript"/>
        <sz val="10"/>
        <rFont val="Times New Roman"/>
        <family val="1"/>
      </rPr>
      <t>EG, total,y</t>
    </r>
  </si>
  <si>
    <r>
      <t xml:space="preserve">EL </t>
    </r>
    <r>
      <rPr>
        <vertAlign val="subscript"/>
        <sz val="10"/>
        <rFont val="Times New Roman"/>
        <family val="1"/>
      </rPr>
      <t>BL,GR,y</t>
    </r>
  </si>
  <si>
    <t>(MWh)</t>
  </si>
  <si>
    <r>
      <t xml:space="preserve">EL </t>
    </r>
    <r>
      <rPr>
        <vertAlign val="subscript"/>
        <sz val="10"/>
        <rFont val="Times New Roman"/>
        <family val="1"/>
      </rPr>
      <t>BL,GR,y</t>
    </r>
    <r>
      <rPr>
        <sz val="10"/>
        <rFont val="Times New Roman"/>
        <family val="1"/>
      </rPr>
      <t xml:space="preserve"> * CM</t>
    </r>
  </si>
  <si>
    <t>(tCO2)</t>
  </si>
  <si>
    <t>1.2 Emissions from biomass uncontrolled burning</t>
  </si>
  <si>
    <t>Steam line 85 bar</t>
  </si>
  <si>
    <t>Specific enthalpy of the heat carrier at the heat generator.</t>
  </si>
  <si>
    <r>
      <t>h</t>
    </r>
    <r>
      <rPr>
        <vertAlign val="subscript"/>
        <sz val="10"/>
        <rFont val="Times New Roman"/>
        <family val="1"/>
      </rPr>
      <t>HIGH</t>
    </r>
  </si>
  <si>
    <t>(KJ/kg)</t>
  </si>
  <si>
    <t>Feedwater condition (90 Barg, 244°C)</t>
  </si>
  <si>
    <t>Heat to process</t>
  </si>
  <si>
    <t>(GJ)</t>
  </si>
  <si>
    <t>Steam line 6.5 bar</t>
  </si>
  <si>
    <t>Specific enthalpy of the heat carrier at the heat demand side.</t>
  </si>
  <si>
    <r>
      <t>h</t>
    </r>
    <r>
      <rPr>
        <vertAlign val="subscript"/>
        <sz val="10"/>
        <rFont val="Times New Roman"/>
        <family val="1"/>
      </rPr>
      <t>MED</t>
    </r>
  </si>
  <si>
    <t>MP Heat to process</t>
  </si>
  <si>
    <t xml:space="preserve">Steam line 5 bar </t>
  </si>
  <si>
    <r>
      <t>h</t>
    </r>
    <r>
      <rPr>
        <vertAlign val="subscript"/>
        <sz val="10"/>
        <rFont val="Times New Roman"/>
        <family val="1"/>
      </rPr>
      <t>LOW</t>
    </r>
  </si>
  <si>
    <t>LP Heat to process</t>
  </si>
  <si>
    <t>Total heat to process</t>
  </si>
  <si>
    <t>(GJ/yr.)</t>
  </si>
  <si>
    <t>Total Heat generated</t>
  </si>
  <si>
    <r>
      <t>BR</t>
    </r>
    <r>
      <rPr>
        <vertAlign val="subscript"/>
        <sz val="10"/>
        <rFont val="Times New Roman"/>
        <family val="1"/>
      </rPr>
      <t>PJ,1,y</t>
    </r>
    <r>
      <rPr>
        <sz val="10"/>
        <rFont val="Times New Roman"/>
        <family val="1"/>
      </rPr>
      <t>+BR</t>
    </r>
    <r>
      <rPr>
        <vertAlign val="subscript"/>
        <sz val="10"/>
        <rFont val="Times New Roman"/>
        <family val="1"/>
      </rPr>
      <t>PJ,2,y</t>
    </r>
  </si>
  <si>
    <t>Net calorific value (NCV) of biomass mix from industrial operations.</t>
  </si>
  <si>
    <r>
      <t xml:space="preserve">NCV </t>
    </r>
    <r>
      <rPr>
        <vertAlign val="subscript"/>
        <sz val="10"/>
        <rFont val="Times New Roman"/>
        <family val="1"/>
      </rPr>
      <t>BR,1,y+BR,2,y</t>
    </r>
  </si>
  <si>
    <t>Mix of biomass from external industrial operations, electricity generation.</t>
  </si>
  <si>
    <t>Net calorific value (NCV) of mix of biomass from external industrial operations.</t>
  </si>
  <si>
    <r>
      <t xml:space="preserve">NCV </t>
    </r>
    <r>
      <rPr>
        <vertAlign val="subscript"/>
        <sz val="10"/>
        <rFont val="Times New Roman"/>
        <family val="1"/>
      </rPr>
      <t>BR,3,y</t>
    </r>
  </si>
  <si>
    <t>Mix of biomass from forest operations, electricity generation.</t>
  </si>
  <si>
    <r>
      <t xml:space="preserve">NCV </t>
    </r>
    <r>
      <rPr>
        <vertAlign val="subscript"/>
        <sz val="10"/>
        <rFont val="Times New Roman"/>
        <family val="1"/>
      </rPr>
      <t>BR,4,y</t>
    </r>
  </si>
  <si>
    <r>
      <t>η</t>
    </r>
    <r>
      <rPr>
        <vertAlign val="subscript"/>
        <sz val="10"/>
        <rFont val="Times New Roman"/>
        <family val="1"/>
      </rPr>
      <t xml:space="preserve"> PJ,HG,BR,h</t>
    </r>
  </si>
  <si>
    <t>Total biomass consumed by project activity</t>
  </si>
  <si>
    <t>(BDt)</t>
  </si>
  <si>
    <t>Total heat generated</t>
  </si>
  <si>
    <t>Baseline biomass-based heat generation of the power boiler in year y (without fossil fuel)</t>
  </si>
  <si>
    <r>
      <t>HG</t>
    </r>
    <r>
      <rPr>
        <vertAlign val="subscript"/>
        <sz val="10"/>
        <rFont val="Times New Roman"/>
        <family val="1"/>
      </rPr>
      <t xml:space="preserve">BR,y </t>
    </r>
  </si>
  <si>
    <t>Biomass for steam generation</t>
  </si>
  <si>
    <r>
      <t>BR</t>
    </r>
    <r>
      <rPr>
        <vertAlign val="subscript"/>
        <sz val="10"/>
        <rFont val="Times New Roman"/>
        <family val="1"/>
      </rPr>
      <t xml:space="preserve"> B4,3,y</t>
    </r>
  </si>
  <si>
    <t>Biomass attributable to project activity (for electricity generation)</t>
  </si>
  <si>
    <t>Biomass mix from internal industrial operations, electricity generation.</t>
  </si>
  <si>
    <t>Mix of biomass from external industrial operations, electricity generation</t>
  </si>
  <si>
    <r>
      <t>Total emissions BE</t>
    </r>
    <r>
      <rPr>
        <b/>
        <vertAlign val="subscript"/>
        <sz val="10"/>
        <rFont val="Times New Roman"/>
        <family val="1"/>
      </rPr>
      <t xml:space="preserve"> BR,B1/B3,y</t>
    </r>
  </si>
  <si>
    <r>
      <t>GWP</t>
    </r>
    <r>
      <rPr>
        <vertAlign val="subscript"/>
        <sz val="10"/>
        <rFont val="Times New Roman"/>
        <family val="1"/>
      </rPr>
      <t>CH4</t>
    </r>
    <r>
      <rPr>
        <sz val="10"/>
        <rFont val="Times New Roman"/>
        <family val="1"/>
      </rPr>
      <t xml:space="preserve"> * </t>
    </r>
    <r>
      <rPr>
        <sz val="10"/>
        <rFont val="Symbol"/>
        <family val="1"/>
        <charset val="2"/>
      </rPr>
      <t>S</t>
    </r>
    <r>
      <rPr>
        <sz val="10"/>
        <rFont val="Times New Roman"/>
        <family val="1"/>
      </rPr>
      <t xml:space="preserve"> BR</t>
    </r>
    <r>
      <rPr>
        <vertAlign val="subscript"/>
        <sz val="10"/>
        <rFont val="Times New Roman"/>
        <family val="1"/>
      </rPr>
      <t>B1/B3,n,y</t>
    </r>
    <r>
      <rPr>
        <sz val="10"/>
        <rFont val="Times New Roman"/>
        <family val="1"/>
      </rPr>
      <t xml:space="preserve"> * NCV</t>
    </r>
    <r>
      <rPr>
        <vertAlign val="subscript"/>
        <sz val="10"/>
        <rFont val="Times New Roman"/>
        <family val="1"/>
      </rPr>
      <t>BR,n,y</t>
    </r>
    <r>
      <rPr>
        <sz val="10"/>
        <rFont val="Times New Roman"/>
        <family val="1"/>
      </rPr>
      <t xml:space="preserve"> * EF</t>
    </r>
    <r>
      <rPr>
        <vertAlign val="subscript"/>
        <sz val="10"/>
        <rFont val="Times New Roman"/>
        <family val="1"/>
      </rPr>
      <t>BR,n,y</t>
    </r>
  </si>
  <si>
    <r>
      <t>(tCO</t>
    </r>
    <r>
      <rPr>
        <b/>
        <vertAlign val="subscript"/>
        <sz val="10"/>
        <rFont val="Times New Roman"/>
        <family val="1"/>
      </rPr>
      <t>2</t>
    </r>
    <r>
      <rPr>
        <b/>
        <sz val="10"/>
        <rFont val="Times New Roman"/>
        <family val="1"/>
      </rPr>
      <t>)</t>
    </r>
  </si>
  <si>
    <t>1.3. BASELINE EMISSIONS</t>
  </si>
  <si>
    <t>Note: Table below  contains results truncated an ronded down from rows 109 and 144, total baseline emissions.</t>
  </si>
  <si>
    <t>Total</t>
  </si>
  <si>
    <r>
      <t>EL</t>
    </r>
    <r>
      <rPr>
        <vertAlign val="subscript"/>
        <sz val="10"/>
        <rFont val="Times New Roman"/>
        <family val="1"/>
      </rPr>
      <t xml:space="preserve"> BL,GR,y</t>
    </r>
    <r>
      <rPr>
        <sz val="10"/>
        <rFont val="Times New Roman"/>
        <family val="1"/>
      </rPr>
      <t xml:space="preserve"> * EF</t>
    </r>
    <r>
      <rPr>
        <vertAlign val="subscript"/>
        <sz val="10"/>
        <rFont val="Times New Roman"/>
        <family val="1"/>
      </rPr>
      <t xml:space="preserve"> EG,GR</t>
    </r>
  </si>
  <si>
    <r>
      <t>(tCO</t>
    </r>
    <r>
      <rPr>
        <vertAlign val="subscript"/>
        <sz val="10"/>
        <rFont val="Times New Roman"/>
        <family val="1"/>
      </rPr>
      <t>2</t>
    </r>
    <r>
      <rPr>
        <sz val="10"/>
        <rFont val="Times New Roman"/>
        <family val="1"/>
      </rPr>
      <t>)</t>
    </r>
  </si>
  <si>
    <r>
      <t>BE</t>
    </r>
    <r>
      <rPr>
        <vertAlign val="subscript"/>
        <sz val="10"/>
        <rFont val="Times New Roman"/>
        <family val="1"/>
      </rPr>
      <t xml:space="preserve"> BR,y</t>
    </r>
  </si>
  <si>
    <r>
      <t>(tCO</t>
    </r>
    <r>
      <rPr>
        <b/>
        <vertAlign val="subscript"/>
        <sz val="10"/>
        <rFont val="Times New Roman"/>
        <family val="1"/>
      </rPr>
      <t>2</t>
    </r>
    <r>
      <rPr>
        <b/>
        <sz val="10"/>
        <rFont val="Times New Roman"/>
        <family val="1"/>
      </rPr>
      <t>eq)</t>
    </r>
  </si>
  <si>
    <t>2. PROJECT EMISSIONS</t>
  </si>
  <si>
    <r>
      <t>2.1 Determination of   PE</t>
    </r>
    <r>
      <rPr>
        <b/>
        <u/>
        <vertAlign val="subscript"/>
        <sz val="10"/>
        <rFont val="Times New Roman"/>
        <family val="1"/>
      </rPr>
      <t xml:space="preserve"> FF,y</t>
    </r>
  </si>
  <si>
    <t>2.1.1  Emissions from fossil fuel consumption due to technical constraints and heat generation</t>
  </si>
  <si>
    <t>(ton/y)</t>
  </si>
  <si>
    <t>Fossil fuel used to increase heat and/or power generation</t>
  </si>
  <si>
    <t>Other (LPG) (liquid phase)</t>
  </si>
  <si>
    <t>2.1.2 Emissions from  fossil fuel consumption due to biomass transportation in the Plant site</t>
  </si>
  <si>
    <t>Total biomass consumption</t>
  </si>
  <si>
    <t>Total Diesel consumption of project plant</t>
  </si>
  <si>
    <t>(l/y)</t>
  </si>
  <si>
    <t>Total diesel consumption of project plant</t>
  </si>
  <si>
    <t>(ton/yr)</t>
  </si>
  <si>
    <t>2.1.3 Emissions from fossil fuel consumption due to processing biomass residues from forestry operations</t>
  </si>
  <si>
    <t>Total biomass from forestry operations consumption</t>
  </si>
  <si>
    <t>Fuel for processing consumption index</t>
  </si>
  <si>
    <t>(lt/BDt)</t>
  </si>
  <si>
    <t>Total fuel used for processing biomass from forestry operations.</t>
  </si>
  <si>
    <t>FCDiesel, biomass processing, y</t>
  </si>
  <si>
    <t>Emissions from fossil fuel consumption at the Project Site</t>
  </si>
  <si>
    <t>Emissions from fossil fuel consumption related to project activity due to operational reasons.</t>
  </si>
  <si>
    <t>Emissions from  fossil fuel consumption due to biomass transportation in the Plant site.</t>
  </si>
  <si>
    <t>Emissions from fossil fuel consumption in biomass from forestry operations processing.</t>
  </si>
  <si>
    <t>Total emissions (*)</t>
  </si>
  <si>
    <r>
      <t>PE</t>
    </r>
    <r>
      <rPr>
        <vertAlign val="subscript"/>
        <sz val="10"/>
        <rFont val="Times New Roman"/>
        <family val="1"/>
      </rPr>
      <t xml:space="preserve"> FF,y</t>
    </r>
  </si>
  <si>
    <t>According to “Tool to calculate project or leakage CO2 emissions from fossil fuel combustion (version 02)”</t>
  </si>
  <si>
    <t>2.2 Determination of   PE GR1,y</t>
  </si>
  <si>
    <t>Emissions from electricity imported from the grid</t>
  </si>
  <si>
    <r>
      <t>PE</t>
    </r>
    <r>
      <rPr>
        <vertAlign val="subscript"/>
        <sz val="10"/>
        <rFont val="Times New Roman"/>
        <family val="1"/>
      </rPr>
      <t>GR1,y</t>
    </r>
  </si>
  <si>
    <t>2.3 Determination of PE GR2,y</t>
  </si>
  <si>
    <t>Emissions from electricity generated on-site</t>
  </si>
  <si>
    <r>
      <t>PE</t>
    </r>
    <r>
      <rPr>
        <vertAlign val="subscript"/>
        <sz val="10"/>
        <rFont val="Times New Roman"/>
        <family val="1"/>
      </rPr>
      <t>GR2,y</t>
    </r>
  </si>
  <si>
    <r>
      <t>2.4 Determination of PE</t>
    </r>
    <r>
      <rPr>
        <b/>
        <u/>
        <vertAlign val="subscript"/>
        <sz val="10"/>
        <rFont val="Times New Roman"/>
        <family val="1"/>
      </rPr>
      <t xml:space="preserve"> TR,y</t>
    </r>
  </si>
  <si>
    <t>Emissions from biomass transportation to the Power Plant</t>
  </si>
  <si>
    <t>Total mass of freight transported in freight transportation activity f</t>
  </si>
  <si>
    <r>
      <t>FR</t>
    </r>
    <r>
      <rPr>
        <vertAlign val="subscript"/>
        <sz val="10"/>
        <rFont val="Times New Roman"/>
        <family val="1"/>
      </rPr>
      <t>f,m</t>
    </r>
  </si>
  <si>
    <t>(wet tons/yr)</t>
  </si>
  <si>
    <t>Return trip road distance between the origin and destination of freight transportation activity f.( b )</t>
  </si>
  <si>
    <r>
      <t>D</t>
    </r>
    <r>
      <rPr>
        <vertAlign val="subscript"/>
        <sz val="10"/>
        <rFont val="Times New Roman"/>
        <family val="1"/>
      </rPr>
      <t>f,m</t>
    </r>
  </si>
  <si>
    <t>Weight average calculation (c)</t>
  </si>
  <si>
    <r>
      <t>∑ D</t>
    </r>
    <r>
      <rPr>
        <vertAlign val="subscript"/>
        <sz val="10"/>
        <rFont val="Times New Roman"/>
        <family val="1"/>
      </rPr>
      <t>f,m</t>
    </r>
    <r>
      <rPr>
        <sz val="10"/>
        <rFont val="Times New Roman"/>
        <family val="1"/>
      </rPr>
      <t xml:space="preserve"> * FR</t>
    </r>
    <r>
      <rPr>
        <vertAlign val="subscript"/>
        <sz val="10"/>
        <rFont val="Times New Roman"/>
        <family val="1"/>
      </rPr>
      <t>f,m</t>
    </r>
  </si>
  <si>
    <t>t-km</t>
  </si>
  <si>
    <t>Default CO2 emission factor for freight transportation activity f.</t>
  </si>
  <si>
    <r>
      <t>EF</t>
    </r>
    <r>
      <rPr>
        <vertAlign val="subscript"/>
        <sz val="10"/>
        <rFont val="Times New Roman"/>
        <family val="1"/>
      </rPr>
      <t xml:space="preserve"> CO2,f</t>
    </r>
  </si>
  <si>
    <t>(g CO2/t-km)</t>
  </si>
  <si>
    <r>
      <t>PE</t>
    </r>
    <r>
      <rPr>
        <vertAlign val="subscript"/>
        <sz val="10"/>
        <rFont val="Times New Roman"/>
        <family val="1"/>
      </rPr>
      <t xml:space="preserve"> TR,y</t>
    </r>
  </si>
  <si>
    <r>
      <t>2.5 Determination of PE</t>
    </r>
    <r>
      <rPr>
        <u/>
        <vertAlign val="subscript"/>
        <sz val="10"/>
        <rFont val="Times New Roman"/>
        <family val="1"/>
      </rPr>
      <t xml:space="preserve"> BR,y</t>
    </r>
  </si>
  <si>
    <t>Emissions from the combustion of biomass residues in boiler</t>
  </si>
  <si>
    <r>
      <t>BR</t>
    </r>
    <r>
      <rPr>
        <vertAlign val="subscript"/>
        <sz val="10"/>
        <rFont val="Times New Roman"/>
        <family val="1"/>
      </rPr>
      <t>PJ,3,Y</t>
    </r>
  </si>
  <si>
    <r>
      <t>BR</t>
    </r>
    <r>
      <rPr>
        <vertAlign val="subscript"/>
        <sz val="10"/>
        <rFont val="Times New Roman"/>
        <family val="1"/>
      </rPr>
      <t xml:space="preserve"> PJ,4,y</t>
    </r>
  </si>
  <si>
    <t xml:space="preserve">Total emissions </t>
  </si>
  <si>
    <r>
      <t>PE</t>
    </r>
    <r>
      <rPr>
        <vertAlign val="subscript"/>
        <sz val="10"/>
        <rFont val="Times New Roman"/>
        <family val="1"/>
      </rPr>
      <t>BR,y</t>
    </r>
    <r>
      <rPr>
        <sz val="10"/>
        <rFont val="Times New Roman"/>
        <family val="1"/>
      </rPr>
      <t xml:space="preserve">  =  GWP</t>
    </r>
    <r>
      <rPr>
        <vertAlign val="subscript"/>
        <sz val="10"/>
        <rFont val="Times New Roman"/>
        <family val="1"/>
      </rPr>
      <t>CH4</t>
    </r>
    <r>
      <rPr>
        <sz val="10"/>
        <rFont val="Times New Roman"/>
        <family val="1"/>
      </rPr>
      <t>* EF</t>
    </r>
    <r>
      <rPr>
        <vertAlign val="subscript"/>
        <sz val="10"/>
        <rFont val="Times New Roman"/>
        <family val="1"/>
      </rPr>
      <t>CH4,BR</t>
    </r>
    <r>
      <rPr>
        <sz val="10"/>
        <rFont val="Times New Roman"/>
        <family val="1"/>
      </rPr>
      <t>* ∑ BR</t>
    </r>
    <r>
      <rPr>
        <vertAlign val="subscript"/>
        <sz val="10"/>
        <rFont val="Times New Roman"/>
        <family val="1"/>
      </rPr>
      <t>PJ,n,y</t>
    </r>
    <r>
      <rPr>
        <sz val="10"/>
        <rFont val="Times New Roman"/>
        <family val="1"/>
      </rPr>
      <t>* NCV</t>
    </r>
    <r>
      <rPr>
        <vertAlign val="subscript"/>
        <sz val="10"/>
        <rFont val="Times New Roman"/>
        <family val="1"/>
      </rPr>
      <t>BR,n,y</t>
    </r>
  </si>
  <si>
    <r>
      <t>(tCO</t>
    </r>
    <r>
      <rPr>
        <b/>
        <vertAlign val="subscript"/>
        <sz val="10"/>
        <rFont val="Times New Roman"/>
        <family val="1"/>
      </rPr>
      <t>2</t>
    </r>
    <r>
      <rPr>
        <b/>
        <sz val="10"/>
        <rFont val="Times New Roman"/>
        <family val="1"/>
      </rPr>
      <t>eq/yr)</t>
    </r>
  </si>
  <si>
    <t>2.6 Determination of PE ww,y</t>
  </si>
  <si>
    <t xml:space="preserve">Emissions from biogas </t>
  </si>
  <si>
    <t>PEww,y</t>
  </si>
  <si>
    <t>PROJECT EMISSIONS</t>
  </si>
  <si>
    <t>Note: Table below  contains results truncated an ronded up from rows 258 to 263, total project emissions.</t>
  </si>
  <si>
    <t>Emissions from fossil fuel consumption at the project site.</t>
  </si>
  <si>
    <r>
      <t>(tCO</t>
    </r>
    <r>
      <rPr>
        <vertAlign val="subscript"/>
        <sz val="10"/>
        <rFont val="Times New Roman"/>
        <family val="1"/>
      </rPr>
      <t>2</t>
    </r>
    <r>
      <rPr>
        <sz val="10"/>
        <rFont val="Times New Roman"/>
        <family val="1"/>
      </rPr>
      <t>/yr)</t>
    </r>
  </si>
  <si>
    <t>Emissions from electricity imported from the grid.</t>
  </si>
  <si>
    <r>
      <t>PE</t>
    </r>
    <r>
      <rPr>
        <vertAlign val="subscript"/>
        <sz val="10"/>
        <rFont val="Times New Roman"/>
        <family val="1"/>
      </rPr>
      <t xml:space="preserve"> GR1,y</t>
    </r>
  </si>
  <si>
    <t>Emissions from electricity generated on-site.</t>
  </si>
  <si>
    <r>
      <t>PE</t>
    </r>
    <r>
      <rPr>
        <vertAlign val="subscript"/>
        <sz val="10"/>
        <rFont val="Times New Roman"/>
        <family val="1"/>
      </rPr>
      <t xml:space="preserve"> GR2,y</t>
    </r>
  </si>
  <si>
    <t>Emissions from biomass transportation to the Power Plant.</t>
  </si>
  <si>
    <t>Emissions from the combustion of biomass residues in boiler.</t>
  </si>
  <si>
    <r>
      <t>PE</t>
    </r>
    <r>
      <rPr>
        <vertAlign val="subscript"/>
        <sz val="10"/>
        <rFont val="Times New Roman"/>
        <family val="1"/>
      </rPr>
      <t xml:space="preserve"> BR,y</t>
    </r>
  </si>
  <si>
    <t>Emissions from biogas.</t>
  </si>
  <si>
    <r>
      <t>PE</t>
    </r>
    <r>
      <rPr>
        <vertAlign val="subscript"/>
        <sz val="10"/>
        <rFont val="Times New Roman"/>
        <family val="1"/>
      </rPr>
      <t xml:space="preserve"> ww,y</t>
    </r>
  </si>
  <si>
    <t>TOTAL PROJECT EMISSIONS</t>
  </si>
  <si>
    <t>(tCO2eq/yr)</t>
  </si>
  <si>
    <t>Year: 2020</t>
  </si>
  <si>
    <t>1. Electric power generation data</t>
  </si>
  <si>
    <t>Ene</t>
  </si>
  <si>
    <t>Feb</t>
  </si>
  <si>
    <t>Mar</t>
  </si>
  <si>
    <t>Abr</t>
  </si>
  <si>
    <t>May</t>
  </si>
  <si>
    <t>Jun</t>
  </si>
  <si>
    <t>Jul</t>
  </si>
  <si>
    <t>Aug</t>
  </si>
  <si>
    <t>Sep</t>
  </si>
  <si>
    <t>Oct</t>
  </si>
  <si>
    <t>Nov</t>
  </si>
  <si>
    <t>Dec</t>
  </si>
  <si>
    <t>Gross quantity of electricity generated</t>
  </si>
  <si>
    <r>
      <t xml:space="preserve">EL </t>
    </r>
    <r>
      <rPr>
        <vertAlign val="subscript"/>
        <sz val="11"/>
        <rFont val="Times New Roman"/>
        <family val="1"/>
      </rPr>
      <t xml:space="preserve">PJ, gross,y </t>
    </r>
  </si>
  <si>
    <t>(MWh/month)</t>
  </si>
  <si>
    <t>Project electricity imports from the grid</t>
  </si>
  <si>
    <r>
      <t>EL</t>
    </r>
    <r>
      <rPr>
        <sz val="11"/>
        <rFont val="Times New Roman"/>
        <family val="1"/>
      </rPr>
      <t xml:space="preserve"> </t>
    </r>
    <r>
      <rPr>
        <vertAlign val="subscript"/>
        <sz val="11"/>
        <rFont val="Times New Roman"/>
        <family val="1"/>
      </rPr>
      <t>PJ,imp,y</t>
    </r>
  </si>
  <si>
    <t>Total auxiliary electricity consumption for the operation of the power plant</t>
  </si>
  <si>
    <r>
      <t>EL</t>
    </r>
    <r>
      <rPr>
        <vertAlign val="subscript"/>
        <sz val="10"/>
        <rFont val="Times New Roman"/>
        <family val="1"/>
      </rPr>
      <t xml:space="preserve"> </t>
    </r>
    <r>
      <rPr>
        <vertAlign val="subscript"/>
        <sz val="11"/>
        <rFont val="Times New Roman"/>
        <family val="1"/>
      </rPr>
      <t>PJ,aux,y</t>
    </r>
  </si>
  <si>
    <t>Measured auxiliary electricity consumption for the operation of the power plant</t>
  </si>
  <si>
    <t>Auxiliary consumption due to pneumatic transportation system</t>
  </si>
  <si>
    <t>Numbers of stopagges</t>
  </si>
  <si>
    <t>Hr</t>
  </si>
  <si>
    <t>Numbers of stopagges days</t>
  </si>
  <si>
    <t>days</t>
  </si>
  <si>
    <t>2. Heat generation</t>
  </si>
  <si>
    <t>(P Barg,T°C)</t>
  </si>
  <si>
    <t>(85 bar,485ºC)</t>
  </si>
  <si>
    <t>(ton/month)</t>
  </si>
  <si>
    <t>(6,5 bar,200ºC)</t>
  </si>
  <si>
    <t>Steam line 5 bar</t>
  </si>
  <si>
    <t>(5,0 bar,157º C)</t>
  </si>
  <si>
    <t>Feedwater condition</t>
  </si>
  <si>
    <t>(90 bar, 244°C)</t>
  </si>
  <si>
    <t>3. Biomass combusted in power boiler</t>
  </si>
  <si>
    <t>Wet biomass mix from internal industrial operations</t>
  </si>
  <si>
    <r>
      <t>[BR</t>
    </r>
    <r>
      <rPr>
        <vertAlign val="subscript"/>
        <sz val="10"/>
        <rFont val="Times New Roman"/>
        <family val="1"/>
      </rPr>
      <t xml:space="preserve">PJ,1,y </t>
    </r>
    <r>
      <rPr>
        <sz val="10"/>
        <rFont val="Times New Roman"/>
        <family val="1"/>
      </rPr>
      <t>+ BR</t>
    </r>
    <r>
      <rPr>
        <vertAlign val="subscript"/>
        <sz val="10"/>
        <rFont val="Times New Roman"/>
        <family val="1"/>
      </rPr>
      <t>PJ,2,y]</t>
    </r>
  </si>
  <si>
    <t>Wet biomass mix from internal industrial operations (Sunder dust)</t>
  </si>
  <si>
    <t>Wet biomass mix from internal industrial operations (Weighbridge)</t>
  </si>
  <si>
    <t>Wet mix of sawdust and bark from external industrial operations for electricity generation</t>
  </si>
  <si>
    <t>Wet mix biomass from forestry operations for electricity generation</t>
  </si>
  <si>
    <t>3.1. Moisture content of biomass residues category</t>
  </si>
  <si>
    <t>Average moisture content of biomass mix from internal industrial operations</t>
  </si>
  <si>
    <t>Average moisture content of biomass from external industrial operations for electricity generation</t>
  </si>
  <si>
    <t>Average moisture content of biomass from forestry operations for electricity generation</t>
  </si>
  <si>
    <t>3.2 Net calorific value NCV according to biomass residues category</t>
  </si>
  <si>
    <t>First semester measure</t>
  </si>
  <si>
    <t>Second semester measure</t>
  </si>
  <si>
    <t>Net calorific value (NCV) of dry biomass mix from internal industrial operations</t>
  </si>
  <si>
    <r>
      <t xml:space="preserve">(NCV </t>
    </r>
    <r>
      <rPr>
        <vertAlign val="subscript"/>
        <sz val="10"/>
        <rFont val="Times New Roman"/>
        <family val="1"/>
      </rPr>
      <t>BR,1,y</t>
    </r>
    <r>
      <rPr>
        <sz val="10"/>
        <rFont val="Times New Roman"/>
        <family val="1"/>
      </rPr>
      <t>)=(NCV BR,2,y)</t>
    </r>
  </si>
  <si>
    <t>(Kcal/kg)</t>
  </si>
  <si>
    <t>Net calorific value (NCV) of dry biomass mix from external industrial operations</t>
  </si>
  <si>
    <r>
      <t xml:space="preserve">(NCV </t>
    </r>
    <r>
      <rPr>
        <vertAlign val="subscript"/>
        <sz val="10"/>
        <rFont val="Times New Roman"/>
        <family val="1"/>
      </rPr>
      <t>BR,3,y</t>
    </r>
    <r>
      <rPr>
        <sz val="10"/>
        <rFont val="Times New Roman"/>
        <family val="1"/>
      </rPr>
      <t>)</t>
    </r>
  </si>
  <si>
    <t>Net calorific value (NCV) of dry biomass mix from forestry operations</t>
  </si>
  <si>
    <r>
      <t>(NCV</t>
    </r>
    <r>
      <rPr>
        <vertAlign val="subscript"/>
        <sz val="10"/>
        <rFont val="Times New Roman"/>
        <family val="1"/>
      </rPr>
      <t xml:space="preserve"> BR,4,y</t>
    </r>
    <r>
      <rPr>
        <sz val="10"/>
        <rFont val="Times New Roman"/>
        <family val="1"/>
      </rPr>
      <t>)</t>
    </r>
  </si>
  <si>
    <t>4. Fossil fuel type i consumption for biomass transportation to power plant.</t>
  </si>
  <si>
    <t>Total mass of freight transported in freight transportation activity (external+Forestry)</t>
  </si>
  <si>
    <t>wet tons</t>
  </si>
  <si>
    <t>Weight average calculation.(c)</t>
  </si>
  <si>
    <t>∑ [FRf,m * Df,m ]</t>
  </si>
  <si>
    <t>(BDt * km)</t>
  </si>
  <si>
    <r>
      <t>Default CO</t>
    </r>
    <r>
      <rPr>
        <vertAlign val="subscript"/>
        <sz val="10"/>
        <rFont val="Times New Roman"/>
        <family val="1"/>
      </rPr>
      <t>2</t>
    </r>
    <r>
      <rPr>
        <sz val="10"/>
        <rFont val="Times New Roman"/>
        <family val="1"/>
      </rPr>
      <t xml:space="preserve"> emission factor for freight transportation activity </t>
    </r>
    <r>
      <rPr>
        <i/>
        <sz val="10"/>
        <rFont val="Times New Roman"/>
        <family val="1"/>
      </rPr>
      <t>f</t>
    </r>
  </si>
  <si>
    <r>
      <t xml:space="preserve">EF </t>
    </r>
    <r>
      <rPr>
        <vertAlign val="subscript"/>
        <sz val="10"/>
        <rFont val="Times New Roman"/>
        <family val="1"/>
      </rPr>
      <t>CO2,f</t>
    </r>
  </si>
  <si>
    <r>
      <t>(g CO</t>
    </r>
    <r>
      <rPr>
        <vertAlign val="subscript"/>
        <sz val="10"/>
        <rFont val="Times New Roman"/>
        <family val="1"/>
      </rPr>
      <t>2</t>
    </r>
    <r>
      <rPr>
        <sz val="10"/>
        <rFont val="Times New Roman"/>
        <family val="1"/>
      </rPr>
      <t>/ t-km)</t>
    </r>
  </si>
  <si>
    <t>5.Fossil fuel combusted in power boiler</t>
  </si>
  <si>
    <t>5.1 Fossil fuel consumption due to power plant stoppages</t>
  </si>
  <si>
    <t>Jan</t>
  </si>
  <si>
    <t>Apr</t>
  </si>
  <si>
    <r>
      <t>FC i</t>
    </r>
    <r>
      <rPr>
        <vertAlign val="subscript"/>
        <sz val="11"/>
        <rFont val="Times New Roman"/>
        <family val="1"/>
      </rPr>
      <t>, Project Plant, y</t>
    </r>
  </si>
  <si>
    <t>(lt/month)</t>
  </si>
  <si>
    <t>Others (LPG) (liquid fase)</t>
  </si>
  <si>
    <t>5.2 Combustibles fosiles consumidos debido a transporte al interior de planta</t>
  </si>
  <si>
    <t>Ago</t>
  </si>
  <si>
    <t>Dic</t>
  </si>
  <si>
    <r>
      <t>FCi</t>
    </r>
    <r>
      <rPr>
        <vertAlign val="subscript"/>
        <sz val="11"/>
        <rFont val="Times New Roman"/>
        <family val="1"/>
      </rPr>
      <t>, Project site, y</t>
    </r>
  </si>
  <si>
    <t>Otro</t>
  </si>
  <si>
    <t>6.  Combustibles fosiles consumidos en el proceso de trituración de biomasa forestal</t>
  </si>
  <si>
    <r>
      <t xml:space="preserve">FC </t>
    </r>
    <r>
      <rPr>
        <vertAlign val="subscript"/>
        <sz val="10"/>
        <rFont val="Times New Roman"/>
        <family val="1"/>
      </rPr>
      <t>i</t>
    </r>
    <r>
      <rPr>
        <vertAlign val="subscript"/>
        <sz val="11"/>
        <rFont val="Times New Roman"/>
        <family val="1"/>
      </rPr>
      <t>, biomass processing, y</t>
    </r>
  </si>
  <si>
    <r>
      <t>FC</t>
    </r>
    <r>
      <rPr>
        <vertAlign val="subscript"/>
        <sz val="10"/>
        <rFont val="Times New Roman"/>
        <family val="1"/>
      </rPr>
      <t xml:space="preserve"> i</t>
    </r>
    <r>
      <rPr>
        <vertAlign val="subscript"/>
        <sz val="11"/>
        <rFont val="Times New Roman"/>
        <family val="1"/>
      </rPr>
      <t>, biomass processing, y</t>
    </r>
  </si>
  <si>
    <t>5.3 Datos de combustible fósil: De acuerdo a PDD</t>
  </si>
  <si>
    <t>NCV</t>
  </si>
  <si>
    <t>Density</t>
  </si>
  <si>
    <r>
      <t xml:space="preserve">NCV </t>
    </r>
    <r>
      <rPr>
        <vertAlign val="subscript"/>
        <sz val="10"/>
        <rFont val="Times New Roman"/>
        <family val="1"/>
      </rPr>
      <t>FF,diesel,y</t>
    </r>
  </si>
  <si>
    <r>
      <t xml:space="preserve">NCV </t>
    </r>
    <r>
      <rPr>
        <vertAlign val="subscript"/>
        <sz val="10"/>
        <rFont val="Times New Roman"/>
        <family val="1"/>
      </rPr>
      <t>FF,fuel oil,y</t>
    </r>
  </si>
  <si>
    <t>LPG (liquid phase)</t>
  </si>
  <si>
    <r>
      <t xml:space="preserve">NCV </t>
    </r>
    <r>
      <rPr>
        <vertAlign val="subscript"/>
        <sz val="10"/>
        <rFont val="Times New Roman"/>
        <family val="1"/>
      </rPr>
      <t>FF,LPG,y</t>
    </r>
  </si>
  <si>
    <r>
      <t>(Kg/m</t>
    </r>
    <r>
      <rPr>
        <vertAlign val="superscript"/>
        <sz val="10"/>
        <rFont val="Times New Roman"/>
        <family val="1"/>
      </rPr>
      <t>3</t>
    </r>
    <r>
      <rPr>
        <sz val="10"/>
        <rFont val="Times New Roman"/>
        <family val="1"/>
      </rPr>
      <t>)</t>
    </r>
  </si>
  <si>
    <t>Valores del IPCC  (para referencia)</t>
  </si>
  <si>
    <t>LPG (fase líquida)</t>
  </si>
  <si>
    <t>5.2 Fossil fuel consumption due to biomass internal transportation</t>
  </si>
  <si>
    <t>Others</t>
  </si>
  <si>
    <t>5.3 Fossil fuel data: According to registered an revised PDD the Project Participant will use IPCC values.</t>
  </si>
  <si>
    <t>IPCC values</t>
  </si>
  <si>
    <t>(GJ /ton)</t>
  </si>
  <si>
    <t>6.  Fossil fuel consumption due to forestry biomass processing</t>
  </si>
  <si>
    <t>Year: 2019</t>
  </si>
  <si>
    <t>Year: 2018</t>
  </si>
  <si>
    <t>Year: 2017</t>
  </si>
  <si>
    <t>hrs</t>
  </si>
  <si>
    <t>LOCy</t>
  </si>
  <si>
    <t>CAPHG,h</t>
  </si>
  <si>
    <t>GJ</t>
  </si>
  <si>
    <t>LFC HG,h</t>
  </si>
  <si>
    <t>GJ/hr</t>
  </si>
  <si>
    <t>Heat generating capacity</t>
  </si>
  <si>
    <t>Emission Factor SIC 2018 v4</t>
  </si>
  <si>
    <t>Emission Factor SIC 2019 v4</t>
  </si>
  <si>
    <t>Emission Factor SIC 2020 v1</t>
  </si>
  <si>
    <t>Adjustments were made based on the scales' maximum detected error (+/- 2 g) and the error propagation formula for a quotient. In order to be conservative, moisture values must be lower than measured.  The wet sample size is approximately 4 kg and</t>
  </si>
  <si>
    <t>moisture values are approximately 50 %, i.e. final moisture weight is approximately 2 kg. So to achieve lower/higher moisture values, orginal values were decreased/increased by a factor equal to [(0,2/2000)+(0,2/4000)]*100=0,015</t>
  </si>
  <si>
    <t>due to biomass transportation to the power plant. Therefore, a higher amount of third party biomass leads to more fossil fuel consumption due to transportation and hence higher project emissions. Consequently, the amount of third party biomass</t>
  </si>
  <si>
    <t>was added 5%, which was the maximum error detected during calibration</t>
  </si>
  <si>
    <t>Note 1:  A conservative adjustment was made to the amount of biomass because weighbridges that measure it were past their calibration date. The amount of biomass is used for the calculation of fossil fuel consumption</t>
  </si>
  <si>
    <t>note 1</t>
  </si>
  <si>
    <t>adjustement</t>
  </si>
  <si>
    <t>adjustment</t>
  </si>
  <si>
    <t>correction</t>
  </si>
  <si>
    <t>Note:  A conservative adjustment was made to the amount of biomass because weighbridges that measure it were past their calibration date. The amount of biomass is used for the calculation of fossil fuel consumption</t>
  </si>
  <si>
    <t>note: Conservative factor due to delay in calibration (decrease in biomass quantity) has been applied for the BE calculation.</t>
  </si>
  <si>
    <t>adjusted</t>
  </si>
  <si>
    <t>Avrg</t>
  </si>
  <si>
    <t>MWh</t>
  </si>
  <si>
    <t>(tCO2/MWh)</t>
  </si>
  <si>
    <t>Combined margen</t>
  </si>
  <si>
    <t>Ekectricity import from grid</t>
  </si>
  <si>
    <t>Jan-01-2017</t>
  </si>
  <si>
    <t>PE Diesel, project plant, y</t>
  </si>
  <si>
    <t>PEDiesel, project site, y</t>
  </si>
  <si>
    <t>PEDiesel, biomass processing, y</t>
  </si>
  <si>
    <t>year</t>
  </si>
  <si>
    <t>Name of the file</t>
  </si>
  <si>
    <t>Emission Factor SIC 2017 v3</t>
  </si>
  <si>
    <t>biomass residues required for process heat demand</t>
  </si>
  <si>
    <t>Year</t>
  </si>
  <si>
    <t>Baseline emissions or removals</t>
  </si>
  <si>
    <r>
      <t>(tCO</t>
    </r>
    <r>
      <rPr>
        <b/>
        <vertAlign val="subscript"/>
        <sz val="10.5"/>
        <color rgb="FFFFFFFF"/>
        <rFont val="Arial"/>
        <family val="2"/>
      </rPr>
      <t>2</t>
    </r>
    <r>
      <rPr>
        <b/>
        <sz val="10.5"/>
        <color rgb="FFFFFFFF"/>
        <rFont val="Arial"/>
        <family val="2"/>
      </rPr>
      <t>e)</t>
    </r>
  </si>
  <si>
    <r>
      <t>Project emissions or removals (tCO</t>
    </r>
    <r>
      <rPr>
        <b/>
        <vertAlign val="subscript"/>
        <sz val="10.5"/>
        <color rgb="FFFFFFFF"/>
        <rFont val="Arial"/>
        <family val="2"/>
      </rPr>
      <t>2</t>
    </r>
    <r>
      <rPr>
        <b/>
        <sz val="10.5"/>
        <color rgb="FFFFFFFF"/>
        <rFont val="Arial"/>
        <family val="2"/>
      </rPr>
      <t>e)</t>
    </r>
  </si>
  <si>
    <r>
      <t>Leakage emissions (tCO</t>
    </r>
    <r>
      <rPr>
        <b/>
        <vertAlign val="subscript"/>
        <sz val="10.5"/>
        <color rgb="FFFFFFFF"/>
        <rFont val="Arial"/>
        <family val="2"/>
      </rPr>
      <t>2</t>
    </r>
    <r>
      <rPr>
        <b/>
        <sz val="10.5"/>
        <color rgb="FFFFFFFF"/>
        <rFont val="Arial"/>
        <family val="2"/>
      </rPr>
      <t>e)</t>
    </r>
  </si>
  <si>
    <t>Net GHG emission reductions or removals</t>
  </si>
  <si>
    <t>01/01/2017-31/2017</t>
  </si>
  <si>
    <t>01/01/2018-31712/2018</t>
  </si>
  <si>
    <t>01/01/2019-31/12/2019</t>
  </si>
  <si>
    <t>01/01/2020-31/12/2020 </t>
  </si>
  <si>
    <r>
      <t>BR</t>
    </r>
    <r>
      <rPr>
        <vertAlign val="subscript"/>
        <sz val="10"/>
        <color theme="1"/>
        <rFont val="Arial"/>
        <family val="2"/>
      </rPr>
      <t>PJ,n,y</t>
    </r>
  </si>
  <si>
    <t>PD Emission reductions</t>
  </si>
  <si>
    <t>PD vs NET GHG emissions reduction</t>
  </si>
  <si>
    <t>(A)</t>
  </si>
  <si>
    <t xml:space="preserve"> (A) - (B)</t>
  </si>
  <si>
    <r>
      <t xml:space="preserve">HC </t>
    </r>
    <r>
      <rPr>
        <vertAlign val="subscript"/>
        <sz val="10"/>
        <rFont val="Times New Roman"/>
        <family val="1"/>
      </rPr>
      <t xml:space="preserve">BL,y </t>
    </r>
    <r>
      <rPr>
        <sz val="10"/>
        <rFont val="Times New Roman"/>
        <family val="1"/>
      </rPr>
      <t xml:space="preserve">                 (B)</t>
    </r>
  </si>
  <si>
    <r>
      <t>BR</t>
    </r>
    <r>
      <rPr>
        <vertAlign val="subscript"/>
        <sz val="10"/>
        <rFont val="Times New Roman"/>
        <family val="1"/>
      </rPr>
      <t>PJ,2,y</t>
    </r>
  </si>
  <si>
    <t>original</t>
  </si>
  <si>
    <t>adjusted up+</t>
  </si>
  <si>
    <t>Higher biomass transport leads to increased emissions from PE tr.</t>
  </si>
  <si>
    <t>note 2</t>
  </si>
  <si>
    <t>Lower biomass leads to decrease the B1/B3 emissions</t>
  </si>
  <si>
    <t>adjusment, see spreadsheet Emissions/note 2</t>
  </si>
  <si>
    <t>Note 2: Lower biomass leads to decrease the B1/B3 emissions</t>
  </si>
  <si>
    <t>Activity</t>
  </si>
  <si>
    <t>Origin</t>
  </si>
  <si>
    <t>Destination</t>
  </si>
  <si>
    <t>Freight type</t>
  </si>
  <si>
    <t>Road distance</t>
  </si>
  <si>
    <t>Vehicle class</t>
  </si>
  <si>
    <t>Agricola Altos de Nihue</t>
  </si>
  <si>
    <t>Viñales</t>
  </si>
  <si>
    <t>Biomass residues (mix of sawdust and bark)</t>
  </si>
  <si>
    <t>Heavy class</t>
  </si>
  <si>
    <t>As. Catalina</t>
  </si>
  <si>
    <t>As. Gabriel Valdebenito</t>
  </si>
  <si>
    <t>As. Indalicio Nuñez</t>
  </si>
  <si>
    <t>As. Luis Catalan</t>
  </si>
  <si>
    <t>As. Mestre</t>
  </si>
  <si>
    <t>As. Santa Loreto ltda.</t>
  </si>
  <si>
    <t>Benjamin Muñoz</t>
  </si>
  <si>
    <t>Claudio Muñoz Rozzi</t>
  </si>
  <si>
    <t>Com. Radiata del Maule</t>
  </si>
  <si>
    <t>Damian Fuentes</t>
  </si>
  <si>
    <t>Forestal Arauco</t>
  </si>
  <si>
    <t>Forestal Mallorca</t>
  </si>
  <si>
    <t>Forestal Sta Blanca</t>
  </si>
  <si>
    <t>Forestal Sta Lucia</t>
  </si>
  <si>
    <t>Hector Alarcon</t>
  </si>
  <si>
    <t>Luis Humberto Nuñez</t>
  </si>
  <si>
    <t>Maderas Geomar</t>
  </si>
  <si>
    <t>Maderas Martin</t>
  </si>
  <si>
    <t>Maderas Urimad</t>
  </si>
  <si>
    <t xml:space="preserve">Manuel Muñoz </t>
  </si>
  <si>
    <t xml:space="preserve">Mauricio Muñoz </t>
  </si>
  <si>
    <t xml:space="preserve">Pta. Santa Javiera </t>
  </si>
  <si>
    <t>Trans. Juan Padilla</t>
  </si>
  <si>
    <t>Trans. Rinconada</t>
  </si>
  <si>
    <t>Trans. San Nicolas</t>
  </si>
  <si>
    <t>Luis Flores E.I.R.L.</t>
  </si>
  <si>
    <t>As. Viñales</t>
  </si>
  <si>
    <t>Remanufactura</t>
  </si>
  <si>
    <t>tCO2</t>
  </si>
  <si>
    <t>PETR,m</t>
  </si>
  <si>
    <t>km</t>
  </si>
  <si>
    <t>Df,m</t>
  </si>
  <si>
    <t>t</t>
  </si>
  <si>
    <t>∑Df,m * FR,f,m</t>
  </si>
  <si>
    <t>gCO2/t*km</t>
  </si>
  <si>
    <t>EFCO2,f</t>
  </si>
  <si>
    <t>As. Hermanos muñoz</t>
  </si>
  <si>
    <t xml:space="preserve">Benjamin Muñoz </t>
  </si>
  <si>
    <t>Forestal Tres Eme S.A</t>
  </si>
  <si>
    <t>Manuel Muñoz</t>
  </si>
  <si>
    <t>Manuel Poblete</t>
  </si>
  <si>
    <t>Mauricio Muñoz</t>
  </si>
  <si>
    <t>Trans. Manuel Poblete</t>
  </si>
  <si>
    <t>Agricola las Cañas</t>
  </si>
  <si>
    <t>Andes Biopallet</t>
  </si>
  <si>
    <t>Cmpc</t>
  </si>
  <si>
    <t>Maderera Dunas Ltda</t>
  </si>
  <si>
    <t>Pta. Santa Javiera</t>
  </si>
  <si>
    <t>San Sebastian</t>
  </si>
  <si>
    <t>Sociedad el Almendro</t>
  </si>
  <si>
    <t xml:space="preserve">Trans. Manuel Opazo Muñoz </t>
  </si>
  <si>
    <t>Transportes del Maule</t>
  </si>
  <si>
    <t>As. Isaul Bernal</t>
  </si>
  <si>
    <t>Andes Bio</t>
  </si>
  <si>
    <t>Santa Javiera</t>
  </si>
  <si>
    <t>Trans. Berta Aravena</t>
  </si>
  <si>
    <t>As. El Cruce</t>
  </si>
  <si>
    <t>As. Tilleria</t>
  </si>
  <si>
    <t>El Almendro</t>
  </si>
  <si>
    <t>Forestal arauco</t>
  </si>
  <si>
    <t>Forestal Santa Mercedes</t>
  </si>
  <si>
    <t>Maderas Duran</t>
  </si>
  <si>
    <t>Soc. Maderera E. Ltda.</t>
  </si>
  <si>
    <t>Transportes del maule</t>
  </si>
  <si>
    <t>See 20XX wet tons excel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</si>
</sst>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64" formatCode="_ * #,##0_ ;_ * \-#,##0_ ;_ * &quot;-&quot;_ ;_ @_ "/>
    <numFmt numFmtId="165" formatCode="#,##0.0"/>
    <numFmt numFmtId="166" formatCode="#,##0.0000000"/>
    <numFmt numFmtId="167" formatCode="#,##0.00000"/>
    <numFmt numFmtId="168" formatCode="0.0%"/>
    <numFmt numFmtId="169" formatCode="\(\5\)"/>
    <numFmt numFmtId="170" formatCode="#,##0.0000"/>
    <numFmt numFmtId="171" formatCode="#,##0.000"/>
    <numFmt numFmtId="172" formatCode="#,##0\ \ &quot;(MWh)&quot;"/>
    <numFmt numFmtId="173" formatCode="#,##0.000\ \ &quot;(tCO2/MWh)&quot;"/>
    <numFmt numFmtId="174" formatCode="#,##0\ &quot;(tCO2)&quot;"/>
    <numFmt numFmtId="175" formatCode="#,##0.000000000\ &quot;(tCO2)&quot;"/>
    <numFmt numFmtId="176" formatCode="General_)"/>
    <numFmt numFmtId="177" formatCode="#,##0.00000000\ &quot;(tCO2)&quot;"/>
    <numFmt numFmtId="178" formatCode="#,##0\ \ &quot;(ton/yr)&quot;"/>
    <numFmt numFmtId="179" formatCode="#,##0.00\ \ &quot;(GJ/ton)&quot;"/>
    <numFmt numFmtId="180" formatCode="#,##0.0000\ \ &quot;(tCO2/GJ)&quot;"/>
    <numFmt numFmtId="181" formatCode="#,##0.00\ \ &quot;(ton/yr)&quot;"/>
    <numFmt numFmtId="182" formatCode="#,##0&quot;(tCO2/yr)&quot;"/>
    <numFmt numFmtId="183" formatCode="#,##0.000000&quot;(tCO2/yr)&quot;"/>
    <numFmt numFmtId="184" formatCode="#,##0.0000000&quot;(tCO2/yr)&quot;"/>
    <numFmt numFmtId="185" formatCode="#,##0\ \ &quot;(BDt/yr)&quot;"/>
    <numFmt numFmtId="186" formatCode="#,##0.000000#########\ \ &quot;(tCH4/GJ)&quot;"/>
    <numFmt numFmtId="187" formatCode="#,##0.00\ &quot;(number)&quot;"/>
    <numFmt numFmtId="188" formatCode="0\ \ &quot;(number)&quot;"/>
    <numFmt numFmtId="189" formatCode="#,##0&quot;(tCO2eq/yr)&quot;"/>
    <numFmt numFmtId="190" formatCode="#,##0.00000&quot;(tCO2eq/yr)&quot;"/>
    <numFmt numFmtId="191" formatCode="#,##0.000000&quot;(tCO2eq/yr)&quot;"/>
    <numFmt numFmtId="192" formatCode="#,##0\ \ &quot;(wet ton/yr)&quot;"/>
    <numFmt numFmtId="193" formatCode="0.0"/>
  </numFmts>
  <fonts count="77">
    <font>
      <sz val="11"/>
      <color theme="1"/>
      <name val="Calibri"/>
      <family val="2"/>
      <scheme val="minor"/>
    </font>
    <font>
      <b/>
      <u/>
      <sz val="18"/>
      <name val="Arial"/>
      <family val="2"/>
    </font>
    <font>
      <sz val="10"/>
      <name val="Arial"/>
      <family val="2"/>
    </font>
    <font>
      <b/>
      <u/>
      <sz val="18"/>
      <name val="Times New Roman"/>
      <family val="1"/>
    </font>
    <font>
      <b/>
      <sz val="18"/>
      <name val="Times New Roman"/>
      <family val="1"/>
    </font>
    <font>
      <b/>
      <sz val="14"/>
      <name val="Times New Roman"/>
      <family val="1"/>
    </font>
    <font>
      <b/>
      <sz val="10"/>
      <name val="Times New Roman"/>
      <family val="1"/>
    </font>
    <font>
      <b/>
      <u/>
      <sz val="10"/>
      <name val="Times New Roman"/>
      <family val="1"/>
    </font>
    <font>
      <sz val="10"/>
      <name val="Times New Roman"/>
      <family val="1"/>
    </font>
    <font>
      <vertAlign val="subscript"/>
      <sz val="11"/>
      <name val="Times New Roman"/>
      <family val="1"/>
    </font>
    <font>
      <sz val="10"/>
      <color indexed="12"/>
      <name val="Times New Roman"/>
      <family val="1"/>
    </font>
    <font>
      <sz val="11"/>
      <name val="Times New Roman"/>
      <family val="1"/>
    </font>
    <font>
      <vertAlign val="subscript"/>
      <sz val="10"/>
      <name val="Times New Roman"/>
      <family val="1"/>
    </font>
    <font>
      <b/>
      <sz val="10"/>
      <color indexed="12"/>
      <name val="Times New Roman"/>
      <family val="1"/>
    </font>
    <font>
      <sz val="9"/>
      <name val="Times New Roman"/>
      <family val="1"/>
    </font>
    <font>
      <sz val="10"/>
      <color rgb="FF0000FF"/>
      <name val="Times New Roman"/>
      <family val="1"/>
    </font>
    <font>
      <u/>
      <sz val="10"/>
      <name val="Times New Roman"/>
      <family val="1"/>
    </font>
    <font>
      <i/>
      <sz val="10"/>
      <name val="Times New Roman"/>
      <family val="1"/>
    </font>
    <font>
      <sz val="10"/>
      <color indexed="12"/>
      <name val="Arial"/>
      <family val="2"/>
    </font>
    <font>
      <vertAlign val="superscript"/>
      <sz val="10"/>
      <name val="Times New Roman"/>
      <family val="1"/>
    </font>
    <font>
      <b/>
      <sz val="9"/>
      <color indexed="81"/>
      <name val="Tahoma"/>
      <family val="2"/>
    </font>
    <font>
      <sz val="9"/>
      <color indexed="81"/>
      <name val="Tahoma"/>
      <family val="2"/>
    </font>
    <font>
      <sz val="11"/>
      <color theme="1"/>
      <name val="Calibri"/>
      <family val="2"/>
      <scheme val="minor"/>
    </font>
    <font>
      <b/>
      <u/>
      <sz val="10"/>
      <name val="Arial"/>
      <family val="2"/>
    </font>
    <font>
      <i/>
      <sz val="10"/>
      <name val="Arial"/>
      <family val="2"/>
    </font>
    <font>
      <b/>
      <sz val="10"/>
      <name val="Arial"/>
      <family val="2"/>
    </font>
    <font>
      <u/>
      <sz val="10"/>
      <name val="Arial"/>
      <family val="2"/>
    </font>
    <font>
      <vertAlign val="subscript"/>
      <sz val="10"/>
      <name val="Arial"/>
      <family val="2"/>
    </font>
    <font>
      <sz val="9"/>
      <name val="Arial"/>
      <family val="2"/>
    </font>
    <font>
      <sz val="8"/>
      <name val="Arial"/>
      <family val="2"/>
    </font>
    <font>
      <b/>
      <vertAlign val="subscript"/>
      <sz val="10"/>
      <name val="Arial"/>
      <family val="2"/>
    </font>
    <font>
      <sz val="10"/>
      <name val="Courier"/>
      <family val="3"/>
    </font>
    <font>
      <b/>
      <u/>
      <vertAlign val="subscript"/>
      <sz val="10"/>
      <name val="Arial"/>
      <family val="2"/>
    </font>
    <font>
      <u/>
      <sz val="8"/>
      <name val="Arial"/>
      <family val="2"/>
    </font>
    <font>
      <vertAlign val="superscript"/>
      <sz val="10"/>
      <name val="Arial"/>
      <family val="2"/>
    </font>
    <font>
      <sz val="10"/>
      <color theme="1"/>
      <name val="Arial"/>
      <family val="2"/>
    </font>
    <font>
      <b/>
      <vertAlign val="superscript"/>
      <sz val="10"/>
      <name val="Arial"/>
      <family val="2"/>
    </font>
    <font>
      <b/>
      <u/>
      <sz val="12"/>
      <name val="Arial"/>
      <family val="2"/>
    </font>
    <font>
      <sz val="10"/>
      <color rgb="FF0070C0"/>
      <name val="Arial"/>
      <family val="2"/>
    </font>
    <font>
      <sz val="12"/>
      <name val="Arial"/>
      <family val="2"/>
    </font>
    <font>
      <b/>
      <sz val="11"/>
      <name val="Arial"/>
      <family val="2"/>
    </font>
    <font>
      <b/>
      <sz val="12"/>
      <name val="Arial"/>
      <family val="2"/>
    </font>
    <font>
      <b/>
      <u/>
      <sz val="11"/>
      <name val="Times New Roman"/>
      <family val="1"/>
    </font>
    <font>
      <sz val="8"/>
      <name val="Times New Roman"/>
      <family val="1"/>
    </font>
    <font>
      <sz val="10"/>
      <color rgb="FFFF0000"/>
      <name val="Times New Roman"/>
      <family val="1"/>
    </font>
    <font>
      <b/>
      <vertAlign val="subscript"/>
      <sz val="10"/>
      <name val="Times New Roman"/>
      <family val="1"/>
    </font>
    <font>
      <u/>
      <sz val="9"/>
      <name val="Times New Roman"/>
      <family val="1"/>
    </font>
    <font>
      <sz val="10"/>
      <color theme="1"/>
      <name val="Times New Roman"/>
      <family val="1"/>
    </font>
    <font>
      <vertAlign val="subscript"/>
      <sz val="10"/>
      <color theme="1"/>
      <name val="Times New Roman"/>
      <family val="1"/>
    </font>
    <font>
      <b/>
      <sz val="10"/>
      <color theme="1"/>
      <name val="Times New Roman"/>
      <family val="1"/>
    </font>
    <font>
      <b/>
      <vertAlign val="subscript"/>
      <sz val="10"/>
      <color theme="1"/>
      <name val="Times New Roman"/>
      <family val="1"/>
    </font>
    <font>
      <sz val="10"/>
      <color indexed="8"/>
      <name val="Times New Roman"/>
      <family val="1"/>
    </font>
    <font>
      <b/>
      <sz val="11"/>
      <name val="Times New Roman"/>
      <family val="1"/>
    </font>
    <font>
      <sz val="10"/>
      <name val="Symbol"/>
      <family val="1"/>
      <charset val="2"/>
    </font>
    <font>
      <b/>
      <u/>
      <vertAlign val="subscript"/>
      <sz val="10"/>
      <name val="Times New Roman"/>
      <family val="1"/>
    </font>
    <font>
      <u/>
      <vertAlign val="subscript"/>
      <sz val="10"/>
      <name val="Times New Roman"/>
      <family val="1"/>
    </font>
    <font>
      <sz val="10"/>
      <color rgb="FF808080"/>
      <name val="Times New Roman"/>
      <family val="1"/>
    </font>
    <font>
      <sz val="11"/>
      <color theme="1"/>
      <name val="Calibri"/>
      <family val="2"/>
    </font>
    <font>
      <sz val="10"/>
      <color theme="1" tint="0.249977111117893"/>
      <name val="Times New Roman"/>
      <family val="1"/>
    </font>
    <font>
      <sz val="11"/>
      <color theme="1"/>
      <name val="Times New Roman"/>
      <family val="1"/>
    </font>
    <font>
      <sz val="11"/>
      <color theme="1"/>
      <name val="Century Gothic"/>
      <family val="2"/>
    </font>
    <font>
      <sz val="11"/>
      <color theme="1"/>
      <name val="Arial"/>
      <family val="2"/>
    </font>
    <font>
      <b/>
      <sz val="10"/>
      <color rgb="FF808080"/>
      <name val="Times New Roman"/>
      <family val="1"/>
    </font>
    <font>
      <b/>
      <sz val="10.5"/>
      <color rgb="FFFFFFFF"/>
      <name val="Arial"/>
      <family val="2"/>
    </font>
    <font>
      <sz val="9.5"/>
      <color rgb="FF404040"/>
      <name val="Franklin Gothic Book"/>
      <family val="2"/>
    </font>
    <font>
      <b/>
      <sz val="9.5"/>
      <color rgb="FF404040"/>
      <name val="Franklin Gothic Book"/>
      <family val="2"/>
    </font>
    <font>
      <b/>
      <vertAlign val="subscript"/>
      <sz val="10.5"/>
      <color rgb="FFFFFFFF"/>
      <name val="Arial"/>
      <family val="2"/>
    </font>
    <font>
      <sz val="10.5"/>
      <color rgb="FF000000"/>
      <name val="Franklin Gothic Book"/>
      <family val="2"/>
    </font>
    <font>
      <sz val="10.5"/>
      <color rgb="FF404040"/>
      <name val="Arial"/>
      <family val="2"/>
    </font>
    <font>
      <b/>
      <sz val="10.5"/>
      <color rgb="FF404040"/>
      <name val="Arial"/>
      <family val="2"/>
    </font>
    <font>
      <vertAlign val="subscript"/>
      <sz val="10"/>
      <color theme="1"/>
      <name val="Arial"/>
      <family val="2"/>
    </font>
    <font>
      <b/>
      <i/>
      <sz val="20"/>
      <color rgb="FFFF0000"/>
      <name val="Calibri"/>
      <family val="2"/>
      <scheme val="minor"/>
    </font>
    <font>
      <b/>
      <sz val="12"/>
      <color theme="0"/>
      <name val="Times New Roman"/>
      <family val="1"/>
    </font>
    <font>
      <sz val="10"/>
      <color theme="1"/>
      <name val="Calibri"/>
      <family val="2"/>
      <scheme val="minor"/>
    </font>
    <font>
      <sz val="10"/>
      <name val="Calibri"/>
      <family val="2"/>
      <scheme val="minor"/>
    </font>
    <font>
      <b/>
      <sz val="12"/>
      <color theme="0"/>
      <name val="Calibri"/>
      <family val="2"/>
      <scheme val="minor"/>
    </font>
    <font>
      <b/>
      <sz val="10"/>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2B3957"/>
        <bgColor indexed="64"/>
      </patternFill>
    </fill>
    <fill>
      <patternFill patternType="solid">
        <fgColor rgb="FFF2F2F2"/>
        <bgColor indexed="64"/>
      </patternFill>
    </fill>
    <fill>
      <patternFill patternType="solid">
        <fgColor theme="9" tint="0.79998168889431442"/>
        <bgColor indexed="64"/>
      </patternFill>
    </fill>
    <fill>
      <patternFill patternType="solid">
        <fgColor rgb="FFE9F7BB"/>
        <bgColor indexed="64"/>
      </patternFill>
    </fill>
    <fill>
      <patternFill patternType="solid">
        <fgColor rgb="FF00B050"/>
        <bgColor indexed="64"/>
      </patternFill>
    </fill>
    <fill>
      <patternFill patternType="solid">
        <fgColor theme="9" tint="0.39997558519241921"/>
        <bgColor indexed="64"/>
      </patternFill>
    </fill>
    <fill>
      <patternFill patternType="solid">
        <fgColor theme="4"/>
        <bgColor theme="4"/>
      </patternFill>
    </fill>
    <fill>
      <patternFill patternType="solid">
        <fgColor theme="3" tint="0.749992370372631"/>
        <bgColor indexed="64"/>
      </patternFill>
    </fill>
  </fills>
  <borders count="4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right style="medium">
        <color rgb="FFFFFFFF"/>
      </right>
      <top/>
      <bottom style="medium">
        <color rgb="FFFFFFFF"/>
      </bottom>
      <diagonal/>
    </border>
    <border>
      <left style="medium">
        <color rgb="FFFFFFFF"/>
      </left>
      <right style="medium">
        <color rgb="FFFFFFFF"/>
      </right>
      <top/>
      <bottom style="double">
        <color rgb="FFFFFFFF"/>
      </bottom>
      <diagonal/>
    </border>
    <border>
      <left/>
      <right style="medium">
        <color rgb="FFFFFFFF"/>
      </right>
      <top/>
      <bottom style="double">
        <color rgb="FFFFFFFF"/>
      </bottom>
      <diagonal/>
    </border>
  </borders>
  <cellStyleXfs count="6">
    <xf numFmtId="0" fontId="0" fillId="0" borderId="0"/>
    <xf numFmtId="0" fontId="2" fillId="0" borderId="0"/>
    <xf numFmtId="0" fontId="2" fillId="0" borderId="0"/>
    <xf numFmtId="9" fontId="2" fillId="0" borderId="0" applyFont="0" applyFill="0" applyBorder="0" applyAlignment="0" applyProtection="0"/>
    <xf numFmtId="164" fontId="22" fillId="0" borderId="0" applyFont="0" applyFill="0" applyBorder="0" applyAlignment="0" applyProtection="0"/>
    <xf numFmtId="176" fontId="31" fillId="0" borderId="0"/>
  </cellStyleXfs>
  <cellXfs count="831">
    <xf numFmtId="0" fontId="0" fillId="0" borderId="0" xfId="0"/>
    <xf numFmtId="3" fontId="1" fillId="0" borderId="0" xfId="0" applyNumberFormat="1" applyFont="1"/>
    <xf numFmtId="3" fontId="3" fillId="0" borderId="0" xfId="1" applyNumberFormat="1" applyFont="1"/>
    <xf numFmtId="3" fontId="4" fillId="0" borderId="0" xfId="1" applyNumberFormat="1" applyFont="1" applyAlignment="1">
      <alignment horizontal="right"/>
    </xf>
    <xf numFmtId="0" fontId="2" fillId="0" borderId="0" xfId="1"/>
    <xf numFmtId="3" fontId="5" fillId="0" borderId="0" xfId="1" applyNumberFormat="1" applyFont="1"/>
    <xf numFmtId="0" fontId="5" fillId="0" borderId="0" xfId="1" applyFont="1" applyAlignment="1">
      <alignment horizontal="center"/>
    </xf>
    <xf numFmtId="0" fontId="6" fillId="0" borderId="0" xfId="1" applyFont="1" applyAlignment="1">
      <alignment horizontal="left"/>
    </xf>
    <xf numFmtId="3" fontId="7" fillId="0" borderId="0" xfId="0" applyNumberFormat="1" applyFont="1"/>
    <xf numFmtId="3" fontId="6" fillId="0" borderId="0" xfId="1" applyNumberFormat="1" applyFont="1"/>
    <xf numFmtId="3" fontId="6" fillId="0" borderId="0" xfId="1" applyNumberFormat="1" applyFont="1" applyAlignment="1">
      <alignment horizontal="left"/>
    </xf>
    <xf numFmtId="3" fontId="8" fillId="0" borderId="1" xfId="1" applyNumberFormat="1" applyFont="1" applyBorder="1"/>
    <xf numFmtId="3" fontId="8" fillId="0" borderId="2" xfId="1" applyNumberFormat="1" applyFont="1" applyBorder="1"/>
    <xf numFmtId="3" fontId="8" fillId="0" borderId="3" xfId="1" applyNumberFormat="1" applyFont="1" applyBorder="1" applyAlignment="1">
      <alignment horizontal="left"/>
    </xf>
    <xf numFmtId="14" fontId="6" fillId="0" borderId="4" xfId="1" applyNumberFormat="1" applyFont="1" applyBorder="1" applyAlignment="1">
      <alignment horizontal="center"/>
    </xf>
    <xf numFmtId="14" fontId="6" fillId="0" borderId="3" xfId="1" applyNumberFormat="1" applyFont="1" applyBorder="1" applyAlignment="1">
      <alignment horizontal="center"/>
    </xf>
    <xf numFmtId="3" fontId="6" fillId="0" borderId="2" xfId="1" applyNumberFormat="1" applyFont="1" applyBorder="1" applyAlignment="1">
      <alignment horizontal="center"/>
    </xf>
    <xf numFmtId="3" fontId="8" fillId="0" borderId="5" xfId="1" applyNumberFormat="1" applyFont="1" applyBorder="1"/>
    <xf numFmtId="3" fontId="8" fillId="0" borderId="5" xfId="1" applyNumberFormat="1" applyFont="1" applyBorder="1" applyAlignment="1">
      <alignment horizontal="left" vertical="center"/>
    </xf>
    <xf numFmtId="3" fontId="8" fillId="0" borderId="5" xfId="1" applyNumberFormat="1" applyFont="1" applyBorder="1" applyAlignment="1">
      <alignment horizontal="center"/>
    </xf>
    <xf numFmtId="3" fontId="10" fillId="0" borderId="0" xfId="0" applyNumberFormat="1" applyFont="1" applyAlignment="1">
      <alignment horizontal="center" vertical="center"/>
    </xf>
    <xf numFmtId="3" fontId="10" fillId="0" borderId="6" xfId="1" applyNumberFormat="1" applyFont="1" applyBorder="1" applyAlignment="1">
      <alignment horizontal="center" vertical="center"/>
    </xf>
    <xf numFmtId="3" fontId="8" fillId="0" borderId="6" xfId="1" applyNumberFormat="1" applyFont="1" applyBorder="1"/>
    <xf numFmtId="3" fontId="8" fillId="0" borderId="6" xfId="1" applyNumberFormat="1" applyFont="1" applyBorder="1" applyAlignment="1">
      <alignment horizontal="left" vertical="center"/>
    </xf>
    <xf numFmtId="3" fontId="8" fillId="0" borderId="6" xfId="1" applyNumberFormat="1" applyFont="1" applyBorder="1" applyAlignment="1">
      <alignment horizontal="center"/>
    </xf>
    <xf numFmtId="3" fontId="8" fillId="0" borderId="6" xfId="1" applyNumberFormat="1" applyFont="1" applyBorder="1" applyAlignment="1">
      <alignment wrapText="1"/>
    </xf>
    <xf numFmtId="3" fontId="8" fillId="0" borderId="7" xfId="1" applyNumberFormat="1" applyFont="1" applyBorder="1" applyAlignment="1">
      <alignment wrapText="1"/>
    </xf>
    <xf numFmtId="3" fontId="8" fillId="0" borderId="7" xfId="1" applyNumberFormat="1" applyFont="1" applyBorder="1" applyAlignment="1">
      <alignment horizontal="left" vertical="center"/>
    </xf>
    <xf numFmtId="0" fontId="6" fillId="0" borderId="2" xfId="2" applyFont="1" applyBorder="1" applyAlignment="1">
      <alignment vertical="center" wrapText="1"/>
    </xf>
    <xf numFmtId="3" fontId="6" fillId="0" borderId="3" xfId="1" applyNumberFormat="1" applyFont="1" applyBorder="1" applyAlignment="1">
      <alignment horizontal="left"/>
    </xf>
    <xf numFmtId="3" fontId="6" fillId="0" borderId="4" xfId="1" applyNumberFormat="1" applyFont="1" applyBorder="1" applyAlignment="1">
      <alignment horizontal="center"/>
    </xf>
    <xf numFmtId="3" fontId="13" fillId="0" borderId="2" xfId="1" applyNumberFormat="1" applyFont="1" applyBorder="1" applyAlignment="1">
      <alignment horizontal="center" vertical="center"/>
    </xf>
    <xf numFmtId="3" fontId="14" fillId="0" borderId="0" xfId="1" applyNumberFormat="1" applyFont="1"/>
    <xf numFmtId="3" fontId="8" fillId="0" borderId="3" xfId="1" applyNumberFormat="1" applyFont="1" applyBorder="1" applyAlignment="1">
      <alignment horizontal="center"/>
    </xf>
    <xf numFmtId="165" fontId="10" fillId="0" borderId="4" xfId="0" applyNumberFormat="1" applyFont="1" applyBorder="1" applyAlignment="1">
      <alignment horizontal="center" vertical="center"/>
    </xf>
    <xf numFmtId="3" fontId="10" fillId="0" borderId="2" xfId="1" applyNumberFormat="1" applyFont="1" applyBorder="1" applyAlignment="1">
      <alignment horizontal="center" vertical="center"/>
    </xf>
    <xf numFmtId="165" fontId="10" fillId="0" borderId="4" xfId="1" applyNumberFormat="1" applyFont="1" applyBorder="1" applyAlignment="1">
      <alignment horizontal="center" vertical="center"/>
    </xf>
    <xf numFmtId="3" fontId="8" fillId="0" borderId="2" xfId="1" applyNumberFormat="1" applyFont="1" applyBorder="1" applyAlignment="1">
      <alignment horizontal="left" vertical="center" wrapText="1"/>
    </xf>
    <xf numFmtId="3" fontId="15" fillId="0" borderId="5" xfId="1" applyNumberFormat="1" applyFont="1" applyBorder="1" applyAlignment="1">
      <alignment horizontal="left"/>
    </xf>
    <xf numFmtId="3" fontId="10" fillId="0" borderId="8" xfId="1" applyNumberFormat="1" applyFont="1" applyBorder="1" applyAlignment="1">
      <alignment horizontal="center"/>
    </xf>
    <xf numFmtId="3" fontId="10" fillId="0" borderId="5" xfId="1" applyNumberFormat="1" applyFont="1" applyBorder="1" applyAlignment="1">
      <alignment horizontal="center" vertical="center"/>
    </xf>
    <xf numFmtId="3" fontId="15" fillId="0" borderId="6" xfId="1" applyNumberFormat="1" applyFont="1" applyBorder="1" applyAlignment="1">
      <alignment horizontal="left"/>
    </xf>
    <xf numFmtId="3" fontId="10" fillId="0" borderId="0" xfId="1" applyNumberFormat="1" applyFont="1" applyAlignment="1">
      <alignment horizontal="center"/>
    </xf>
    <xf numFmtId="3" fontId="8" fillId="0" borderId="7" xfId="1" applyNumberFormat="1" applyFont="1" applyBorder="1" applyAlignment="1">
      <alignment horizontal="center"/>
    </xf>
    <xf numFmtId="3" fontId="10" fillId="0" borderId="7" xfId="1" applyNumberFormat="1" applyFont="1" applyBorder="1" applyAlignment="1">
      <alignment horizontal="center" vertical="center"/>
    </xf>
    <xf numFmtId="0" fontId="2" fillId="0" borderId="9" xfId="1" applyBorder="1"/>
    <xf numFmtId="3" fontId="15" fillId="0" borderId="2" xfId="1" applyNumberFormat="1" applyFont="1" applyBorder="1" applyAlignment="1">
      <alignment horizontal="left"/>
    </xf>
    <xf numFmtId="3" fontId="8" fillId="0" borderId="0" xfId="1" applyNumberFormat="1" applyFont="1" applyAlignment="1">
      <alignment horizontal="center"/>
    </xf>
    <xf numFmtId="3" fontId="8" fillId="0" borderId="8" xfId="1" applyNumberFormat="1" applyFont="1" applyBorder="1"/>
    <xf numFmtId="3" fontId="8" fillId="0" borderId="0" xfId="1" applyNumberFormat="1" applyFont="1"/>
    <xf numFmtId="166" fontId="8" fillId="0" borderId="0" xfId="1" applyNumberFormat="1" applyFont="1" applyAlignment="1">
      <alignment horizontal="center"/>
    </xf>
    <xf numFmtId="167" fontId="8" fillId="0" borderId="0" xfId="1" applyNumberFormat="1" applyFont="1"/>
    <xf numFmtId="3" fontId="2" fillId="0" borderId="0" xfId="1" applyNumberFormat="1"/>
    <xf numFmtId="3" fontId="8" fillId="0" borderId="2" xfId="1" applyNumberFormat="1" applyFont="1" applyBorder="1" applyAlignment="1">
      <alignment horizontal="left"/>
    </xf>
    <xf numFmtId="3" fontId="6" fillId="0" borderId="3" xfId="1" applyNumberFormat="1" applyFont="1" applyBorder="1" applyAlignment="1">
      <alignment horizontal="center" vertical="center"/>
    </xf>
    <xf numFmtId="3" fontId="8" fillId="0" borderId="6" xfId="1" applyNumberFormat="1" applyFont="1" applyBorder="1" applyAlignment="1">
      <alignment vertical="center"/>
    </xf>
    <xf numFmtId="3" fontId="8" fillId="0" borderId="6" xfId="1" applyNumberFormat="1" applyFont="1" applyBorder="1" applyAlignment="1">
      <alignment horizontal="left"/>
    </xf>
    <xf numFmtId="3" fontId="8" fillId="0" borderId="10" xfId="1" applyNumberFormat="1" applyFont="1" applyBorder="1" applyAlignment="1">
      <alignment horizontal="center" vertical="center"/>
    </xf>
    <xf numFmtId="3" fontId="10" fillId="0" borderId="0" xfId="2" applyNumberFormat="1" applyFont="1" applyAlignment="1">
      <alignment horizontal="center" vertical="center"/>
    </xf>
    <xf numFmtId="3" fontId="8" fillId="0" borderId="7" xfId="1" applyNumberFormat="1" applyFont="1" applyBorder="1" applyAlignment="1">
      <alignment horizontal="left"/>
    </xf>
    <xf numFmtId="3" fontId="8" fillId="0" borderId="11" xfId="1" applyNumberFormat="1" applyFont="1" applyBorder="1" applyAlignment="1">
      <alignment horizontal="center" vertical="center"/>
    </xf>
    <xf numFmtId="3" fontId="10" fillId="0" borderId="0" xfId="1" applyNumberFormat="1" applyFont="1" applyAlignment="1">
      <alignment horizontal="center" vertical="center"/>
    </xf>
    <xf numFmtId="3" fontId="6" fillId="0" borderId="2" xfId="1" applyNumberFormat="1" applyFont="1" applyBorder="1" applyAlignment="1">
      <alignment vertical="center"/>
    </xf>
    <xf numFmtId="3" fontId="6" fillId="0" borderId="2" xfId="1" applyNumberFormat="1" applyFont="1" applyBorder="1" applyAlignment="1">
      <alignment horizontal="left" vertical="center"/>
    </xf>
    <xf numFmtId="3" fontId="6" fillId="0" borderId="1" xfId="1" applyNumberFormat="1" applyFont="1" applyBorder="1" applyAlignment="1">
      <alignment horizontal="center" vertical="center"/>
    </xf>
    <xf numFmtId="3" fontId="6" fillId="0" borderId="4" xfId="1" applyNumberFormat="1" applyFont="1" applyBorder="1" applyAlignment="1">
      <alignment horizontal="center" vertical="center"/>
    </xf>
    <xf numFmtId="3" fontId="6" fillId="0" borderId="0" xfId="1" applyNumberFormat="1" applyFont="1" applyAlignment="1">
      <alignment vertical="center"/>
    </xf>
    <xf numFmtId="3" fontId="6" fillId="0" borderId="0" xfId="1" applyNumberFormat="1" applyFont="1" applyAlignment="1">
      <alignment horizontal="left" vertical="center"/>
    </xf>
    <xf numFmtId="3" fontId="10" fillId="0" borderId="0" xfId="1" applyNumberFormat="1" applyFont="1" applyAlignment="1">
      <alignment vertical="center"/>
    </xf>
    <xf numFmtId="3" fontId="8" fillId="0" borderId="0" xfId="1" applyNumberFormat="1" applyFont="1" applyAlignment="1">
      <alignment wrapText="1"/>
    </xf>
    <xf numFmtId="167" fontId="6" fillId="0" borderId="0" xfId="1" applyNumberFormat="1" applyFont="1" applyAlignment="1">
      <alignment horizontal="left"/>
    </xf>
    <xf numFmtId="9" fontId="6" fillId="0" borderId="0" xfId="3" applyFont="1" applyFill="1" applyBorder="1"/>
    <xf numFmtId="2" fontId="6" fillId="0" borderId="0" xfId="3" applyNumberFormat="1" applyFont="1" applyFill="1" applyBorder="1"/>
    <xf numFmtId="3" fontId="16" fillId="0" borderId="0" xfId="1" applyNumberFormat="1" applyFont="1" applyAlignment="1">
      <alignment vertical="center"/>
    </xf>
    <xf numFmtId="3" fontId="13" fillId="0" borderId="0" xfId="1" applyNumberFormat="1" applyFont="1" applyAlignment="1">
      <alignment vertical="center"/>
    </xf>
    <xf numFmtId="3" fontId="13" fillId="0" borderId="0" xfId="1" applyNumberFormat="1" applyFont="1" applyAlignment="1">
      <alignment horizontal="center" vertical="center"/>
    </xf>
    <xf numFmtId="3" fontId="8" fillId="0" borderId="1" xfId="1" applyNumberFormat="1" applyFont="1" applyBorder="1" applyAlignment="1">
      <alignment vertical="center"/>
    </xf>
    <xf numFmtId="3" fontId="8" fillId="0" borderId="9" xfId="1" applyNumberFormat="1" applyFont="1" applyBorder="1" applyAlignment="1">
      <alignment wrapText="1"/>
    </xf>
    <xf numFmtId="3" fontId="8" fillId="0" borderId="6" xfId="1" applyNumberFormat="1" applyFont="1" applyBorder="1" applyAlignment="1">
      <alignment horizontal="center" vertical="center"/>
    </xf>
    <xf numFmtId="168" fontId="10" fillId="0" borderId="0" xfId="2" applyNumberFormat="1" applyFont="1" applyAlignment="1">
      <alignment horizontal="center" vertical="center"/>
    </xf>
    <xf numFmtId="168" fontId="10" fillId="0" borderId="5" xfId="1" applyNumberFormat="1" applyFont="1" applyBorder="1" applyAlignment="1">
      <alignment horizontal="center" vertical="center"/>
    </xf>
    <xf numFmtId="168" fontId="10" fillId="0" borderId="6" xfId="1" applyNumberFormat="1" applyFont="1" applyBorder="1" applyAlignment="1">
      <alignment horizontal="center" vertical="center"/>
    </xf>
    <xf numFmtId="3" fontId="8" fillId="0" borderId="12" xfId="1" applyNumberFormat="1" applyFont="1" applyBorder="1" applyAlignment="1">
      <alignment wrapText="1"/>
    </xf>
    <xf numFmtId="3" fontId="8" fillId="0" borderId="7" xfId="1" applyNumberFormat="1" applyFont="1" applyBorder="1"/>
    <xf numFmtId="3" fontId="8" fillId="0" borderId="7" xfId="1" applyNumberFormat="1" applyFont="1" applyBorder="1" applyAlignment="1">
      <alignment horizontal="center" vertical="center"/>
    </xf>
    <xf numFmtId="3" fontId="8" fillId="0" borderId="13" xfId="1" applyNumberFormat="1" applyFont="1" applyBorder="1" applyAlignment="1">
      <alignment horizontal="center" vertical="center"/>
    </xf>
    <xf numFmtId="168" fontId="10" fillId="0" borderId="13" xfId="2" applyNumberFormat="1" applyFont="1" applyBorder="1" applyAlignment="1">
      <alignment horizontal="center" vertical="center"/>
    </xf>
    <xf numFmtId="168" fontId="10" fillId="0" borderId="7" xfId="1" applyNumberFormat="1" applyFont="1" applyBorder="1" applyAlignment="1">
      <alignment horizontal="center" vertical="center"/>
    </xf>
    <xf numFmtId="169" fontId="8" fillId="0" borderId="0" xfId="1" applyNumberFormat="1" applyFont="1" applyAlignment="1">
      <alignment horizontal="left"/>
    </xf>
    <xf numFmtId="168" fontId="10" fillId="0" borderId="0" xfId="1" applyNumberFormat="1" applyFont="1" applyAlignment="1">
      <alignment vertical="center"/>
    </xf>
    <xf numFmtId="168" fontId="10" fillId="0" borderId="0" xfId="1" applyNumberFormat="1" applyFont="1" applyAlignment="1">
      <alignment horizontal="center" vertical="center"/>
    </xf>
    <xf numFmtId="3" fontId="16" fillId="0" borderId="0" xfId="1" applyNumberFormat="1" applyFont="1"/>
    <xf numFmtId="3" fontId="8" fillId="0" borderId="0" xfId="1" applyNumberFormat="1" applyFont="1" applyAlignment="1">
      <alignment vertical="center" wrapText="1"/>
    </xf>
    <xf numFmtId="3" fontId="8" fillId="0" borderId="1" xfId="1" applyNumberFormat="1" applyFont="1" applyBorder="1" applyAlignment="1">
      <alignment horizontal="left" vertical="center" wrapText="1"/>
    </xf>
    <xf numFmtId="3" fontId="8" fillId="0" borderId="2" xfId="1" applyNumberFormat="1" applyFont="1" applyBorder="1" applyAlignment="1">
      <alignment vertical="center" wrapText="1"/>
    </xf>
    <xf numFmtId="170" fontId="8" fillId="0" borderId="0" xfId="1" applyNumberFormat="1" applyFont="1"/>
    <xf numFmtId="3" fontId="8" fillId="0" borderId="14" xfId="1" applyNumberFormat="1" applyFont="1" applyBorder="1" applyAlignment="1">
      <alignment wrapText="1"/>
    </xf>
    <xf numFmtId="3" fontId="8" fillId="0" borderId="8" xfId="1" applyNumberFormat="1" applyFont="1" applyBorder="1" applyAlignment="1">
      <alignment horizontal="left"/>
    </xf>
    <xf numFmtId="3" fontId="8" fillId="0" borderId="5" xfId="1" applyNumberFormat="1" applyFont="1" applyBorder="1" applyAlignment="1">
      <alignment horizontal="center" vertical="center"/>
    </xf>
    <xf numFmtId="3" fontId="8" fillId="0" borderId="13" xfId="1" applyNumberFormat="1" applyFont="1" applyBorder="1" applyAlignment="1">
      <alignment horizontal="left"/>
    </xf>
    <xf numFmtId="4" fontId="8" fillId="0" borderId="7" xfId="2" applyNumberFormat="1" applyFont="1" applyBorder="1" applyAlignment="1">
      <alignment horizontal="center" vertical="center"/>
    </xf>
    <xf numFmtId="3" fontId="8" fillId="0" borderId="0" xfId="1" applyNumberFormat="1" applyFont="1" applyAlignment="1">
      <alignment horizontal="left"/>
    </xf>
    <xf numFmtId="3" fontId="10" fillId="0" borderId="6" xfId="2" applyNumberFormat="1" applyFont="1" applyBorder="1" applyAlignment="1">
      <alignment horizontal="center" vertical="center"/>
    </xf>
    <xf numFmtId="3" fontId="8" fillId="0" borderId="0" xfId="0" applyNumberFormat="1" applyFont="1" applyAlignment="1">
      <alignment wrapText="1"/>
    </xf>
    <xf numFmtId="3" fontId="8" fillId="0" borderId="14" xfId="1" applyNumberFormat="1" applyFont="1" applyBorder="1"/>
    <xf numFmtId="3" fontId="8" fillId="0" borderId="14" xfId="1" applyNumberFormat="1" applyFont="1" applyBorder="1" applyAlignment="1">
      <alignment horizontal="center"/>
    </xf>
    <xf numFmtId="3" fontId="6" fillId="0" borderId="15" xfId="1" applyNumberFormat="1" applyFont="1" applyBorder="1" applyAlignment="1">
      <alignment horizontal="center"/>
    </xf>
    <xf numFmtId="3" fontId="10" fillId="0" borderId="8" xfId="1" applyNumberFormat="1" applyFont="1" applyBorder="1" applyAlignment="1">
      <alignment horizontal="center" vertical="center"/>
    </xf>
    <xf numFmtId="3" fontId="10" fillId="0" borderId="15" xfId="1" applyNumberFormat="1" applyFont="1" applyBorder="1" applyAlignment="1">
      <alignment horizontal="center" vertical="center"/>
    </xf>
    <xf numFmtId="3" fontId="8" fillId="0" borderId="0" xfId="1" applyNumberFormat="1" applyFont="1" applyAlignment="1">
      <alignment horizontal="center" vertical="center"/>
    </xf>
    <xf numFmtId="3" fontId="10" fillId="0" borderId="10" xfId="1" applyNumberFormat="1" applyFont="1" applyBorder="1" applyAlignment="1">
      <alignment horizontal="center" vertical="center"/>
    </xf>
    <xf numFmtId="3" fontId="8" fillId="0" borderId="12" xfId="0" applyNumberFormat="1" applyFont="1" applyBorder="1" applyAlignment="1">
      <alignment horizontal="left" wrapText="1"/>
    </xf>
    <xf numFmtId="3" fontId="8" fillId="0" borderId="13" xfId="1" applyNumberFormat="1" applyFont="1" applyBorder="1" applyAlignment="1">
      <alignment horizontal="center"/>
    </xf>
    <xf numFmtId="3" fontId="8" fillId="0" borderId="11" xfId="1" applyNumberFormat="1" applyFont="1" applyBorder="1" applyAlignment="1">
      <alignment horizontal="center"/>
    </xf>
    <xf numFmtId="3" fontId="8" fillId="0" borderId="4" xfId="1" applyNumberFormat="1" applyFont="1" applyBorder="1" applyAlignment="1">
      <alignment horizontal="left"/>
    </xf>
    <xf numFmtId="3" fontId="8" fillId="0" borderId="2" xfId="1" applyNumberFormat="1" applyFont="1" applyBorder="1" applyAlignment="1">
      <alignment horizontal="center"/>
    </xf>
    <xf numFmtId="3" fontId="6" fillId="0" borderId="5" xfId="1" applyNumberFormat="1" applyFont="1" applyBorder="1" applyAlignment="1">
      <alignment horizontal="center"/>
    </xf>
    <xf numFmtId="3" fontId="8" fillId="0" borderId="5" xfId="1" applyNumberFormat="1" applyFont="1" applyBorder="1" applyAlignment="1">
      <alignment horizontal="left"/>
    </xf>
    <xf numFmtId="3" fontId="8" fillId="0" borderId="9" xfId="1" applyNumberFormat="1" applyFont="1" applyBorder="1" applyAlignment="1">
      <alignment horizontal="center"/>
    </xf>
    <xf numFmtId="3" fontId="10" fillId="0" borderId="14" xfId="1" applyNumberFormat="1" applyFont="1" applyBorder="1" applyAlignment="1">
      <alignment horizontal="center" vertical="center"/>
    </xf>
    <xf numFmtId="165" fontId="10" fillId="0" borderId="8" xfId="2" applyNumberFormat="1" applyFont="1" applyBorder="1" applyAlignment="1">
      <alignment horizontal="center" vertical="center"/>
    </xf>
    <xf numFmtId="3" fontId="10" fillId="0" borderId="5" xfId="1" applyNumberFormat="1" applyFont="1" applyBorder="1" applyAlignment="1">
      <alignment horizontal="center"/>
    </xf>
    <xf numFmtId="3" fontId="8" fillId="0" borderId="9" xfId="1" applyNumberFormat="1" applyFont="1" applyBorder="1"/>
    <xf numFmtId="3" fontId="10" fillId="0" borderId="9" xfId="1" applyNumberFormat="1" applyFont="1" applyBorder="1" applyAlignment="1">
      <alignment horizontal="center" vertical="center"/>
    </xf>
    <xf numFmtId="3" fontId="10" fillId="0" borderId="6" xfId="1" applyNumberFormat="1" applyFont="1" applyBorder="1" applyAlignment="1">
      <alignment horizontal="center"/>
    </xf>
    <xf numFmtId="3" fontId="8" fillId="0" borderId="12" xfId="1" applyNumberFormat="1" applyFont="1" applyBorder="1"/>
    <xf numFmtId="3" fontId="8" fillId="0" borderId="12" xfId="1" applyNumberFormat="1" applyFont="1" applyBorder="1" applyAlignment="1">
      <alignment horizontal="center"/>
    </xf>
    <xf numFmtId="165" fontId="10" fillId="0" borderId="12" xfId="1" applyNumberFormat="1" applyFont="1" applyBorder="1" applyAlignment="1">
      <alignment horizontal="center" vertical="center"/>
    </xf>
    <xf numFmtId="165" fontId="10" fillId="0" borderId="13" xfId="1" applyNumberFormat="1" applyFont="1" applyBorder="1" applyAlignment="1">
      <alignment horizontal="center" vertical="center"/>
    </xf>
    <xf numFmtId="3" fontId="10" fillId="0" borderId="13" xfId="1" applyNumberFormat="1" applyFont="1" applyBorder="1" applyAlignment="1">
      <alignment horizontal="center" vertical="center"/>
    </xf>
    <xf numFmtId="3" fontId="10" fillId="0" borderId="7" xfId="1" applyNumberFormat="1" applyFont="1" applyBorder="1" applyAlignment="1">
      <alignment horizontal="center"/>
    </xf>
    <xf numFmtId="3" fontId="8" fillId="0" borderId="4" xfId="1" applyNumberFormat="1" applyFont="1" applyBorder="1"/>
    <xf numFmtId="3" fontId="8" fillId="0" borderId="13" xfId="1" applyNumberFormat="1" applyFont="1" applyBorder="1"/>
    <xf numFmtId="3" fontId="18" fillId="0" borderId="5" xfId="1" applyNumberFormat="1" applyFont="1" applyBorder="1" applyAlignment="1">
      <alignment horizontal="center"/>
    </xf>
    <xf numFmtId="3" fontId="18" fillId="0" borderId="0" xfId="1" applyNumberFormat="1" applyFont="1" applyAlignment="1">
      <alignment horizontal="center"/>
    </xf>
    <xf numFmtId="3" fontId="18" fillId="0" borderId="10" xfId="1" applyNumberFormat="1" applyFont="1" applyBorder="1" applyAlignment="1">
      <alignment horizontal="center"/>
    </xf>
    <xf numFmtId="3" fontId="18" fillId="0" borderId="6" xfId="1" applyNumberFormat="1" applyFont="1" applyBorder="1" applyAlignment="1">
      <alignment horizontal="center"/>
    </xf>
    <xf numFmtId="3" fontId="18" fillId="0" borderId="7" xfId="1" applyNumberFormat="1" applyFont="1" applyBorder="1" applyAlignment="1">
      <alignment horizontal="center"/>
    </xf>
    <xf numFmtId="3" fontId="18" fillId="0" borderId="13" xfId="1" applyNumberFormat="1" applyFont="1" applyBorder="1" applyAlignment="1">
      <alignment horizontal="center"/>
    </xf>
    <xf numFmtId="3" fontId="18" fillId="0" borderId="11" xfId="1" applyNumberFormat="1" applyFont="1" applyBorder="1" applyAlignment="1">
      <alignment horizontal="center"/>
    </xf>
    <xf numFmtId="3" fontId="6" fillId="0" borderId="1" xfId="1" applyNumberFormat="1" applyFont="1" applyBorder="1"/>
    <xf numFmtId="4" fontId="10" fillId="0" borderId="5" xfId="1" applyNumberFormat="1" applyFont="1" applyBorder="1"/>
    <xf numFmtId="171" fontId="8" fillId="0" borderId="5" xfId="1" applyNumberFormat="1" applyFont="1" applyBorder="1" applyAlignment="1">
      <alignment horizontal="center"/>
    </xf>
    <xf numFmtId="4" fontId="10" fillId="0" borderId="6" xfId="1" applyNumberFormat="1" applyFont="1" applyBorder="1"/>
    <xf numFmtId="4" fontId="8" fillId="2" borderId="6" xfId="1" applyNumberFormat="1" applyFont="1" applyFill="1" applyBorder="1"/>
    <xf numFmtId="4" fontId="10" fillId="0" borderId="7" xfId="1" applyNumberFormat="1" applyFont="1" applyBorder="1"/>
    <xf numFmtId="165" fontId="10" fillId="0" borderId="7" xfId="1" applyNumberFormat="1" applyFont="1" applyBorder="1"/>
    <xf numFmtId="3" fontId="8" fillId="3" borderId="14" xfId="1" applyNumberFormat="1" applyFont="1" applyFill="1" applyBorder="1"/>
    <xf numFmtId="3" fontId="8" fillId="3" borderId="8" xfId="1" applyNumberFormat="1" applyFont="1" applyFill="1" applyBorder="1"/>
    <xf numFmtId="3" fontId="8" fillId="3" borderId="5" xfId="1" applyNumberFormat="1" applyFont="1" applyFill="1" applyBorder="1" applyAlignment="1">
      <alignment horizontal="left"/>
    </xf>
    <xf numFmtId="4" fontId="8" fillId="3" borderId="5" xfId="1" applyNumberFormat="1" applyFont="1" applyFill="1" applyBorder="1"/>
    <xf numFmtId="3" fontId="8" fillId="3" borderId="5" xfId="1" applyNumberFormat="1" applyFont="1" applyFill="1" applyBorder="1" applyAlignment="1">
      <alignment horizontal="center"/>
    </xf>
    <xf numFmtId="3" fontId="8" fillId="3" borderId="9" xfId="1" applyNumberFormat="1" applyFont="1" applyFill="1" applyBorder="1"/>
    <xf numFmtId="3" fontId="8" fillId="3" borderId="0" xfId="1" applyNumberFormat="1" applyFont="1" applyFill="1"/>
    <xf numFmtId="3" fontId="8" fillId="3" borderId="6" xfId="1" applyNumberFormat="1" applyFont="1" applyFill="1" applyBorder="1" applyAlignment="1">
      <alignment horizontal="left"/>
    </xf>
    <xf numFmtId="4" fontId="8" fillId="3" borderId="6" xfId="1" applyNumberFormat="1" applyFont="1" applyFill="1" applyBorder="1"/>
    <xf numFmtId="3" fontId="8" fillId="3" borderId="6" xfId="1" applyNumberFormat="1" applyFont="1" applyFill="1" applyBorder="1" applyAlignment="1">
      <alignment horizontal="center"/>
    </xf>
    <xf numFmtId="3" fontId="8" fillId="3" borderId="12" xfId="1" applyNumberFormat="1" applyFont="1" applyFill="1" applyBorder="1"/>
    <xf numFmtId="3" fontId="8" fillId="3" borderId="13" xfId="1" applyNumberFormat="1" applyFont="1" applyFill="1" applyBorder="1"/>
    <xf numFmtId="3" fontId="8" fillId="3" borderId="7" xfId="1" applyNumberFormat="1" applyFont="1" applyFill="1" applyBorder="1" applyAlignment="1">
      <alignment horizontal="left"/>
    </xf>
    <xf numFmtId="4" fontId="8" fillId="3" borderId="7" xfId="1" applyNumberFormat="1" applyFont="1" applyFill="1" applyBorder="1"/>
    <xf numFmtId="3" fontId="8" fillId="3" borderId="7" xfId="1" applyNumberFormat="1" applyFont="1" applyFill="1" applyBorder="1" applyAlignment="1">
      <alignment horizontal="center"/>
    </xf>
    <xf numFmtId="3" fontId="8" fillId="0" borderId="0" xfId="2" applyNumberFormat="1" applyFont="1"/>
    <xf numFmtId="0" fontId="2" fillId="0" borderId="0" xfId="2"/>
    <xf numFmtId="3" fontId="8" fillId="0" borderId="1" xfId="2" applyNumberFormat="1" applyFont="1" applyBorder="1"/>
    <xf numFmtId="3" fontId="8" fillId="0" borderId="8" xfId="2" applyNumberFormat="1" applyFont="1" applyBorder="1" applyAlignment="1">
      <alignment horizontal="left"/>
    </xf>
    <xf numFmtId="3" fontId="8" fillId="0" borderId="2" xfId="2" applyNumberFormat="1" applyFont="1" applyBorder="1" applyAlignment="1">
      <alignment horizontal="center"/>
    </xf>
    <xf numFmtId="3" fontId="6" fillId="0" borderId="5" xfId="2" applyNumberFormat="1" applyFont="1" applyBorder="1" applyAlignment="1">
      <alignment horizontal="center"/>
    </xf>
    <xf numFmtId="3" fontId="8" fillId="0" borderId="14" xfId="2" applyNumberFormat="1" applyFont="1" applyBorder="1"/>
    <xf numFmtId="3" fontId="8" fillId="0" borderId="5" xfId="2" applyNumberFormat="1" applyFont="1" applyBorder="1" applyAlignment="1">
      <alignment horizontal="left"/>
    </xf>
    <xf numFmtId="3" fontId="8" fillId="0" borderId="10" xfId="2" applyNumberFormat="1" applyFont="1" applyBorder="1" applyAlignment="1">
      <alignment horizontal="center"/>
    </xf>
    <xf numFmtId="3" fontId="10" fillId="0" borderId="14" xfId="2" applyNumberFormat="1" applyFont="1" applyBorder="1" applyAlignment="1">
      <alignment horizontal="center" vertical="center"/>
    </xf>
    <xf numFmtId="3" fontId="10" fillId="0" borderId="8" xfId="2" applyNumberFormat="1" applyFont="1" applyBorder="1" applyAlignment="1">
      <alignment horizontal="center" vertical="center"/>
    </xf>
    <xf numFmtId="3" fontId="10" fillId="0" borderId="15" xfId="2" applyNumberFormat="1" applyFont="1" applyBorder="1" applyAlignment="1">
      <alignment horizontal="center" vertical="center"/>
    </xf>
    <xf numFmtId="3" fontId="10" fillId="0" borderId="5" xfId="2" applyNumberFormat="1" applyFont="1" applyBorder="1" applyAlignment="1">
      <alignment horizontal="center"/>
    </xf>
    <xf numFmtId="3" fontId="8" fillId="0" borderId="9" xfId="2" applyNumberFormat="1" applyFont="1" applyBorder="1"/>
    <xf numFmtId="3" fontId="8" fillId="0" borderId="6" xfId="2" applyNumberFormat="1" applyFont="1" applyBorder="1" applyAlignment="1">
      <alignment horizontal="left"/>
    </xf>
    <xf numFmtId="3" fontId="10" fillId="0" borderId="9" xfId="2" applyNumberFormat="1" applyFont="1" applyBorder="1" applyAlignment="1">
      <alignment horizontal="center" vertical="center"/>
    </xf>
    <xf numFmtId="3" fontId="10" fillId="0" borderId="10" xfId="2" applyNumberFormat="1" applyFont="1" applyBorder="1" applyAlignment="1">
      <alignment horizontal="center" vertical="center"/>
    </xf>
    <xf numFmtId="3" fontId="10" fillId="0" borderId="6" xfId="2" applyNumberFormat="1" applyFont="1" applyBorder="1" applyAlignment="1">
      <alignment horizontal="center"/>
    </xf>
    <xf numFmtId="3" fontId="8" fillId="0" borderId="12" xfId="2" applyNumberFormat="1" applyFont="1" applyBorder="1"/>
    <xf numFmtId="3" fontId="8" fillId="0" borderId="7" xfId="2" applyNumberFormat="1" applyFont="1" applyBorder="1" applyAlignment="1">
      <alignment horizontal="left"/>
    </xf>
    <xf numFmtId="3" fontId="8" fillId="0" borderId="11" xfId="2" applyNumberFormat="1" applyFont="1" applyBorder="1" applyAlignment="1">
      <alignment horizontal="center"/>
    </xf>
    <xf numFmtId="3" fontId="10" fillId="0" borderId="12" xfId="2" applyNumberFormat="1" applyFont="1" applyBorder="1" applyAlignment="1">
      <alignment horizontal="center" vertical="center"/>
    </xf>
    <xf numFmtId="3" fontId="10" fillId="0" borderId="13" xfId="2" applyNumberFormat="1" applyFont="1" applyBorder="1" applyAlignment="1">
      <alignment horizontal="center" vertical="center"/>
    </xf>
    <xf numFmtId="3" fontId="10" fillId="0" borderId="11" xfId="2" applyNumberFormat="1" applyFont="1" applyBorder="1" applyAlignment="1">
      <alignment horizontal="center" vertical="center"/>
    </xf>
    <xf numFmtId="3" fontId="10" fillId="0" borderId="7" xfId="2" applyNumberFormat="1" applyFont="1" applyBorder="1" applyAlignment="1">
      <alignment horizontal="center"/>
    </xf>
    <xf numFmtId="3" fontId="8" fillId="0" borderId="0" xfId="0" applyNumberFormat="1" applyFont="1"/>
    <xf numFmtId="3" fontId="8" fillId="0" borderId="4" xfId="2" applyNumberFormat="1" applyFont="1" applyBorder="1"/>
    <xf numFmtId="3" fontId="8" fillId="0" borderId="5" xfId="2" applyNumberFormat="1" applyFont="1" applyBorder="1" applyAlignment="1">
      <alignment horizontal="center"/>
    </xf>
    <xf numFmtId="3" fontId="6" fillId="0" borderId="2" xfId="2" applyNumberFormat="1" applyFont="1" applyBorder="1" applyAlignment="1">
      <alignment horizontal="center"/>
    </xf>
    <xf numFmtId="3" fontId="8" fillId="0" borderId="5" xfId="2" applyNumberFormat="1" applyFont="1" applyBorder="1"/>
    <xf numFmtId="3" fontId="8" fillId="3" borderId="14" xfId="2" applyNumberFormat="1" applyFont="1" applyFill="1" applyBorder="1"/>
    <xf numFmtId="3" fontId="8" fillId="3" borderId="8" xfId="2" applyNumberFormat="1" applyFont="1" applyFill="1" applyBorder="1"/>
    <xf numFmtId="3" fontId="8" fillId="3" borderId="5" xfId="2" applyNumberFormat="1" applyFont="1" applyFill="1" applyBorder="1" applyAlignment="1">
      <alignment horizontal="center"/>
    </xf>
    <xf numFmtId="4" fontId="8" fillId="3" borderId="5" xfId="2" applyNumberFormat="1" applyFont="1" applyFill="1" applyBorder="1"/>
    <xf numFmtId="3" fontId="8" fillId="3" borderId="9" xfId="2" applyNumberFormat="1" applyFont="1" applyFill="1" applyBorder="1"/>
    <xf numFmtId="3" fontId="8" fillId="3" borderId="0" xfId="2" applyNumberFormat="1" applyFont="1" applyFill="1"/>
    <xf numFmtId="3" fontId="8" fillId="3" borderId="6" xfId="2" applyNumberFormat="1" applyFont="1" applyFill="1" applyBorder="1" applyAlignment="1">
      <alignment horizontal="center"/>
    </xf>
    <xf numFmtId="4" fontId="8" fillId="3" borderId="6" xfId="2" applyNumberFormat="1" applyFont="1" applyFill="1" applyBorder="1"/>
    <xf numFmtId="3" fontId="8" fillId="3" borderId="12" xfId="2" applyNumberFormat="1" applyFont="1" applyFill="1" applyBorder="1"/>
    <xf numFmtId="3" fontId="8" fillId="3" borderId="13" xfId="2" applyNumberFormat="1" applyFont="1" applyFill="1" applyBorder="1"/>
    <xf numFmtId="3" fontId="8" fillId="3" borderId="7" xfId="2" applyNumberFormat="1" applyFont="1" applyFill="1" applyBorder="1" applyAlignment="1">
      <alignment horizontal="center"/>
    </xf>
    <xf numFmtId="4" fontId="8" fillId="3" borderId="7" xfId="2" applyNumberFormat="1" applyFont="1" applyFill="1" applyBorder="1"/>
    <xf numFmtId="3" fontId="6" fillId="0" borderId="0" xfId="2" applyNumberFormat="1" applyFont="1"/>
    <xf numFmtId="14" fontId="6" fillId="0" borderId="8" xfId="1" applyNumberFormat="1" applyFont="1" applyBorder="1" applyAlignment="1">
      <alignment horizontal="center"/>
    </xf>
    <xf numFmtId="14" fontId="6" fillId="0" borderId="15" xfId="1" applyNumberFormat="1" applyFont="1" applyBorder="1" applyAlignment="1">
      <alignment horizontal="center"/>
    </xf>
    <xf numFmtId="3" fontId="8" fillId="0" borderId="0" xfId="2" applyNumberFormat="1" applyFont="1" applyAlignment="1">
      <alignment horizontal="center"/>
    </xf>
    <xf numFmtId="3" fontId="18" fillId="0" borderId="14" xfId="2" applyNumberFormat="1" applyFont="1" applyBorder="1" applyAlignment="1">
      <alignment horizontal="center"/>
    </xf>
    <xf numFmtId="3" fontId="18" fillId="0" borderId="8" xfId="2" applyNumberFormat="1" applyFont="1" applyBorder="1" applyAlignment="1">
      <alignment horizontal="center"/>
    </xf>
    <xf numFmtId="3" fontId="18" fillId="0" borderId="15" xfId="2" applyNumberFormat="1" applyFont="1" applyBorder="1" applyAlignment="1">
      <alignment horizontal="center"/>
    </xf>
    <xf numFmtId="3" fontId="18" fillId="0" borderId="9" xfId="2" applyNumberFormat="1" applyFont="1" applyBorder="1" applyAlignment="1">
      <alignment horizontal="center"/>
    </xf>
    <xf numFmtId="3" fontId="18" fillId="0" borderId="0" xfId="2" applyNumberFormat="1" applyFont="1" applyAlignment="1">
      <alignment horizontal="center"/>
    </xf>
    <xf numFmtId="3" fontId="18" fillId="0" borderId="10" xfId="2" applyNumberFormat="1" applyFont="1" applyBorder="1" applyAlignment="1">
      <alignment horizontal="center"/>
    </xf>
    <xf numFmtId="3" fontId="8" fillId="0" borderId="13" xfId="2" applyNumberFormat="1" applyFont="1" applyBorder="1" applyAlignment="1">
      <alignment horizontal="center"/>
    </xf>
    <xf numFmtId="3" fontId="18" fillId="0" borderId="12" xfId="2" applyNumberFormat="1" applyFont="1" applyBorder="1" applyAlignment="1">
      <alignment horizontal="center"/>
    </xf>
    <xf numFmtId="3" fontId="18" fillId="0" borderId="13" xfId="2" applyNumberFormat="1" applyFont="1" applyBorder="1" applyAlignment="1">
      <alignment horizontal="center"/>
    </xf>
    <xf numFmtId="3" fontId="18" fillId="0" borderId="11" xfId="2" applyNumberFormat="1" applyFont="1" applyBorder="1" applyAlignment="1">
      <alignment horizontal="center"/>
    </xf>
    <xf numFmtId="164" fontId="6" fillId="0" borderId="0" xfId="4" applyFont="1" applyAlignment="1">
      <alignment horizontal="left"/>
    </xf>
    <xf numFmtId="164" fontId="2" fillId="0" borderId="0" xfId="4" applyFont="1"/>
    <xf numFmtId="0" fontId="23" fillId="0" borderId="0" xfId="0" applyFont="1" applyAlignment="1">
      <alignment horizontal="center"/>
    </xf>
    <xf numFmtId="0" fontId="23"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24" fillId="0" borderId="0" xfId="0" applyFont="1"/>
    <xf numFmtId="0" fontId="25" fillId="0" borderId="0" xfId="0" applyFont="1"/>
    <xf numFmtId="0" fontId="26" fillId="0" borderId="0" xfId="0" applyFont="1"/>
    <xf numFmtId="0" fontId="25" fillId="0" borderId="2" xfId="0" applyFont="1" applyBorder="1" applyAlignment="1">
      <alignment horizontal="center"/>
    </xf>
    <xf numFmtId="0" fontId="2" fillId="0" borderId="14" xfId="0" applyFont="1" applyBorder="1" applyAlignment="1">
      <alignment horizontal="left" vertical="center" wrapText="1"/>
    </xf>
    <xf numFmtId="0" fontId="2" fillId="0" borderId="5" xfId="0" applyFont="1" applyBorder="1" applyAlignment="1">
      <alignment horizontal="center" vertical="center" wrapText="1"/>
    </xf>
    <xf numFmtId="172" fontId="2" fillId="0" borderId="15" xfId="0" applyNumberFormat="1" applyFont="1" applyBorder="1" applyAlignment="1">
      <alignment horizontal="center"/>
    </xf>
    <xf numFmtId="0" fontId="2" fillId="0" borderId="9" xfId="0" applyFont="1" applyBorder="1" applyAlignment="1">
      <alignment horizontal="left" vertical="center" wrapText="1"/>
    </xf>
    <xf numFmtId="0" fontId="2" fillId="0" borderId="6" xfId="0" applyFont="1" applyBorder="1" applyAlignment="1">
      <alignment horizontal="center" vertical="center" wrapText="1"/>
    </xf>
    <xf numFmtId="172" fontId="2" fillId="0" borderId="10" xfId="0" applyNumberFormat="1" applyFont="1" applyBorder="1" applyAlignment="1">
      <alignment horizontal="center"/>
    </xf>
    <xf numFmtId="0" fontId="2" fillId="0" borderId="12" xfId="0" applyFont="1" applyBorder="1" applyAlignment="1">
      <alignment horizontal="left" vertical="center" wrapText="1"/>
    </xf>
    <xf numFmtId="0" fontId="2" fillId="0" borderId="7" xfId="0" applyFont="1" applyBorder="1" applyAlignment="1">
      <alignment horizontal="center" vertical="center" wrapText="1"/>
    </xf>
    <xf numFmtId="172" fontId="2" fillId="0" borderId="11" xfId="0" applyNumberFormat="1" applyFont="1" applyBorder="1" applyAlignment="1">
      <alignment horizontal="center"/>
    </xf>
    <xf numFmtId="0" fontId="28" fillId="0" borderId="0" xfId="0" applyFont="1"/>
    <xf numFmtId="0" fontId="29" fillId="0" borderId="0" xfId="0" applyFont="1"/>
    <xf numFmtId="0" fontId="25" fillId="0" borderId="2" xfId="0" applyFont="1" applyBorder="1" applyAlignment="1">
      <alignment vertical="center" wrapText="1"/>
    </xf>
    <xf numFmtId="0" fontId="2" fillId="0" borderId="2" xfId="0" applyFont="1" applyBorder="1" applyAlignment="1">
      <alignment horizontal="center" vertical="center" wrapText="1"/>
    </xf>
    <xf numFmtId="0" fontId="25" fillId="0" borderId="2" xfId="0" applyFont="1" applyBorder="1" applyAlignment="1">
      <alignment horizontal="center" vertical="center" wrapText="1"/>
    </xf>
    <xf numFmtId="172" fontId="25" fillId="0" borderId="2" xfId="0" applyNumberFormat="1" applyFont="1" applyBorder="1" applyAlignment="1">
      <alignment horizontal="center" vertical="center"/>
    </xf>
    <xf numFmtId="0" fontId="26" fillId="0" borderId="0" xfId="0" applyFont="1" applyAlignment="1">
      <alignment vertical="center"/>
    </xf>
    <xf numFmtId="0" fontId="23" fillId="0" borderId="0" xfId="0" applyFont="1" applyAlignment="1">
      <alignment vertical="center"/>
    </xf>
    <xf numFmtId="0" fontId="2" fillId="0" borderId="14" xfId="0" applyFont="1" applyBorder="1" applyAlignment="1">
      <alignment horizontal="center" vertical="center" wrapText="1"/>
    </xf>
    <xf numFmtId="173" fontId="2" fillId="0" borderId="5" xfId="0" applyNumberFormat="1" applyFont="1" applyBorder="1" applyAlignment="1">
      <alignment horizontal="center" vertical="center" wrapText="1"/>
    </xf>
    <xf numFmtId="173" fontId="2" fillId="0" borderId="6" xfId="0" applyNumberFormat="1" applyFont="1" applyBorder="1" applyAlignment="1">
      <alignment horizontal="center" vertical="center" wrapText="1"/>
    </xf>
    <xf numFmtId="9" fontId="2" fillId="0" borderId="6" xfId="0" applyNumberFormat="1" applyFont="1" applyBorder="1" applyAlignment="1">
      <alignment horizontal="center" vertical="center" wrapText="1"/>
    </xf>
    <xf numFmtId="0" fontId="2" fillId="0" borderId="12" xfId="0" applyFont="1" applyBorder="1" applyAlignment="1">
      <alignment horizontal="center" vertical="center" wrapText="1"/>
    </xf>
    <xf numFmtId="9" fontId="2" fillId="0" borderId="7" xfId="0" applyNumberFormat="1" applyFont="1" applyBorder="1" applyAlignment="1">
      <alignment horizontal="center" vertical="center" wrapText="1"/>
    </xf>
    <xf numFmtId="0" fontId="28" fillId="0" borderId="0" xfId="0" applyFont="1" applyAlignment="1">
      <alignment vertical="center"/>
    </xf>
    <xf numFmtId="0" fontId="25" fillId="0" borderId="2" xfId="0" applyFont="1" applyBorder="1" applyAlignment="1">
      <alignment horizontal="left" vertical="center" wrapText="1"/>
    </xf>
    <xf numFmtId="173" fontId="25" fillId="0" borderId="2" xfId="0" applyNumberFormat="1" applyFont="1" applyBorder="1" applyAlignment="1">
      <alignment horizontal="center" vertical="center" wrapText="1"/>
    </xf>
    <xf numFmtId="172" fontId="2" fillId="0" borderId="5" xfId="0" applyNumberFormat="1" applyFont="1" applyBorder="1" applyAlignment="1">
      <alignment horizontal="center" vertical="center"/>
    </xf>
    <xf numFmtId="172" fontId="2" fillId="0" borderId="7" xfId="0" applyNumberFormat="1" applyFont="1" applyBorder="1" applyAlignment="1">
      <alignment horizontal="center" vertical="center"/>
    </xf>
    <xf numFmtId="3" fontId="25" fillId="0" borderId="1" xfId="0" applyNumberFormat="1" applyFont="1" applyBorder="1"/>
    <xf numFmtId="3" fontId="2" fillId="0" borderId="5" xfId="0" applyNumberFormat="1" applyFont="1" applyBorder="1" applyAlignment="1">
      <alignment horizontal="center"/>
    </xf>
    <xf numFmtId="3" fontId="25" fillId="0" borderId="2" xfId="0" applyNumberFormat="1" applyFont="1" applyBorder="1" applyAlignment="1">
      <alignment horizontal="center"/>
    </xf>
    <xf numFmtId="174" fontId="25" fillId="0" borderId="3" xfId="0" applyNumberFormat="1" applyFont="1" applyBorder="1" applyAlignment="1">
      <alignment horizontal="center"/>
    </xf>
    <xf numFmtId="175" fontId="2" fillId="0" borderId="0" xfId="0" applyNumberFormat="1" applyFont="1"/>
    <xf numFmtId="0" fontId="25" fillId="0" borderId="0" xfId="0" applyFont="1" applyAlignment="1">
      <alignment horizontal="left"/>
    </xf>
    <xf numFmtId="3" fontId="23" fillId="0" borderId="0" xfId="0" applyNumberFormat="1" applyFont="1"/>
    <xf numFmtId="3" fontId="2" fillId="0" borderId="0" xfId="0" applyNumberFormat="1" applyFont="1" applyAlignment="1">
      <alignment horizontal="center"/>
    </xf>
    <xf numFmtId="3" fontId="2" fillId="0" borderId="0" xfId="0" applyNumberFormat="1" applyFont="1"/>
    <xf numFmtId="3" fontId="25" fillId="0" borderId="2" xfId="0" applyNumberFormat="1" applyFont="1" applyBorder="1"/>
    <xf numFmtId="3" fontId="2" fillId="0" borderId="2" xfId="0" applyNumberFormat="1" applyFont="1" applyBorder="1" applyAlignment="1">
      <alignment horizontal="center"/>
    </xf>
    <xf numFmtId="3" fontId="26" fillId="0" borderId="6" xfId="0" applyNumberFormat="1" applyFont="1" applyBorder="1"/>
    <xf numFmtId="3" fontId="2" fillId="0" borderId="6" xfId="0" applyNumberFormat="1" applyFont="1" applyBorder="1" applyAlignment="1">
      <alignment horizontal="center"/>
    </xf>
    <xf numFmtId="3" fontId="8" fillId="0" borderId="5" xfId="0" applyNumberFormat="1" applyFont="1" applyBorder="1"/>
    <xf numFmtId="3" fontId="8" fillId="0" borderId="6" xfId="0" applyNumberFormat="1" applyFont="1" applyBorder="1"/>
    <xf numFmtId="3" fontId="8" fillId="0" borderId="7" xfId="0" applyNumberFormat="1" applyFont="1" applyBorder="1"/>
    <xf numFmtId="3" fontId="2" fillId="0" borderId="7" xfId="0" applyNumberFormat="1" applyFont="1" applyBorder="1" applyAlignment="1">
      <alignment horizontal="center"/>
    </xf>
    <xf numFmtId="0" fontId="2" fillId="0" borderId="0" xfId="0" applyFont="1" applyAlignment="1">
      <alignment horizontal="left" vertical="center"/>
    </xf>
    <xf numFmtId="3" fontId="8" fillId="0" borderId="5" xfId="0" applyNumberFormat="1" applyFont="1" applyBorder="1" applyAlignment="1">
      <alignment horizontal="center"/>
    </xf>
    <xf numFmtId="3" fontId="2" fillId="0" borderId="15" xfId="0" applyNumberFormat="1" applyFont="1" applyBorder="1" applyAlignment="1">
      <alignment horizontal="center"/>
    </xf>
    <xf numFmtId="3" fontId="8" fillId="0" borderId="6" xfId="0" applyNumberFormat="1" applyFont="1" applyBorder="1" applyAlignment="1">
      <alignment horizontal="center"/>
    </xf>
    <xf numFmtId="3" fontId="2" fillId="0" borderId="10" xfId="0" applyNumberFormat="1" applyFont="1" applyBorder="1" applyAlignment="1">
      <alignment horizontal="center"/>
    </xf>
    <xf numFmtId="3" fontId="8" fillId="0" borderId="7" xfId="0" applyNumberFormat="1" applyFont="1" applyBorder="1" applyAlignment="1">
      <alignment horizontal="center"/>
    </xf>
    <xf numFmtId="0" fontId="25" fillId="0" borderId="2" xfId="0" applyFont="1" applyBorder="1" applyAlignment="1">
      <alignment horizontal="left" vertical="center"/>
    </xf>
    <xf numFmtId="3" fontId="25" fillId="0" borderId="3" xfId="0" applyNumberFormat="1" applyFont="1" applyBorder="1" applyAlignment="1">
      <alignment horizontal="center"/>
    </xf>
    <xf numFmtId="3" fontId="2" fillId="0" borderId="7" xfId="0" applyNumberFormat="1" applyFont="1" applyBorder="1"/>
    <xf numFmtId="9" fontId="2" fillId="0" borderId="11" xfId="0" applyNumberFormat="1" applyFont="1" applyBorder="1" applyAlignment="1">
      <alignment horizontal="center"/>
    </xf>
    <xf numFmtId="3" fontId="26" fillId="0" borderId="0" xfId="0" applyNumberFormat="1" applyFont="1"/>
    <xf numFmtId="3" fontId="2" fillId="0" borderId="2"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5" fillId="0" borderId="3" xfId="0" applyNumberFormat="1" applyFont="1" applyBorder="1" applyAlignment="1">
      <alignment horizontal="center" vertical="center"/>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3" fontId="2" fillId="0" borderId="6" xfId="0" applyNumberFormat="1" applyFont="1" applyBorder="1" applyAlignment="1">
      <alignment horizontal="center" vertical="center"/>
    </xf>
    <xf numFmtId="0" fontId="2" fillId="0" borderId="7" xfId="0" applyFont="1" applyBorder="1" applyAlignment="1">
      <alignment horizontal="left" vertical="top" wrapText="1"/>
    </xf>
    <xf numFmtId="3" fontId="2" fillId="0" borderId="7" xfId="0" applyNumberFormat="1" applyFont="1" applyBorder="1" applyAlignment="1">
      <alignment horizontal="center" vertical="center"/>
    </xf>
    <xf numFmtId="0" fontId="2" fillId="0" borderId="6" xfId="0" applyFont="1" applyBorder="1" applyAlignment="1">
      <alignment horizontal="justify" vertical="center" wrapText="1"/>
    </xf>
    <xf numFmtId="0" fontId="2" fillId="0" borderId="6" xfId="0" applyFont="1" applyBorder="1" applyAlignment="1">
      <alignment horizontal="center" vertical="top" wrapText="1"/>
    </xf>
    <xf numFmtId="4" fontId="2" fillId="0" borderId="6" xfId="0" applyNumberFormat="1" applyFont="1" applyBorder="1" applyAlignment="1">
      <alignment horizontal="center" vertical="center"/>
    </xf>
    <xf numFmtId="3" fontId="2" fillId="0" borderId="6" xfId="0" applyNumberFormat="1" applyFont="1" applyBorder="1" applyAlignment="1">
      <alignment horizontal="left" vertical="top" wrapText="1"/>
    </xf>
    <xf numFmtId="0" fontId="2" fillId="0" borderId="6" xfId="0" applyFont="1" applyBorder="1" applyAlignment="1">
      <alignment horizontal="center"/>
    </xf>
    <xf numFmtId="3" fontId="2" fillId="0" borderId="7" xfId="0" applyNumberFormat="1" applyFont="1" applyBorder="1" applyAlignment="1">
      <alignment horizontal="left" vertical="top" wrapText="1"/>
    </xf>
    <xf numFmtId="3" fontId="2" fillId="0" borderId="0" xfId="0" applyNumberFormat="1" applyFont="1" applyAlignment="1">
      <alignment horizontal="left" vertical="center"/>
    </xf>
    <xf numFmtId="0" fontId="2" fillId="0" borderId="14" xfId="0" applyFont="1" applyBorder="1" applyAlignment="1">
      <alignment horizontal="left" vertical="center"/>
    </xf>
    <xf numFmtId="3" fontId="2" fillId="0" borderId="14" xfId="0" applyNumberFormat="1" applyFont="1" applyBorder="1" applyAlignment="1">
      <alignment horizontal="center"/>
    </xf>
    <xf numFmtId="3" fontId="2" fillId="0" borderId="5" xfId="5" applyNumberFormat="1" applyFont="1" applyBorder="1" applyAlignment="1" applyProtection="1">
      <alignment horizontal="center"/>
      <protection locked="0"/>
    </xf>
    <xf numFmtId="0" fontId="2" fillId="0" borderId="9" xfId="0" applyFont="1" applyBorder="1" applyAlignment="1">
      <alignment horizontal="left" vertical="center"/>
    </xf>
    <xf numFmtId="3" fontId="2" fillId="0" borderId="9" xfId="0" applyNumberFormat="1" applyFont="1" applyBorder="1" applyAlignment="1">
      <alignment horizontal="center"/>
    </xf>
    <xf numFmtId="3" fontId="2" fillId="0" borderId="6" xfId="5" applyNumberFormat="1" applyFont="1" applyBorder="1" applyAlignment="1" applyProtection="1">
      <alignment horizontal="center"/>
      <protection locked="0"/>
    </xf>
    <xf numFmtId="3" fontId="25" fillId="0" borderId="10" xfId="0" applyNumberFormat="1" applyFont="1" applyBorder="1" applyAlignment="1">
      <alignment horizontal="center"/>
    </xf>
    <xf numFmtId="3" fontId="2" fillId="0" borderId="9" xfId="0" applyNumberFormat="1" applyFont="1" applyBorder="1" applyAlignment="1">
      <alignment horizontal="left"/>
    </xf>
    <xf numFmtId="3" fontId="2" fillId="0" borderId="7" xfId="5" applyNumberFormat="1" applyFont="1" applyBorder="1" applyAlignment="1" applyProtection="1">
      <alignment horizontal="center"/>
      <protection locked="0"/>
    </xf>
    <xf numFmtId="3" fontId="25" fillId="0" borderId="1" xfId="0" applyNumberFormat="1" applyFont="1" applyBorder="1" applyAlignment="1">
      <alignment horizontal="left"/>
    </xf>
    <xf numFmtId="3" fontId="25" fillId="0" borderId="1" xfId="0" applyNumberFormat="1" applyFont="1" applyBorder="1" applyAlignment="1">
      <alignment horizontal="center"/>
    </xf>
    <xf numFmtId="3" fontId="25" fillId="0" borderId="7" xfId="5" applyNumberFormat="1" applyFont="1" applyBorder="1" applyAlignment="1" applyProtection="1">
      <alignment horizontal="center"/>
      <protection locked="0"/>
    </xf>
    <xf numFmtId="3" fontId="29" fillId="0" borderId="0" xfId="0" applyNumberFormat="1" applyFont="1" applyAlignment="1">
      <alignment horizontal="left"/>
    </xf>
    <xf numFmtId="177" fontId="2" fillId="0" borderId="0" xfId="0" applyNumberFormat="1" applyFont="1"/>
    <xf numFmtId="3" fontId="2" fillId="0" borderId="0" xfId="0" applyNumberFormat="1" applyFont="1" applyAlignment="1">
      <alignment horizontal="left"/>
    </xf>
    <xf numFmtId="3" fontId="2" fillId="0" borderId="9" xfId="0" applyNumberFormat="1" applyFont="1" applyBorder="1"/>
    <xf numFmtId="3" fontId="2" fillId="0" borderId="15" xfId="5" applyNumberFormat="1" applyFont="1" applyBorder="1" applyAlignment="1" applyProtection="1">
      <alignment horizontal="center"/>
      <protection locked="0"/>
    </xf>
    <xf numFmtId="3" fontId="2" fillId="0" borderId="10" xfId="5" applyNumberFormat="1" applyFont="1" applyBorder="1" applyAlignment="1" applyProtection="1">
      <alignment horizontal="center"/>
      <protection locked="0"/>
    </xf>
    <xf numFmtId="3" fontId="2" fillId="0" borderId="11" xfId="0" applyNumberFormat="1" applyFont="1" applyBorder="1" applyAlignment="1">
      <alignment horizontal="center"/>
    </xf>
    <xf numFmtId="0" fontId="23" fillId="0" borderId="0" xfId="0" applyFont="1"/>
    <xf numFmtId="0" fontId="2" fillId="0" borderId="5" xfId="0" applyFont="1" applyBorder="1" applyAlignment="1">
      <alignment horizontal="center"/>
    </xf>
    <xf numFmtId="178" fontId="2" fillId="0" borderId="15" xfId="0" applyNumberFormat="1" applyFont="1" applyBorder="1" applyAlignment="1">
      <alignment horizontal="center"/>
    </xf>
    <xf numFmtId="179" fontId="2" fillId="0" borderId="10" xfId="0" applyNumberFormat="1" applyFont="1" applyBorder="1" applyAlignment="1">
      <alignment horizontal="center" vertical="top" wrapText="1"/>
    </xf>
    <xf numFmtId="0" fontId="2" fillId="0" borderId="7" xfId="0" applyFont="1" applyBorder="1" applyAlignment="1">
      <alignment horizontal="center"/>
    </xf>
    <xf numFmtId="180" fontId="2" fillId="0" borderId="11" xfId="0" applyNumberFormat="1" applyFont="1" applyBorder="1" applyAlignment="1">
      <alignment horizontal="center" vertical="top" wrapText="1"/>
    </xf>
    <xf numFmtId="0" fontId="23" fillId="0" borderId="1" xfId="0" applyFont="1" applyBorder="1" applyAlignment="1">
      <alignment horizontal="left" vertical="top" wrapText="1"/>
    </xf>
    <xf numFmtId="0" fontId="2" fillId="0" borderId="2" xfId="0" applyFont="1" applyBorder="1" applyAlignment="1">
      <alignment horizontal="center"/>
    </xf>
    <xf numFmtId="182" fontId="25" fillId="0" borderId="2" xfId="0" applyNumberFormat="1" applyFont="1" applyBorder="1" applyAlignment="1">
      <alignment horizontal="center" vertical="top" wrapText="1"/>
    </xf>
    <xf numFmtId="183" fontId="2" fillId="0" borderId="0" xfId="0" applyNumberFormat="1" applyFont="1"/>
    <xf numFmtId="0" fontId="2" fillId="0" borderId="5" xfId="0" applyFont="1" applyBorder="1" applyAlignment="1">
      <alignment vertical="top" wrapText="1"/>
    </xf>
    <xf numFmtId="0" fontId="2" fillId="0" borderId="5" xfId="0" applyFont="1" applyBorder="1" applyAlignment="1">
      <alignment horizontal="left"/>
    </xf>
    <xf numFmtId="178" fontId="2" fillId="0" borderId="5" xfId="0" applyNumberFormat="1" applyFont="1" applyBorder="1" applyAlignment="1">
      <alignment horizontal="center"/>
    </xf>
    <xf numFmtId="0" fontId="2" fillId="0" borderId="6" xfId="0" applyFont="1" applyBorder="1" applyAlignment="1">
      <alignment vertical="top" wrapText="1"/>
    </xf>
    <xf numFmtId="0" fontId="2" fillId="0" borderId="6" xfId="0" applyFont="1" applyBorder="1" applyAlignment="1">
      <alignment horizontal="left"/>
    </xf>
    <xf numFmtId="179" fontId="2" fillId="0" borderId="6" xfId="0" applyNumberFormat="1"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horizontal="left"/>
    </xf>
    <xf numFmtId="180" fontId="2" fillId="0" borderId="7" xfId="0" applyNumberFormat="1" applyFont="1" applyBorder="1" applyAlignment="1">
      <alignment horizontal="center" vertical="top" wrapText="1"/>
    </xf>
    <xf numFmtId="0" fontId="25" fillId="0" borderId="2" xfId="0" applyFont="1" applyBorder="1" applyAlignment="1">
      <alignment vertical="top" wrapText="1"/>
    </xf>
    <xf numFmtId="0" fontId="2" fillId="0" borderId="2" xfId="0" applyFont="1" applyBorder="1" applyAlignment="1">
      <alignment horizontal="center" vertical="top" wrapText="1"/>
    </xf>
    <xf numFmtId="182" fontId="25" fillId="0" borderId="3" xfId="0" applyNumberFormat="1" applyFont="1" applyBorder="1" applyAlignment="1">
      <alignment horizontal="center" vertical="top" wrapText="1"/>
    </xf>
    <xf numFmtId="184" fontId="2" fillId="0" borderId="0" xfId="0" applyNumberFormat="1" applyFont="1"/>
    <xf numFmtId="0" fontId="2" fillId="0" borderId="14" xfId="0" applyFont="1" applyBorder="1" applyAlignment="1">
      <alignment horizontal="left" vertical="top" wrapText="1"/>
    </xf>
    <xf numFmtId="0" fontId="2" fillId="0" borderId="9" xfId="0" applyFont="1" applyBorder="1" applyAlignment="1">
      <alignment vertical="top" wrapText="1"/>
    </xf>
    <xf numFmtId="0" fontId="2" fillId="0" borderId="12" xfId="0" applyFont="1" applyBorder="1" applyAlignment="1">
      <alignment vertical="top" wrapText="1"/>
    </xf>
    <xf numFmtId="0" fontId="2" fillId="0" borderId="1" xfId="0" applyFont="1" applyBorder="1" applyAlignment="1">
      <alignment horizontal="center" vertical="top" wrapText="1"/>
    </xf>
    <xf numFmtId="0" fontId="25" fillId="0" borderId="1" xfId="0" applyFont="1" applyBorder="1" applyAlignment="1">
      <alignment horizontal="center" vertical="top" wrapText="1"/>
    </xf>
    <xf numFmtId="0" fontId="2" fillId="0" borderId="2" xfId="0" applyFont="1" applyBorder="1" applyAlignment="1">
      <alignment horizontal="left"/>
    </xf>
    <xf numFmtId="0" fontId="2" fillId="0" borderId="14" xfId="0" applyFont="1" applyBorder="1"/>
    <xf numFmtId="182" fontId="2" fillId="0" borderId="15" xfId="0" applyNumberFormat="1" applyFont="1" applyBorder="1" applyAlignment="1">
      <alignment horizontal="center" vertical="top" wrapText="1"/>
    </xf>
    <xf numFmtId="0" fontId="2" fillId="0" borderId="9" xfId="0" applyFont="1" applyBorder="1"/>
    <xf numFmtId="182" fontId="2" fillId="0" borderId="10" xfId="0" applyNumberFormat="1" applyFont="1" applyBorder="1" applyAlignment="1">
      <alignment horizontal="center" vertical="top" wrapText="1"/>
    </xf>
    <xf numFmtId="0" fontId="2" fillId="0" borderId="12" xfId="0" applyFont="1" applyBorder="1"/>
    <xf numFmtId="182" fontId="2" fillId="0" borderId="11" xfId="0" applyNumberFormat="1" applyFont="1" applyBorder="1" applyAlignment="1">
      <alignment horizontal="center" vertical="top" wrapText="1"/>
    </xf>
    <xf numFmtId="0" fontId="25" fillId="0" borderId="1" xfId="0" applyFont="1" applyBorder="1"/>
    <xf numFmtId="0" fontId="2" fillId="0" borderId="14" xfId="0" applyFont="1" applyBorder="1" applyAlignment="1">
      <alignment vertical="top" wrapText="1"/>
    </xf>
    <xf numFmtId="172" fontId="2" fillId="0" borderId="15" xfId="0" applyNumberFormat="1" applyFont="1" applyBorder="1" applyAlignment="1">
      <alignment horizontal="center" vertical="center"/>
    </xf>
    <xf numFmtId="173" fontId="2" fillId="0" borderId="11" xfId="0" applyNumberFormat="1" applyFont="1" applyBorder="1" applyAlignment="1">
      <alignment horizontal="center"/>
    </xf>
    <xf numFmtId="0" fontId="25" fillId="0" borderId="2" xfId="0" applyFont="1" applyBorder="1" applyAlignment="1">
      <alignment horizontal="left" vertical="top" wrapText="1"/>
    </xf>
    <xf numFmtId="0" fontId="2" fillId="0" borderId="1"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vertical="center" wrapText="1"/>
    </xf>
    <xf numFmtId="0" fontId="2" fillId="0" borderId="6" xfId="0" applyFont="1" applyBorder="1" applyAlignment="1">
      <alignment horizontal="center" vertical="center"/>
    </xf>
    <xf numFmtId="3" fontId="2" fillId="0" borderId="10" xfId="0" applyNumberFormat="1"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3" fontId="2" fillId="0" borderId="11" xfId="0" applyNumberFormat="1" applyFont="1" applyBorder="1" applyAlignment="1">
      <alignment horizontal="center" vertical="center" wrapText="1"/>
    </xf>
    <xf numFmtId="0" fontId="33" fillId="0" borderId="0" xfId="0" applyFont="1" applyAlignment="1">
      <alignment vertical="top" wrapText="1"/>
    </xf>
    <xf numFmtId="4" fontId="2" fillId="0" borderId="0" xfId="0" applyNumberFormat="1" applyFont="1" applyAlignment="1">
      <alignment horizontal="left" vertical="top" wrapText="1"/>
    </xf>
    <xf numFmtId="0" fontId="26" fillId="0" borderId="0" xfId="0" applyFont="1" applyAlignment="1">
      <alignment vertical="top" wrapText="1"/>
    </xf>
    <xf numFmtId="0" fontId="35" fillId="0" borderId="14" xfId="0" applyFont="1" applyBorder="1"/>
    <xf numFmtId="185" fontId="2" fillId="0" borderId="10" xfId="0" applyNumberFormat="1" applyFont="1" applyBorder="1" applyAlignment="1">
      <alignment horizontal="center" vertical="top" wrapText="1"/>
    </xf>
    <xf numFmtId="0" fontId="35" fillId="0" borderId="9" xfId="0" applyFont="1" applyBorder="1"/>
    <xf numFmtId="0" fontId="35" fillId="0" borderId="6" xfId="0" applyFont="1" applyBorder="1"/>
    <xf numFmtId="0" fontId="35" fillId="0" borderId="9" xfId="0" applyFont="1" applyBorder="1" applyAlignment="1">
      <alignment horizontal="left" vertical="top" wrapText="1"/>
    </xf>
    <xf numFmtId="3" fontId="2" fillId="0" borderId="9" xfId="0" applyNumberFormat="1" applyFont="1" applyBorder="1" applyAlignment="1">
      <alignment vertical="top" wrapText="1"/>
    </xf>
    <xf numFmtId="187" fontId="2" fillId="0" borderId="10" xfId="0" applyNumberFormat="1" applyFont="1" applyBorder="1" applyAlignment="1">
      <alignment horizontal="center" vertical="top" wrapText="1"/>
    </xf>
    <xf numFmtId="3" fontId="2" fillId="0" borderId="12" xfId="0" applyNumberFormat="1" applyFont="1" applyBorder="1" applyAlignment="1">
      <alignment vertical="top" wrapText="1"/>
    </xf>
    <xf numFmtId="188" fontId="2" fillId="0" borderId="11" xfId="0" applyNumberFormat="1" applyFont="1" applyBorder="1" applyAlignment="1">
      <alignment horizontal="center" vertical="top" wrapText="1"/>
    </xf>
    <xf numFmtId="0" fontId="33" fillId="0" borderId="0" xfId="0" applyFont="1" applyAlignment="1">
      <alignment wrapText="1"/>
    </xf>
    <xf numFmtId="0" fontId="34" fillId="0" borderId="0" xfId="0" applyFont="1" applyAlignment="1">
      <alignment horizontal="left" wrapText="1"/>
    </xf>
    <xf numFmtId="0" fontId="34"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left" vertical="center" wrapText="1"/>
    </xf>
    <xf numFmtId="189" fontId="25" fillId="0" borderId="3" xfId="0" applyNumberFormat="1" applyFont="1" applyBorder="1" applyAlignment="1">
      <alignment horizontal="center" vertical="center" wrapText="1"/>
    </xf>
    <xf numFmtId="190" fontId="2" fillId="0" borderId="0" xfId="0" applyNumberFormat="1" applyFont="1"/>
    <xf numFmtId="0" fontId="26" fillId="0" borderId="2" xfId="0" applyFont="1" applyBorder="1" applyAlignment="1">
      <alignment horizontal="center"/>
    </xf>
    <xf numFmtId="189" fontId="2" fillId="0" borderId="15" xfId="0" applyNumberFormat="1" applyFont="1" applyBorder="1" applyAlignment="1">
      <alignment horizontal="center" vertical="center" wrapText="1"/>
    </xf>
    <xf numFmtId="189" fontId="2" fillId="0" borderId="10" xfId="0" applyNumberFormat="1" applyFont="1" applyBorder="1" applyAlignment="1">
      <alignment horizontal="center" vertical="center" wrapText="1"/>
    </xf>
    <xf numFmtId="0" fontId="2" fillId="0" borderId="7" xfId="0" applyFont="1" applyBorder="1" applyAlignment="1">
      <alignment horizontal="center" vertical="top" wrapText="1"/>
    </xf>
    <xf numFmtId="189" fontId="2" fillId="0" borderId="11" xfId="0" applyNumberFormat="1" applyFont="1" applyBorder="1" applyAlignment="1">
      <alignment horizontal="center" vertical="center" wrapText="1"/>
    </xf>
    <xf numFmtId="191" fontId="2" fillId="0" borderId="0" xfId="0" applyNumberFormat="1" applyFont="1"/>
    <xf numFmtId="3" fontId="37" fillId="0" borderId="0" xfId="0" applyNumberFormat="1" applyFont="1"/>
    <xf numFmtId="3" fontId="2" fillId="0" borderId="2" xfId="0" applyNumberFormat="1" applyFont="1" applyBorder="1"/>
    <xf numFmtId="3" fontId="25" fillId="0" borderId="0" xfId="0" applyNumberFormat="1" applyFont="1"/>
    <xf numFmtId="0" fontId="2" fillId="0" borderId="16" xfId="0" applyFont="1" applyBorder="1"/>
    <xf numFmtId="3" fontId="2" fillId="0" borderId="16" xfId="0" applyNumberFormat="1" applyFont="1" applyBorder="1" applyAlignment="1">
      <alignment horizontal="center"/>
    </xf>
    <xf numFmtId="0" fontId="2" fillId="0" borderId="17" xfId="0" applyFont="1" applyBorder="1"/>
    <xf numFmtId="3" fontId="2" fillId="0" borderId="17" xfId="0" applyNumberFormat="1" applyFont="1" applyBorder="1" applyAlignment="1">
      <alignment horizontal="center"/>
    </xf>
    <xf numFmtId="0" fontId="2" fillId="0" borderId="18" xfId="0" applyFont="1" applyBorder="1"/>
    <xf numFmtId="3" fontId="2" fillId="0" borderId="18" xfId="0" applyNumberFormat="1" applyFont="1" applyBorder="1" applyAlignment="1">
      <alignment horizontal="center"/>
    </xf>
    <xf numFmtId="3" fontId="2" fillId="0" borderId="16" xfId="0" applyNumberFormat="1" applyFont="1" applyBorder="1" applyAlignment="1">
      <alignment wrapText="1"/>
    </xf>
    <xf numFmtId="3" fontId="2" fillId="0" borderId="17" xfId="0" applyNumberFormat="1" applyFont="1" applyBorder="1" applyAlignment="1">
      <alignment wrapText="1"/>
    </xf>
    <xf numFmtId="3" fontId="2" fillId="0" borderId="18" xfId="0" applyNumberFormat="1" applyFont="1" applyBorder="1" applyAlignment="1">
      <alignment wrapText="1"/>
    </xf>
    <xf numFmtId="3" fontId="25" fillId="0" borderId="2" xfId="0" applyNumberFormat="1" applyFont="1" applyBorder="1" applyAlignment="1">
      <alignment wrapText="1"/>
    </xf>
    <xf numFmtId="0" fontId="25" fillId="0" borderId="2" xfId="0" applyFont="1" applyBorder="1"/>
    <xf numFmtId="0" fontId="2" fillId="0" borderId="2" xfId="0" applyFont="1" applyBorder="1"/>
    <xf numFmtId="0" fontId="23" fillId="0" borderId="16" xfId="0" applyFont="1" applyBorder="1"/>
    <xf numFmtId="0" fontId="2" fillId="0" borderId="17" xfId="0" applyFont="1" applyBorder="1" applyAlignment="1">
      <alignment horizontal="left"/>
    </xf>
    <xf numFmtId="0" fontId="23" fillId="0" borderId="17" xfId="0" applyFont="1" applyBorder="1"/>
    <xf numFmtId="0" fontId="2" fillId="0" borderId="17" xfId="0" applyFont="1" applyBorder="1" applyAlignment="1">
      <alignment horizontal="left" indent="1"/>
    </xf>
    <xf numFmtId="3" fontId="25" fillId="0" borderId="22" xfId="0" applyNumberFormat="1" applyFont="1" applyBorder="1" applyAlignment="1">
      <alignment horizontal="center"/>
    </xf>
    <xf numFmtId="3" fontId="25" fillId="0" borderId="23" xfId="0" applyNumberFormat="1" applyFont="1" applyBorder="1" applyAlignment="1">
      <alignment horizontal="center" vertical="center" wrapText="1"/>
    </xf>
    <xf numFmtId="3" fontId="2" fillId="0" borderId="22" xfId="0" applyNumberFormat="1" applyFont="1" applyBorder="1" applyAlignment="1">
      <alignment horizontal="center" vertical="center" wrapText="1"/>
    </xf>
    <xf numFmtId="3" fontId="2" fillId="0" borderId="24"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3" fontId="2" fillId="0" borderId="26"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3" fontId="2" fillId="0" borderId="28" xfId="0" applyNumberFormat="1" applyFont="1" applyBorder="1" applyAlignment="1">
      <alignment horizontal="center" vertical="center" wrapText="1"/>
    </xf>
    <xf numFmtId="3" fontId="25" fillId="0" borderId="0" xfId="0" applyNumberFormat="1" applyFont="1" applyAlignment="1">
      <alignment horizontal="center"/>
    </xf>
    <xf numFmtId="3" fontId="25"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4" fontId="2" fillId="0" borderId="0" xfId="0" applyNumberFormat="1" applyFont="1"/>
    <xf numFmtId="165" fontId="2" fillId="0" borderId="0" xfId="0" applyNumberFormat="1" applyFont="1"/>
    <xf numFmtId="3" fontId="40" fillId="0" borderId="0" xfId="0" applyNumberFormat="1" applyFont="1"/>
    <xf numFmtId="165" fontId="41" fillId="0" borderId="0" xfId="0" applyNumberFormat="1" applyFont="1"/>
    <xf numFmtId="3" fontId="41" fillId="0" borderId="0" xfId="0" applyNumberFormat="1" applyFont="1"/>
    <xf numFmtId="0" fontId="1" fillId="0" borderId="0" xfId="0" applyFont="1" applyAlignment="1">
      <alignment horizontal="left"/>
    </xf>
    <xf numFmtId="3" fontId="16" fillId="0" borderId="0" xfId="0" applyNumberFormat="1" applyFont="1" applyAlignment="1">
      <alignment horizontal="left"/>
    </xf>
    <xf numFmtId="3" fontId="8" fillId="0" borderId="0" xfId="0" applyNumberFormat="1" applyFont="1" applyAlignment="1">
      <alignment horizontal="center"/>
    </xf>
    <xf numFmtId="3" fontId="5" fillId="0" borderId="0" xfId="0" applyNumberFormat="1" applyFont="1" applyAlignment="1">
      <alignment horizontal="center"/>
    </xf>
    <xf numFmtId="0" fontId="5" fillId="0" borderId="0" xfId="0" applyFont="1" applyAlignment="1">
      <alignment horizontal="center"/>
    </xf>
    <xf numFmtId="1" fontId="6" fillId="0" borderId="0" xfId="0" applyNumberFormat="1" applyFont="1" applyAlignment="1">
      <alignment horizontal="center"/>
    </xf>
    <xf numFmtId="3" fontId="6" fillId="0" borderId="2" xfId="0" applyNumberFormat="1" applyFont="1" applyBorder="1"/>
    <xf numFmtId="3" fontId="8" fillId="0" borderId="0" xfId="0" applyNumberFormat="1" applyFont="1" applyAlignment="1">
      <alignment horizontal="left"/>
    </xf>
    <xf numFmtId="3" fontId="42" fillId="0" borderId="0" xfId="0" applyNumberFormat="1" applyFont="1"/>
    <xf numFmtId="3" fontId="43" fillId="0" borderId="0" xfId="0" applyNumberFormat="1" applyFont="1" applyAlignment="1">
      <alignment horizontal="center"/>
    </xf>
    <xf numFmtId="1" fontId="6" fillId="0" borderId="2" xfId="0" applyNumberFormat="1" applyFont="1" applyBorder="1" applyAlignment="1">
      <alignment horizontal="center" vertical="center"/>
    </xf>
    <xf numFmtId="3" fontId="8" fillId="0" borderId="14" xfId="0" applyNumberFormat="1" applyFont="1" applyBorder="1" applyAlignment="1">
      <alignment horizontal="left"/>
    </xf>
    <xf numFmtId="3" fontId="10" fillId="0" borderId="5" xfId="0" applyNumberFormat="1" applyFont="1" applyBorder="1" applyAlignment="1">
      <alignment horizontal="center"/>
    </xf>
    <xf numFmtId="3" fontId="8" fillId="0" borderId="9" xfId="0" applyNumberFormat="1" applyFont="1" applyBorder="1" applyAlignment="1">
      <alignment horizontal="left"/>
    </xf>
    <xf numFmtId="3" fontId="8" fillId="0" borderId="10" xfId="0" applyNumberFormat="1" applyFont="1" applyBorder="1" applyAlignment="1">
      <alignment horizontal="center"/>
    </xf>
    <xf numFmtId="3" fontId="8" fillId="0" borderId="12" xfId="0" applyNumberFormat="1" applyFont="1" applyBorder="1" applyAlignment="1">
      <alignment horizontal="left"/>
    </xf>
    <xf numFmtId="3" fontId="6" fillId="0" borderId="11" xfId="0" applyNumberFormat="1" applyFont="1" applyBorder="1" applyAlignment="1">
      <alignment horizontal="center"/>
    </xf>
    <xf numFmtId="3" fontId="8" fillId="0" borderId="5" xfId="5" applyNumberFormat="1" applyFont="1" applyBorder="1" applyAlignment="1" applyProtection="1">
      <alignment horizontal="center"/>
      <protection locked="0"/>
    </xf>
    <xf numFmtId="3" fontId="8" fillId="0" borderId="6" xfId="5" applyNumberFormat="1" applyFont="1" applyBorder="1" applyAlignment="1" applyProtection="1">
      <alignment horizontal="center"/>
      <protection locked="0"/>
    </xf>
    <xf numFmtId="165" fontId="10" fillId="0" borderId="6" xfId="0" applyNumberFormat="1" applyFont="1" applyBorder="1" applyAlignment="1">
      <alignment horizontal="center"/>
    </xf>
    <xf numFmtId="3" fontId="8" fillId="0" borderId="7" xfId="5" applyNumberFormat="1" applyFont="1" applyBorder="1" applyAlignment="1" applyProtection="1">
      <alignment horizontal="center"/>
      <protection locked="0"/>
    </xf>
    <xf numFmtId="3" fontId="16" fillId="0" borderId="0" xfId="0" applyNumberFormat="1" applyFont="1"/>
    <xf numFmtId="3" fontId="8" fillId="0" borderId="14" xfId="0" applyNumberFormat="1" applyFont="1" applyBorder="1" applyAlignment="1">
      <alignment vertical="center"/>
    </xf>
    <xf numFmtId="3" fontId="44" fillId="0" borderId="5" xfId="0" applyNumberFormat="1" applyFont="1" applyBorder="1"/>
    <xf numFmtId="3" fontId="8" fillId="0" borderId="8" xfId="0" applyNumberFormat="1" applyFont="1" applyBorder="1" applyAlignment="1">
      <alignment horizontal="center" vertical="center"/>
    </xf>
    <xf numFmtId="4" fontId="8" fillId="0" borderId="0" xfId="0" applyNumberFormat="1" applyFont="1"/>
    <xf numFmtId="4" fontId="8" fillId="0" borderId="5" xfId="3" applyNumberFormat="1" applyFont="1" applyBorder="1" applyAlignment="1">
      <alignment horizontal="center" vertical="center"/>
    </xf>
    <xf numFmtId="3" fontId="8" fillId="0" borderId="9" xfId="0" applyNumberFormat="1" applyFont="1" applyBorder="1" applyAlignment="1">
      <alignment vertical="center"/>
    </xf>
    <xf numFmtId="3" fontId="44" fillId="0" borderId="6" xfId="0" applyNumberFormat="1" applyFont="1" applyBorder="1"/>
    <xf numFmtId="3" fontId="8" fillId="0" borderId="0" xfId="0" applyNumberFormat="1" applyFont="1" applyAlignment="1">
      <alignment horizontal="center" vertical="center"/>
    </xf>
    <xf numFmtId="4" fontId="8" fillId="0" borderId="6" xfId="3" applyNumberFormat="1" applyFont="1" applyBorder="1" applyAlignment="1">
      <alignment horizontal="center" vertical="center"/>
    </xf>
    <xf numFmtId="3" fontId="8" fillId="0" borderId="12" xfId="0" applyNumberFormat="1" applyFont="1" applyBorder="1" applyAlignment="1">
      <alignment vertical="center"/>
    </xf>
    <xf numFmtId="3" fontId="44" fillId="0" borderId="7" xfId="0" applyNumberFormat="1" applyFont="1" applyBorder="1"/>
    <xf numFmtId="3" fontId="8" fillId="0" borderId="13" xfId="0" applyNumberFormat="1" applyFont="1" applyBorder="1" applyAlignment="1">
      <alignment horizontal="center" vertical="center"/>
    </xf>
    <xf numFmtId="3" fontId="10" fillId="0" borderId="7" xfId="0" applyNumberFormat="1" applyFont="1" applyBorder="1" applyAlignment="1">
      <alignment horizontal="center"/>
    </xf>
    <xf numFmtId="3" fontId="8" fillId="0" borderId="9" xfId="0" applyNumberFormat="1" applyFont="1" applyBorder="1" applyAlignment="1">
      <alignment horizontal="center"/>
    </xf>
    <xf numFmtId="3" fontId="6" fillId="0" borderId="5" xfId="0" applyNumberFormat="1" applyFont="1" applyBorder="1" applyAlignment="1">
      <alignment vertical="center"/>
    </xf>
    <xf numFmtId="3" fontId="8" fillId="0" borderId="5" xfId="0" applyNumberFormat="1" applyFont="1" applyBorder="1" applyAlignment="1">
      <alignment horizontal="left" vertical="center"/>
    </xf>
    <xf numFmtId="3" fontId="8" fillId="0" borderId="2" xfId="0" applyNumberFormat="1" applyFont="1" applyBorder="1" applyAlignment="1">
      <alignment horizontal="center" vertical="center"/>
    </xf>
    <xf numFmtId="3" fontId="8" fillId="0" borderId="2" xfId="0" applyNumberFormat="1" applyFont="1" applyBorder="1"/>
    <xf numFmtId="10" fontId="8" fillId="0" borderId="0" xfId="3" applyNumberFormat="1" applyFont="1"/>
    <xf numFmtId="3" fontId="8" fillId="0" borderId="5" xfId="0" applyNumberFormat="1" applyFont="1" applyBorder="1" applyAlignment="1">
      <alignment vertical="center"/>
    </xf>
    <xf numFmtId="3" fontId="8" fillId="0" borderId="9" xfId="0" applyNumberFormat="1" applyFont="1" applyBorder="1" applyAlignment="1">
      <alignment horizontal="center" vertical="center"/>
    </xf>
    <xf numFmtId="4" fontId="8" fillId="0" borderId="5" xfId="0" applyNumberFormat="1" applyFont="1" applyBorder="1" applyAlignment="1">
      <alignment horizontal="center" vertical="center"/>
    </xf>
    <xf numFmtId="165" fontId="10" fillId="0" borderId="0" xfId="3" applyNumberFormat="1" applyFont="1"/>
    <xf numFmtId="0" fontId="8" fillId="0" borderId="6" xfId="0" applyFont="1" applyBorder="1" applyAlignment="1">
      <alignment vertical="center" wrapText="1"/>
    </xf>
    <xf numFmtId="0" fontId="8" fillId="0" borderId="6" xfId="0" applyFont="1" applyBorder="1" applyAlignment="1">
      <alignment horizontal="left" vertical="center" wrapText="1"/>
    </xf>
    <xf numFmtId="4" fontId="10" fillId="0" borderId="6" xfId="0" applyNumberFormat="1" applyFont="1" applyBorder="1" applyAlignment="1">
      <alignment horizontal="center"/>
    </xf>
    <xf numFmtId="3" fontId="8" fillId="0" borderId="7" xfId="0" applyNumberFormat="1" applyFont="1" applyBorder="1" applyAlignment="1">
      <alignment vertical="center"/>
    </xf>
    <xf numFmtId="3" fontId="8" fillId="0" borderId="6" xfId="0" applyNumberFormat="1" applyFont="1" applyBorder="1" applyAlignment="1">
      <alignment horizontal="left" vertical="center"/>
    </xf>
    <xf numFmtId="4" fontId="8" fillId="0" borderId="7" xfId="0" applyNumberFormat="1" applyFont="1" applyBorder="1" applyAlignment="1">
      <alignment horizontal="center" vertical="center"/>
    </xf>
    <xf numFmtId="3" fontId="6" fillId="0" borderId="2" xfId="0" applyNumberFormat="1" applyFont="1" applyBorder="1" applyAlignment="1">
      <alignment vertical="center"/>
    </xf>
    <xf numFmtId="3" fontId="8" fillId="0" borderId="2" xfId="0" applyNumberFormat="1" applyFont="1" applyBorder="1" applyAlignment="1">
      <alignment horizontal="left" vertical="center"/>
    </xf>
    <xf numFmtId="3" fontId="6" fillId="0" borderId="4" xfId="0" applyNumberFormat="1" applyFont="1" applyBorder="1" applyAlignment="1">
      <alignment horizontal="center" vertical="center"/>
    </xf>
    <xf numFmtId="4" fontId="6" fillId="0" borderId="7" xfId="0" applyNumberFormat="1" applyFont="1" applyBorder="1" applyAlignment="1">
      <alignment horizontal="center" vertical="center"/>
    </xf>
    <xf numFmtId="4" fontId="10" fillId="0" borderId="0" xfId="0" applyNumberFormat="1" applyFont="1"/>
    <xf numFmtId="3" fontId="6" fillId="0" borderId="0" xfId="0" applyNumberFormat="1" applyFont="1" applyAlignment="1">
      <alignment vertical="center"/>
    </xf>
    <xf numFmtId="3" fontId="8" fillId="0" borderId="0" xfId="0" applyNumberFormat="1" applyFont="1" applyAlignment="1">
      <alignment horizontal="left" vertical="center"/>
    </xf>
    <xf numFmtId="3" fontId="6" fillId="0" borderId="0" xfId="0" applyNumberFormat="1" applyFont="1" applyAlignment="1">
      <alignment horizontal="center" vertical="center"/>
    </xf>
    <xf numFmtId="4" fontId="6" fillId="0" borderId="0" xfId="0" applyNumberFormat="1" applyFont="1" applyAlignment="1">
      <alignment horizontal="center" vertical="center"/>
    </xf>
    <xf numFmtId="3" fontId="8" fillId="0" borderId="0" xfId="0" applyNumberFormat="1" applyFont="1" applyAlignment="1">
      <alignment vertical="center"/>
    </xf>
    <xf numFmtId="3" fontId="6" fillId="0" borderId="1" xfId="0" applyNumberFormat="1" applyFont="1" applyBorder="1" applyAlignment="1">
      <alignment vertical="center"/>
    </xf>
    <xf numFmtId="3" fontId="8" fillId="0" borderId="4" xfId="0" applyNumberFormat="1" applyFont="1" applyBorder="1" applyAlignment="1">
      <alignment horizontal="center" vertical="center"/>
    </xf>
    <xf numFmtId="4" fontId="6" fillId="0" borderId="0" xfId="0" applyNumberFormat="1" applyFont="1"/>
    <xf numFmtId="3" fontId="16" fillId="0" borderId="9" xfId="0" applyNumberFormat="1" applyFont="1" applyBorder="1" applyAlignment="1">
      <alignment vertical="center"/>
    </xf>
    <xf numFmtId="165" fontId="8" fillId="0" borderId="6" xfId="3" applyNumberFormat="1" applyFont="1" applyBorder="1" applyAlignment="1">
      <alignment horizontal="center" vertical="center"/>
    </xf>
    <xf numFmtId="3" fontId="8" fillId="0" borderId="9" xfId="0" applyNumberFormat="1" applyFont="1" applyBorder="1"/>
    <xf numFmtId="4" fontId="10" fillId="0" borderId="0" xfId="3" applyNumberFormat="1" applyFont="1"/>
    <xf numFmtId="3" fontId="8" fillId="0" borderId="7" xfId="0" applyNumberFormat="1" applyFont="1" applyBorder="1" applyAlignment="1">
      <alignment horizontal="left" vertical="center"/>
    </xf>
    <xf numFmtId="165" fontId="8" fillId="0" borderId="7" xfId="3" applyNumberFormat="1" applyFont="1" applyBorder="1" applyAlignment="1">
      <alignment horizontal="center" vertical="center"/>
    </xf>
    <xf numFmtId="165" fontId="8" fillId="0" borderId="0" xfId="3" applyNumberFormat="1" applyFont="1"/>
    <xf numFmtId="3" fontId="6" fillId="0" borderId="14" xfId="0" applyNumberFormat="1" applyFont="1" applyBorder="1" applyAlignment="1">
      <alignment horizontal="center" vertical="center"/>
    </xf>
    <xf numFmtId="165" fontId="6" fillId="0" borderId="2" xfId="3" applyNumberFormat="1" applyFont="1" applyBorder="1" applyAlignment="1">
      <alignment horizontal="center" vertical="center"/>
    </xf>
    <xf numFmtId="165" fontId="6" fillId="0" borderId="0" xfId="3" applyNumberFormat="1" applyFont="1"/>
    <xf numFmtId="3" fontId="8" fillId="0" borderId="1" xfId="0" applyNumberFormat="1" applyFont="1" applyBorder="1" applyAlignment="1">
      <alignment vertical="center"/>
    </xf>
    <xf numFmtId="3" fontId="8" fillId="0" borderId="4" xfId="0" applyNumberFormat="1" applyFont="1" applyBorder="1" applyAlignment="1">
      <alignment horizontal="left" vertical="center"/>
    </xf>
    <xf numFmtId="165" fontId="8" fillId="0" borderId="4" xfId="3" applyNumberFormat="1" applyFont="1" applyBorder="1" applyAlignment="1">
      <alignment horizontal="center" vertical="center"/>
    </xf>
    <xf numFmtId="3" fontId="16" fillId="0" borderId="9" xfId="0" applyNumberFormat="1" applyFont="1" applyBorder="1" applyAlignment="1">
      <alignment horizontal="left" vertical="center"/>
    </xf>
    <xf numFmtId="165" fontId="8" fillId="0" borderId="5" xfId="3" applyNumberFormat="1" applyFont="1" applyBorder="1" applyAlignment="1">
      <alignment horizontal="center" vertical="center"/>
    </xf>
    <xf numFmtId="3" fontId="8" fillId="0" borderId="6" xfId="0" applyNumberFormat="1" applyFont="1" applyBorder="1" applyAlignment="1">
      <alignment horizontal="center" vertical="center"/>
    </xf>
    <xf numFmtId="3" fontId="16" fillId="0" borderId="6" xfId="0" applyNumberFormat="1" applyFont="1" applyBorder="1" applyAlignment="1">
      <alignment horizontal="left" vertical="center"/>
    </xf>
    <xf numFmtId="3" fontId="8" fillId="0" borderId="12" xfId="0" applyNumberFormat="1" applyFont="1" applyBorder="1" applyAlignment="1">
      <alignment horizontal="center" vertical="center"/>
    </xf>
    <xf numFmtId="3" fontId="6" fillId="0" borderId="1" xfId="0" applyNumberFormat="1" applyFont="1" applyBorder="1" applyAlignment="1">
      <alignment horizontal="center" vertical="center"/>
    </xf>
    <xf numFmtId="3" fontId="46" fillId="0" borderId="0" xfId="0" applyNumberFormat="1" applyFont="1" applyAlignment="1">
      <alignment vertical="center"/>
    </xf>
    <xf numFmtId="3" fontId="14" fillId="0" borderId="0" xfId="0" applyNumberFormat="1" applyFont="1" applyAlignment="1">
      <alignment vertical="center"/>
    </xf>
    <xf numFmtId="3" fontId="6" fillId="0" borderId="0" xfId="0" applyNumberFormat="1" applyFont="1"/>
    <xf numFmtId="0" fontId="47" fillId="0" borderId="5" xfId="0" applyFont="1" applyBorder="1" applyAlignment="1">
      <alignment vertical="center" wrapText="1"/>
    </xf>
    <xf numFmtId="0" fontId="47" fillId="0" borderId="5" xfId="0" applyFont="1" applyBorder="1" applyAlignment="1">
      <alignment horizontal="left" vertical="center" wrapText="1"/>
    </xf>
    <xf numFmtId="3" fontId="47" fillId="0" borderId="14" xfId="0" applyNumberFormat="1" applyFont="1" applyBorder="1" applyAlignment="1">
      <alignment horizontal="center"/>
    </xf>
    <xf numFmtId="4" fontId="8" fillId="0" borderId="6" xfId="0" applyNumberFormat="1" applyFont="1" applyBorder="1" applyAlignment="1">
      <alignment horizontal="center"/>
    </xf>
    <xf numFmtId="0" fontId="47" fillId="0" borderId="6" xfId="0" applyFont="1" applyBorder="1" applyAlignment="1">
      <alignment vertical="center" wrapText="1"/>
    </xf>
    <xf numFmtId="10" fontId="10" fillId="0" borderId="6" xfId="3" applyNumberFormat="1" applyFont="1" applyBorder="1" applyAlignment="1">
      <alignment horizontal="center"/>
    </xf>
    <xf numFmtId="0" fontId="47" fillId="0" borderId="9" xfId="0" applyFont="1" applyBorder="1" applyAlignment="1">
      <alignment vertical="center" wrapText="1"/>
    </xf>
    <xf numFmtId="0" fontId="47" fillId="0" borderId="6" xfId="0" applyFont="1" applyBorder="1" applyAlignment="1">
      <alignment horizontal="left" vertical="center" wrapText="1"/>
    </xf>
    <xf numFmtId="3" fontId="47" fillId="0" borderId="9" xfId="0" applyNumberFormat="1" applyFont="1" applyBorder="1" applyAlignment="1">
      <alignment horizontal="center"/>
    </xf>
    <xf numFmtId="165" fontId="8" fillId="0" borderId="6" xfId="0" applyNumberFormat="1" applyFont="1" applyBorder="1" applyAlignment="1">
      <alignment horizontal="center"/>
    </xf>
    <xf numFmtId="3" fontId="47" fillId="0" borderId="9" xfId="0" applyNumberFormat="1" applyFont="1" applyBorder="1"/>
    <xf numFmtId="3" fontId="47" fillId="0" borderId="6" xfId="0" applyNumberFormat="1" applyFont="1" applyBorder="1" applyAlignment="1">
      <alignment horizontal="left"/>
    </xf>
    <xf numFmtId="165" fontId="47" fillId="0" borderId="6" xfId="0" applyNumberFormat="1" applyFont="1" applyBorder="1" applyAlignment="1">
      <alignment horizontal="center"/>
    </xf>
    <xf numFmtId="3" fontId="47" fillId="0" borderId="7" xfId="0" applyNumberFormat="1" applyFont="1" applyBorder="1" applyAlignment="1">
      <alignment horizontal="left"/>
    </xf>
    <xf numFmtId="3" fontId="49" fillId="0" borderId="2" xfId="0" applyNumberFormat="1" applyFont="1" applyBorder="1"/>
    <xf numFmtId="3" fontId="47" fillId="0" borderId="1" xfId="0" applyNumberFormat="1" applyFont="1" applyBorder="1" applyAlignment="1">
      <alignment horizontal="left"/>
    </xf>
    <xf numFmtId="3" fontId="49" fillId="0" borderId="1" xfId="0" applyNumberFormat="1" applyFont="1" applyBorder="1" applyAlignment="1">
      <alignment horizontal="center"/>
    </xf>
    <xf numFmtId="171" fontId="49" fillId="0" borderId="2" xfId="0" applyNumberFormat="1" applyFont="1" applyBorder="1" applyAlignment="1">
      <alignment horizontal="center"/>
    </xf>
    <xf numFmtId="3" fontId="47" fillId="0" borderId="0" xfId="0" applyNumberFormat="1" applyFont="1"/>
    <xf numFmtId="3" fontId="47" fillId="0" borderId="0" xfId="0" applyNumberFormat="1" applyFont="1" applyAlignment="1">
      <alignment horizontal="left"/>
    </xf>
    <xf numFmtId="3" fontId="47" fillId="0" borderId="0" xfId="0" applyNumberFormat="1" applyFont="1" applyAlignment="1">
      <alignment horizontal="center"/>
    </xf>
    <xf numFmtId="3" fontId="49" fillId="0" borderId="0" xfId="0" applyNumberFormat="1" applyFont="1"/>
    <xf numFmtId="0" fontId="47" fillId="0" borderId="14" xfId="0" applyFont="1" applyBorder="1" applyAlignment="1">
      <alignment vertical="center" wrapText="1"/>
    </xf>
    <xf numFmtId="0" fontId="47" fillId="0" borderId="14" xfId="0" applyFont="1" applyBorder="1" applyAlignment="1">
      <alignment horizontal="left" vertical="center" wrapText="1"/>
    </xf>
    <xf numFmtId="4" fontId="8" fillId="0" borderId="5" xfId="0" applyNumberFormat="1" applyFont="1" applyBorder="1" applyAlignment="1">
      <alignment horizontal="center"/>
    </xf>
    <xf numFmtId="0" fontId="47" fillId="0" borderId="9" xfId="0" applyFont="1" applyBorder="1" applyAlignment="1">
      <alignment horizontal="left" vertical="center" wrapText="1"/>
    </xf>
    <xf numFmtId="3" fontId="47" fillId="0" borderId="9" xfId="0" applyNumberFormat="1" applyFont="1" applyBorder="1" applyAlignment="1">
      <alignment horizontal="left"/>
    </xf>
    <xf numFmtId="4" fontId="8" fillId="0" borderId="7" xfId="0" applyNumberFormat="1" applyFont="1" applyBorder="1" applyAlignment="1">
      <alignment horizontal="center"/>
    </xf>
    <xf numFmtId="3" fontId="8" fillId="0" borderId="2" xfId="0" applyNumberFormat="1" applyFont="1" applyBorder="1" applyAlignment="1">
      <alignment horizontal="left"/>
    </xf>
    <xf numFmtId="3" fontId="6" fillId="0" borderId="2" xfId="0" applyNumberFormat="1" applyFont="1" applyBorder="1" applyAlignment="1">
      <alignment horizontal="center"/>
    </xf>
    <xf numFmtId="171" fontId="6" fillId="0" borderId="2" xfId="0" applyNumberFormat="1" applyFont="1" applyBorder="1" applyAlignment="1">
      <alignment horizontal="center"/>
    </xf>
    <xf numFmtId="3" fontId="46" fillId="0" borderId="0" xfId="0" applyNumberFormat="1" applyFont="1"/>
    <xf numFmtId="3" fontId="14" fillId="0" borderId="0" xfId="0" applyNumberFormat="1" applyFont="1"/>
    <xf numFmtId="3" fontId="6" fillId="0" borderId="0" xfId="0" applyNumberFormat="1" applyFont="1" applyAlignment="1">
      <alignment horizontal="center"/>
    </xf>
    <xf numFmtId="3" fontId="8" fillId="0" borderId="9" xfId="0" applyNumberFormat="1" applyFont="1" applyBorder="1" applyAlignment="1">
      <alignment horizontal="left" vertical="center"/>
    </xf>
    <xf numFmtId="3" fontId="8" fillId="0" borderId="1" xfId="0" applyNumberFormat="1" applyFont="1" applyBorder="1" applyAlignment="1">
      <alignment horizontal="left" vertical="center"/>
    </xf>
    <xf numFmtId="3" fontId="6" fillId="0" borderId="1" xfId="0" applyNumberFormat="1" applyFont="1" applyBorder="1" applyAlignment="1">
      <alignment horizontal="center"/>
    </xf>
    <xf numFmtId="3" fontId="51" fillId="0" borderId="2" xfId="0" applyNumberFormat="1" applyFont="1" applyBorder="1" applyAlignment="1">
      <alignment horizontal="center"/>
    </xf>
    <xf numFmtId="3" fontId="6" fillId="0" borderId="1" xfId="0" applyNumberFormat="1" applyFont="1" applyBorder="1"/>
    <xf numFmtId="3" fontId="8" fillId="0" borderId="1" xfId="0" applyNumberFormat="1" applyFont="1" applyBorder="1" applyAlignment="1">
      <alignment horizontal="left"/>
    </xf>
    <xf numFmtId="3" fontId="6" fillId="0" borderId="2" xfId="5" applyNumberFormat="1" applyFont="1" applyBorder="1" applyAlignment="1" applyProtection="1">
      <alignment horizontal="center"/>
      <protection locked="0"/>
    </xf>
    <xf numFmtId="3" fontId="6" fillId="0" borderId="0" xfId="5" applyNumberFormat="1" applyFont="1" applyAlignment="1" applyProtection="1">
      <alignment horizontal="center"/>
      <protection locked="0"/>
    </xf>
    <xf numFmtId="3" fontId="8" fillId="0" borderId="0" xfId="5" applyNumberFormat="1" applyFont="1" applyAlignment="1" applyProtection="1">
      <alignment horizontal="left"/>
      <protection locked="0"/>
    </xf>
    <xf numFmtId="3" fontId="8" fillId="0" borderId="3" xfId="0" applyNumberFormat="1" applyFont="1" applyBorder="1" applyAlignment="1">
      <alignment horizontal="left"/>
    </xf>
    <xf numFmtId="3" fontId="8" fillId="0" borderId="10" xfId="0" applyNumberFormat="1" applyFont="1" applyBorder="1" applyAlignment="1">
      <alignment horizontal="left"/>
    </xf>
    <xf numFmtId="3" fontId="10" fillId="0" borderId="6" xfId="0" applyNumberFormat="1" applyFont="1" applyBorder="1" applyAlignment="1">
      <alignment horizontal="center"/>
    </xf>
    <xf numFmtId="3" fontId="6" fillId="0" borderId="7" xfId="0" applyNumberFormat="1" applyFont="1" applyBorder="1"/>
    <xf numFmtId="3" fontId="6" fillId="0" borderId="2" xfId="0" applyNumberFormat="1" applyFont="1" applyBorder="1" applyAlignment="1">
      <alignment horizontal="left"/>
    </xf>
    <xf numFmtId="3" fontId="8" fillId="0" borderId="6" xfId="0" applyNumberFormat="1" applyFont="1" applyBorder="1" applyAlignment="1">
      <alignment horizontal="left"/>
    </xf>
    <xf numFmtId="3" fontId="8" fillId="0" borderId="2" xfId="0" applyNumberFormat="1" applyFont="1" applyBorder="1" applyAlignment="1">
      <alignment horizontal="center"/>
    </xf>
    <xf numFmtId="3" fontId="6" fillId="0" borderId="6" xfId="0" applyNumberFormat="1" applyFont="1" applyBorder="1" applyAlignment="1">
      <alignment horizontal="center"/>
    </xf>
    <xf numFmtId="9" fontId="8" fillId="0" borderId="0" xfId="3" applyFont="1" applyAlignment="1">
      <alignment horizontal="center"/>
    </xf>
    <xf numFmtId="3" fontId="16" fillId="0" borderId="2" xfId="0" applyNumberFormat="1" applyFont="1" applyBorder="1"/>
    <xf numFmtId="3" fontId="8" fillId="0" borderId="14" xfId="0" applyNumberFormat="1" applyFont="1" applyBorder="1"/>
    <xf numFmtId="9" fontId="8" fillId="0" borderId="14" xfId="3" applyFont="1" applyBorder="1" applyAlignment="1">
      <alignment horizontal="left"/>
    </xf>
    <xf numFmtId="9" fontId="8" fillId="0" borderId="5" xfId="3" applyFont="1" applyBorder="1" applyAlignment="1">
      <alignment horizontal="center"/>
    </xf>
    <xf numFmtId="3" fontId="8" fillId="0" borderId="0" xfId="3" applyNumberFormat="1" applyFont="1" applyAlignment="1">
      <alignment horizontal="center"/>
    </xf>
    <xf numFmtId="3" fontId="8" fillId="0" borderId="12" xfId="0" applyNumberFormat="1" applyFont="1" applyBorder="1"/>
    <xf numFmtId="9" fontId="8" fillId="0" borderId="12" xfId="3" applyFont="1" applyBorder="1" applyAlignment="1">
      <alignment horizontal="left"/>
    </xf>
    <xf numFmtId="9" fontId="8" fillId="0" borderId="7" xfId="3" applyFont="1" applyBorder="1" applyAlignment="1">
      <alignment horizontal="center"/>
    </xf>
    <xf numFmtId="4" fontId="10" fillId="0" borderId="7" xfId="0" applyNumberFormat="1" applyFont="1" applyBorder="1" applyAlignment="1">
      <alignment horizontal="center"/>
    </xf>
    <xf numFmtId="9" fontId="8" fillId="0" borderId="13" xfId="3" applyFont="1" applyBorder="1" applyAlignment="1">
      <alignment horizontal="center"/>
    </xf>
    <xf numFmtId="9" fontId="8" fillId="0" borderId="2" xfId="3" applyFont="1" applyBorder="1" applyAlignment="1">
      <alignment horizontal="center"/>
    </xf>
    <xf numFmtId="9" fontId="8" fillId="0" borderId="2" xfId="3" applyFont="1" applyBorder="1" applyAlignment="1">
      <alignment horizontal="left"/>
    </xf>
    <xf numFmtId="9" fontId="6" fillId="0" borderId="4" xfId="3" applyFont="1" applyBorder="1" applyAlignment="1">
      <alignment horizontal="center"/>
    </xf>
    <xf numFmtId="3" fontId="6" fillId="0" borderId="2" xfId="3" applyNumberFormat="1" applyFont="1" applyBorder="1" applyAlignment="1">
      <alignment horizontal="center"/>
    </xf>
    <xf numFmtId="3" fontId="6" fillId="0" borderId="2" xfId="0" applyNumberFormat="1" applyFont="1" applyBorder="1" applyAlignment="1">
      <alignment wrapText="1"/>
    </xf>
    <xf numFmtId="3" fontId="8" fillId="0" borderId="2" xfId="0" applyNumberFormat="1" applyFont="1" applyBorder="1" applyAlignment="1">
      <alignment wrapText="1"/>
    </xf>
    <xf numFmtId="3" fontId="8" fillId="0" borderId="5" xfId="0" applyNumberFormat="1" applyFont="1" applyBorder="1" applyAlignment="1">
      <alignment horizontal="left"/>
    </xf>
    <xf numFmtId="3" fontId="8" fillId="0" borderId="7" xfId="0" applyNumberFormat="1" applyFont="1" applyBorder="1" applyAlignment="1">
      <alignment horizontal="left"/>
    </xf>
    <xf numFmtId="0" fontId="6" fillId="0" borderId="1" xfId="0" applyFont="1" applyBorder="1" applyAlignment="1">
      <alignment horizontal="left" vertical="center"/>
    </xf>
    <xf numFmtId="0" fontId="52" fillId="0" borderId="0" xfId="0" applyFont="1" applyAlignment="1">
      <alignment horizontal="left" vertical="center"/>
    </xf>
    <xf numFmtId="3" fontId="8" fillId="0" borderId="1" xfId="0" applyNumberFormat="1" applyFont="1" applyBorder="1"/>
    <xf numFmtId="3" fontId="8" fillId="0" borderId="15" xfId="0" applyNumberFormat="1" applyFont="1" applyBorder="1" applyAlignment="1">
      <alignment horizontal="center"/>
    </xf>
    <xf numFmtId="3" fontId="8" fillId="0" borderId="11" xfId="0" applyNumberFormat="1" applyFont="1" applyBorder="1" applyAlignment="1">
      <alignment horizontal="center"/>
    </xf>
    <xf numFmtId="3" fontId="7" fillId="0" borderId="0" xfId="0" applyNumberFormat="1" applyFont="1" applyAlignment="1">
      <alignment vertical="center"/>
    </xf>
    <xf numFmtId="4" fontId="8" fillId="0" borderId="0" xfId="0" applyNumberFormat="1" applyFont="1" applyAlignment="1">
      <alignment vertical="center"/>
    </xf>
    <xf numFmtId="3" fontId="16" fillId="0" borderId="0" xfId="0" applyNumberFormat="1" applyFont="1" applyAlignment="1">
      <alignment horizontal="left" vertical="center" indent="1"/>
    </xf>
    <xf numFmtId="3" fontId="6" fillId="0" borderId="5" xfId="0" applyNumberFormat="1" applyFont="1" applyBorder="1" applyAlignment="1">
      <alignment horizontal="center" vertical="center"/>
    </xf>
    <xf numFmtId="0" fontId="8" fillId="0" borderId="5" xfId="0" applyFont="1" applyBorder="1" applyAlignment="1">
      <alignment horizontal="left"/>
    </xf>
    <xf numFmtId="3" fontId="8" fillId="0" borderId="5" xfId="0" applyNumberFormat="1" applyFont="1" applyBorder="1" applyAlignment="1">
      <alignment horizontal="center" vertical="center"/>
    </xf>
    <xf numFmtId="3" fontId="8" fillId="0" borderId="10" xfId="0" applyNumberFormat="1" applyFont="1" applyBorder="1" applyAlignment="1">
      <alignment horizontal="center" vertical="center"/>
    </xf>
    <xf numFmtId="3" fontId="6" fillId="0" borderId="3" xfId="0" applyNumberFormat="1" applyFont="1" applyBorder="1" applyAlignment="1">
      <alignment horizontal="center" vertical="center"/>
    </xf>
    <xf numFmtId="3" fontId="8" fillId="0" borderId="1" xfId="0" applyNumberFormat="1" applyFont="1" applyBorder="1" applyAlignment="1">
      <alignment horizontal="center" vertical="center"/>
    </xf>
    <xf numFmtId="3" fontId="8" fillId="0" borderId="6" xfId="0" applyNumberFormat="1" applyFont="1" applyBorder="1" applyAlignment="1">
      <alignment vertical="center"/>
    </xf>
    <xf numFmtId="3" fontId="8" fillId="0" borderId="14" xfId="0" applyNumberFormat="1" applyFont="1" applyBorder="1" applyAlignment="1">
      <alignment horizontal="center" vertical="center"/>
    </xf>
    <xf numFmtId="3" fontId="8" fillId="0" borderId="6" xfId="3" applyNumberFormat="1" applyFont="1" applyBorder="1" applyAlignment="1">
      <alignment horizontal="center" vertical="center"/>
    </xf>
    <xf numFmtId="3" fontId="6" fillId="0" borderId="2" xfId="3" applyNumberFormat="1" applyFont="1" applyBorder="1" applyAlignment="1">
      <alignment horizontal="center" vertical="center"/>
    </xf>
    <xf numFmtId="165" fontId="8" fillId="0" borderId="15"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8" fillId="0" borderId="7" xfId="0" applyFont="1" applyBorder="1" applyAlignment="1">
      <alignment horizontal="left"/>
    </xf>
    <xf numFmtId="4" fontId="8" fillId="0" borderId="0" xfId="0" applyNumberFormat="1" applyFont="1" applyAlignment="1">
      <alignment horizontal="center" vertical="center"/>
    </xf>
    <xf numFmtId="3" fontId="16" fillId="0" borderId="0" xfId="0" applyNumberFormat="1" applyFont="1" applyAlignment="1">
      <alignment vertical="center"/>
    </xf>
    <xf numFmtId="3" fontId="16" fillId="0" borderId="0" xfId="0" applyNumberFormat="1" applyFont="1" applyAlignment="1">
      <alignment horizontal="left" vertical="center"/>
    </xf>
    <xf numFmtId="3" fontId="8" fillId="0" borderId="10" xfId="3" applyNumberFormat="1" applyFont="1" applyBorder="1" applyAlignment="1">
      <alignment horizontal="center" vertical="center"/>
    </xf>
    <xf numFmtId="0" fontId="14" fillId="0" borderId="0" xfId="0" applyFont="1"/>
    <xf numFmtId="3" fontId="16" fillId="0" borderId="1" xfId="0" applyNumberFormat="1" applyFont="1" applyBorder="1" applyAlignment="1">
      <alignment vertical="center"/>
    </xf>
    <xf numFmtId="3" fontId="8" fillId="0" borderId="3" xfId="0" applyNumberFormat="1" applyFont="1" applyBorder="1" applyAlignment="1">
      <alignment vertical="center"/>
    </xf>
    <xf numFmtId="0" fontId="8" fillId="0" borderId="5" xfId="0" applyFont="1" applyBorder="1" applyAlignment="1">
      <alignment horizontal="left" vertical="center" wrapText="1"/>
    </xf>
    <xf numFmtId="3" fontId="8" fillId="0" borderId="0" xfId="0" applyNumberFormat="1" applyFont="1" applyAlignment="1">
      <alignment horizontal="left" vertical="center" wrapText="1"/>
    </xf>
    <xf numFmtId="3" fontId="16" fillId="0" borderId="4" xfId="0" applyNumberFormat="1" applyFont="1" applyBorder="1" applyAlignment="1">
      <alignment horizontal="left" vertical="center"/>
    </xf>
    <xf numFmtId="3" fontId="8" fillId="0" borderId="3" xfId="0" applyNumberFormat="1" applyFont="1" applyBorder="1" applyAlignment="1">
      <alignment horizontal="center" vertical="center"/>
    </xf>
    <xf numFmtId="0" fontId="8" fillId="0" borderId="6" xfId="0" applyFont="1" applyBorder="1" applyAlignment="1">
      <alignment horizontal="left" vertical="center"/>
    </xf>
    <xf numFmtId="3" fontId="8" fillId="0" borderId="2" xfId="0" applyNumberFormat="1" applyFont="1" applyBorder="1" applyAlignment="1">
      <alignment horizontal="left" vertical="center" wrapText="1"/>
    </xf>
    <xf numFmtId="3" fontId="6" fillId="0" borderId="2" xfId="0" applyNumberFormat="1" applyFont="1" applyBorder="1" applyAlignment="1">
      <alignment horizontal="center" vertical="center"/>
    </xf>
    <xf numFmtId="3" fontId="6" fillId="0" borderId="0" xfId="0" applyNumberFormat="1" applyFont="1" applyAlignment="1">
      <alignment horizontal="left"/>
    </xf>
    <xf numFmtId="3" fontId="8" fillId="0" borderId="15" xfId="0" applyNumberFormat="1" applyFont="1" applyBorder="1" applyAlignment="1">
      <alignment horizontal="center" vertical="center"/>
    </xf>
    <xf numFmtId="181" fontId="2" fillId="0" borderId="5" xfId="0" applyNumberFormat="1" applyFont="1" applyBorder="1" applyAlignment="1">
      <alignment horizontal="center"/>
    </xf>
    <xf numFmtId="3" fontId="8" fillId="0" borderId="5" xfId="3" applyNumberFormat="1" applyFont="1" applyFill="1" applyBorder="1" applyAlignment="1">
      <alignment horizontal="center"/>
    </xf>
    <xf numFmtId="192" fontId="2" fillId="0" borderId="15" xfId="0" applyNumberFormat="1" applyFont="1" applyBorder="1" applyAlignment="1">
      <alignment horizontal="center" vertical="center" wrapText="1"/>
    </xf>
    <xf numFmtId="3" fontId="15" fillId="0" borderId="0" xfId="0" applyNumberFormat="1" applyFont="1" applyAlignment="1">
      <alignment horizontal="center" vertical="center"/>
    </xf>
    <xf numFmtId="3" fontId="56" fillId="0" borderId="0" xfId="0" applyNumberFormat="1" applyFont="1" applyAlignment="1">
      <alignment horizontal="center" vertical="center"/>
    </xf>
    <xf numFmtId="0" fontId="15" fillId="0" borderId="0" xfId="0" applyFont="1" applyAlignment="1">
      <alignment horizontal="center" vertical="center"/>
    </xf>
    <xf numFmtId="0" fontId="56" fillId="0" borderId="0" xfId="0" applyFont="1" applyAlignment="1">
      <alignment horizontal="center" vertical="center"/>
    </xf>
    <xf numFmtId="0" fontId="2" fillId="0" borderId="9" xfId="0" applyFont="1" applyBorder="1" applyAlignment="1">
      <alignment horizontal="center" vertical="center" wrapText="1"/>
    </xf>
    <xf numFmtId="3" fontId="25" fillId="0" borderId="30" xfId="0" applyNumberFormat="1" applyFont="1" applyBorder="1" applyAlignment="1">
      <alignment horizontal="center"/>
    </xf>
    <xf numFmtId="3" fontId="25" fillId="0" borderId="31" xfId="0" applyNumberFormat="1" applyFont="1" applyBorder="1" applyAlignment="1">
      <alignment horizontal="center"/>
    </xf>
    <xf numFmtId="3" fontId="2" fillId="0" borderId="30" xfId="0" applyNumberFormat="1" applyFont="1" applyBorder="1" applyAlignment="1">
      <alignment horizontal="center"/>
    </xf>
    <xf numFmtId="3" fontId="2" fillId="0" borderId="32" xfId="0" applyNumberFormat="1" applyFont="1" applyBorder="1" applyAlignment="1">
      <alignment horizontal="center"/>
    </xf>
    <xf numFmtId="3" fontId="2" fillId="0" borderId="33" xfId="0" applyNumberFormat="1" applyFont="1" applyBorder="1" applyAlignment="1">
      <alignment horizontal="center"/>
    </xf>
    <xf numFmtId="3" fontId="2" fillId="0" borderId="8" xfId="0" applyNumberFormat="1" applyFont="1" applyBorder="1" applyAlignment="1">
      <alignment horizontal="center"/>
    </xf>
    <xf numFmtId="3" fontId="2" fillId="0" borderId="34" xfId="0" applyNumberFormat="1" applyFont="1" applyBorder="1" applyAlignment="1">
      <alignment horizontal="center"/>
    </xf>
    <xf numFmtId="0" fontId="2" fillId="0" borderId="35" xfId="0" applyFont="1" applyBorder="1" applyAlignment="1">
      <alignment horizontal="center"/>
    </xf>
    <xf numFmtId="3" fontId="2" fillId="0" borderId="35" xfId="0" applyNumberFormat="1" applyFont="1" applyBorder="1" applyAlignment="1">
      <alignment horizontal="center"/>
    </xf>
    <xf numFmtId="0" fontId="2" fillId="0" borderId="36" xfId="0" applyFont="1" applyBorder="1" applyAlignment="1">
      <alignment horizontal="center"/>
    </xf>
    <xf numFmtId="0" fontId="2" fillId="0" borderId="37" xfId="0" applyFont="1" applyBorder="1" applyAlignment="1">
      <alignment horizontal="center"/>
    </xf>
    <xf numFmtId="3" fontId="2" fillId="0" borderId="36" xfId="0" applyNumberFormat="1" applyFont="1" applyBorder="1" applyAlignment="1">
      <alignment horizontal="center"/>
    </xf>
    <xf numFmtId="3" fontId="2" fillId="0" borderId="37" xfId="0" applyNumberFormat="1" applyFont="1" applyBorder="1" applyAlignment="1">
      <alignment horizontal="center"/>
    </xf>
    <xf numFmtId="171" fontId="38" fillId="0" borderId="16" xfId="0" applyNumberFormat="1" applyFont="1" applyBorder="1" applyAlignment="1">
      <alignment horizontal="center"/>
    </xf>
    <xf numFmtId="171" fontId="2" fillId="0" borderId="17" xfId="0" applyNumberFormat="1" applyFont="1" applyBorder="1" applyAlignment="1">
      <alignment horizontal="center"/>
    </xf>
    <xf numFmtId="171" fontId="25" fillId="0" borderId="2" xfId="0" applyNumberFormat="1" applyFont="1" applyBorder="1" applyAlignment="1">
      <alignment horizontal="center"/>
    </xf>
    <xf numFmtId="0" fontId="57" fillId="0" borderId="2" xfId="0" applyFont="1" applyBorder="1" applyAlignment="1">
      <alignment vertical="center" wrapText="1"/>
    </xf>
    <xf numFmtId="0" fontId="0" fillId="0" borderId="0" xfId="0" applyAlignment="1">
      <alignment horizontal="center"/>
    </xf>
    <xf numFmtId="0" fontId="57" fillId="0" borderId="2" xfId="0" applyFont="1" applyBorder="1" applyAlignment="1">
      <alignment horizontal="center" vertical="center" wrapText="1"/>
    </xf>
    <xf numFmtId="171" fontId="57" fillId="0" borderId="2" xfId="0" applyNumberFormat="1" applyFont="1" applyBorder="1" applyAlignment="1">
      <alignment horizontal="center" vertical="center" wrapText="1"/>
    </xf>
    <xf numFmtId="171" fontId="10" fillId="0" borderId="5" xfId="0" applyNumberFormat="1" applyFont="1" applyBorder="1" applyAlignment="1">
      <alignment horizontal="center"/>
    </xf>
    <xf numFmtId="171" fontId="10" fillId="0" borderId="6" xfId="0" applyNumberFormat="1" applyFont="1" applyBorder="1" applyAlignment="1">
      <alignment horizontal="center"/>
    </xf>
    <xf numFmtId="3" fontId="8" fillId="0" borderId="0" xfId="5" applyNumberFormat="1" applyFont="1" applyAlignment="1" applyProtection="1">
      <alignment horizontal="center"/>
      <protection locked="0"/>
    </xf>
    <xf numFmtId="171" fontId="10" fillId="0" borderId="0" xfId="0" applyNumberFormat="1" applyFont="1" applyAlignment="1">
      <alignment horizontal="center"/>
    </xf>
    <xf numFmtId="4" fontId="8" fillId="0" borderId="0" xfId="3" applyNumberFormat="1" applyFont="1" applyAlignment="1">
      <alignment horizontal="center"/>
    </xf>
    <xf numFmtId="3" fontId="8" fillId="4" borderId="9" xfId="1" applyNumberFormat="1" applyFont="1" applyFill="1" applyBorder="1" applyAlignment="1">
      <alignment wrapText="1"/>
    </xf>
    <xf numFmtId="168" fontId="10" fillId="4" borderId="0" xfId="2" applyNumberFormat="1" applyFont="1" applyFill="1" applyAlignment="1">
      <alignment horizontal="center" vertical="center"/>
    </xf>
    <xf numFmtId="3" fontId="15" fillId="4" borderId="0" xfId="0" applyNumberFormat="1" applyFont="1" applyFill="1" applyAlignment="1">
      <alignment horizontal="center" vertical="center"/>
    </xf>
    <xf numFmtId="3" fontId="10" fillId="4" borderId="5" xfId="2" applyNumberFormat="1" applyFont="1" applyFill="1" applyBorder="1" applyAlignment="1">
      <alignment horizontal="center" vertical="center"/>
    </xf>
    <xf numFmtId="4" fontId="8" fillId="4" borderId="10" xfId="0" applyNumberFormat="1" applyFont="1" applyFill="1" applyBorder="1" applyAlignment="1">
      <alignment horizontal="center" vertical="center"/>
    </xf>
    <xf numFmtId="165" fontId="8" fillId="4" borderId="10" xfId="0" applyNumberFormat="1" applyFont="1" applyFill="1" applyBorder="1" applyAlignment="1">
      <alignment horizontal="center" vertical="center"/>
    </xf>
    <xf numFmtId="168" fontId="8" fillId="0" borderId="0" xfId="0" applyNumberFormat="1" applyFont="1" applyAlignment="1">
      <alignment horizontal="center"/>
    </xf>
    <xf numFmtId="3" fontId="56" fillId="4" borderId="0" xfId="0" applyNumberFormat="1" applyFont="1" applyFill="1" applyAlignment="1">
      <alignment horizontal="center" vertical="center"/>
    </xf>
    <xf numFmtId="3" fontId="8" fillId="4" borderId="6" xfId="3" applyNumberFormat="1" applyFont="1" applyFill="1" applyBorder="1" applyAlignment="1">
      <alignment horizontal="center"/>
    </xf>
    <xf numFmtId="3" fontId="10" fillId="4" borderId="6" xfId="1" applyNumberFormat="1" applyFont="1" applyFill="1" applyBorder="1" applyAlignment="1">
      <alignment horizontal="center" vertical="center"/>
    </xf>
    <xf numFmtId="3" fontId="10" fillId="4" borderId="0" xfId="1" applyNumberFormat="1" applyFont="1" applyFill="1" applyAlignment="1">
      <alignment horizontal="center" vertical="center"/>
    </xf>
    <xf numFmtId="3" fontId="10" fillId="4" borderId="5" xfId="1" applyNumberFormat="1" applyFont="1" applyFill="1" applyBorder="1" applyAlignment="1">
      <alignment horizontal="center" vertical="center"/>
    </xf>
    <xf numFmtId="165" fontId="8" fillId="4" borderId="6" xfId="0" applyNumberFormat="1" applyFont="1" applyFill="1" applyBorder="1" applyAlignment="1">
      <alignment horizontal="center" vertical="center"/>
    </xf>
    <xf numFmtId="3" fontId="6" fillId="4" borderId="7" xfId="0" applyNumberFormat="1" applyFont="1" applyFill="1" applyBorder="1" applyAlignment="1">
      <alignment horizontal="center" vertical="center"/>
    </xf>
    <xf numFmtId="9" fontId="8" fillId="0" borderId="5" xfId="3" applyFont="1" applyBorder="1" applyAlignment="1">
      <alignment horizontal="left"/>
    </xf>
    <xf numFmtId="3" fontId="8" fillId="0" borderId="5" xfId="3" applyNumberFormat="1" applyFont="1" applyBorder="1" applyAlignment="1">
      <alignment horizontal="center"/>
    </xf>
    <xf numFmtId="9" fontId="8" fillId="0" borderId="6" xfId="0" applyNumberFormat="1" applyFont="1" applyBorder="1" applyAlignment="1">
      <alignment horizontal="center"/>
    </xf>
    <xf numFmtId="171" fontId="10" fillId="5" borderId="7" xfId="0" applyNumberFormat="1" applyFont="1" applyFill="1" applyBorder="1" applyAlignment="1">
      <alignment horizontal="center"/>
    </xf>
    <xf numFmtId="3" fontId="8" fillId="5" borderId="6" xfId="0" applyNumberFormat="1" applyFont="1" applyFill="1" applyBorder="1" applyAlignment="1">
      <alignment horizontal="center"/>
    </xf>
    <xf numFmtId="168" fontId="10" fillId="5" borderId="0" xfId="2" applyNumberFormat="1" applyFont="1" applyFill="1" applyAlignment="1">
      <alignment horizontal="center" vertical="center"/>
    </xf>
    <xf numFmtId="3" fontId="2" fillId="0" borderId="0" xfId="1" applyNumberFormat="1" applyAlignment="1">
      <alignment horizontal="center"/>
    </xf>
    <xf numFmtId="3" fontId="8" fillId="0" borderId="2" xfId="1" applyNumberFormat="1" applyFont="1" applyBorder="1" applyAlignment="1">
      <alignment horizontal="center" vertical="center" wrapText="1"/>
    </xf>
    <xf numFmtId="3" fontId="2" fillId="0" borderId="2" xfId="1" applyNumberFormat="1" applyBorder="1" applyAlignment="1">
      <alignment horizontal="center"/>
    </xf>
    <xf numFmtId="4" fontId="8" fillId="0" borderId="2" xfId="2" applyNumberFormat="1" applyFont="1" applyBorder="1" applyAlignment="1">
      <alignment horizontal="center" vertical="center"/>
    </xf>
    <xf numFmtId="3" fontId="10" fillId="0" borderId="2" xfId="2" applyNumberFormat="1" applyFont="1" applyBorder="1" applyAlignment="1">
      <alignment horizontal="center" vertical="center"/>
    </xf>
    <xf numFmtId="0" fontId="6" fillId="0" borderId="14" xfId="0" applyFont="1" applyBorder="1" applyAlignment="1">
      <alignment horizontal="left" vertical="center"/>
    </xf>
    <xf numFmtId="3" fontId="6" fillId="0" borderId="5" xfId="0" applyNumberFormat="1" applyFont="1" applyBorder="1" applyAlignment="1">
      <alignment horizontal="center"/>
    </xf>
    <xf numFmtId="3" fontId="6" fillId="4" borderId="0" xfId="0" applyNumberFormat="1" applyFont="1" applyFill="1" applyAlignment="1">
      <alignment horizontal="center"/>
    </xf>
    <xf numFmtId="3" fontId="8" fillId="4" borderId="0" xfId="0" applyNumberFormat="1" applyFont="1" applyFill="1" applyAlignment="1">
      <alignment horizontal="center"/>
    </xf>
    <xf numFmtId="3" fontId="2" fillId="4" borderId="6" xfId="0" applyNumberFormat="1" applyFont="1" applyFill="1" applyBorder="1" applyAlignment="1">
      <alignment horizontal="center" vertical="center"/>
    </xf>
    <xf numFmtId="3" fontId="2" fillId="4" borderId="11" xfId="0" applyNumberFormat="1" applyFont="1" applyFill="1" applyBorder="1" applyAlignment="1">
      <alignment horizontal="center"/>
    </xf>
    <xf numFmtId="3" fontId="8" fillId="0" borderId="14" xfId="1" applyNumberFormat="1" applyFont="1" applyBorder="1" applyAlignment="1">
      <alignment horizontal="left" wrapText="1"/>
    </xf>
    <xf numFmtId="4" fontId="8" fillId="0" borderId="10" xfId="0" applyNumberFormat="1" applyFont="1" applyBorder="1" applyAlignment="1">
      <alignment horizontal="center" vertical="center"/>
    </xf>
    <xf numFmtId="3" fontId="6" fillId="6" borderId="3" xfId="0" applyNumberFormat="1" applyFont="1" applyFill="1" applyBorder="1" applyAlignment="1">
      <alignment horizontal="center" vertical="center"/>
    </xf>
    <xf numFmtId="3" fontId="10" fillId="4" borderId="5" xfId="0" applyNumberFormat="1" applyFont="1" applyFill="1" applyBorder="1" applyAlignment="1">
      <alignment horizontal="center" vertical="center"/>
    </xf>
    <xf numFmtId="3" fontId="2" fillId="4" borderId="0" xfId="1" applyNumberFormat="1" applyFill="1" applyAlignment="1">
      <alignment horizontal="center"/>
    </xf>
    <xf numFmtId="3" fontId="8" fillId="4" borderId="0" xfId="1" applyNumberFormat="1" applyFont="1" applyFill="1" applyAlignment="1">
      <alignment horizontal="center"/>
    </xf>
    <xf numFmtId="0" fontId="60" fillId="0" borderId="0" xfId="0" applyFont="1" applyAlignment="1">
      <alignment horizontal="justify" vertical="center"/>
    </xf>
    <xf numFmtId="0" fontId="2" fillId="0" borderId="0" xfId="1" applyAlignment="1">
      <alignment vertical="center"/>
    </xf>
    <xf numFmtId="3" fontId="61" fillId="0" borderId="0" xfId="0" applyNumberFormat="1" applyFont="1" applyAlignment="1">
      <alignment horizontal="center" vertical="center"/>
    </xf>
    <xf numFmtId="3" fontId="61" fillId="0" borderId="0" xfId="0" applyNumberFormat="1" applyFont="1" applyAlignment="1">
      <alignment horizontal="center"/>
    </xf>
    <xf numFmtId="171" fontId="6" fillId="0" borderId="3" xfId="0" applyNumberFormat="1" applyFont="1" applyBorder="1" applyAlignment="1">
      <alignment horizontal="center" vertical="center"/>
    </xf>
    <xf numFmtId="0" fontId="12" fillId="0" borderId="5" xfId="0" applyFont="1" applyBorder="1" applyAlignment="1">
      <alignment horizontal="left"/>
    </xf>
    <xf numFmtId="0" fontId="12" fillId="0" borderId="6" xfId="0" applyFont="1" applyBorder="1" applyAlignment="1">
      <alignment horizontal="left"/>
    </xf>
    <xf numFmtId="4" fontId="2" fillId="0" borderId="35" xfId="0" applyNumberFormat="1" applyFont="1" applyBorder="1" applyAlignment="1">
      <alignment horizontal="center"/>
    </xf>
    <xf numFmtId="4" fontId="2" fillId="0" borderId="36" xfId="0" applyNumberFormat="1" applyFont="1" applyBorder="1" applyAlignment="1">
      <alignment horizontal="center"/>
    </xf>
    <xf numFmtId="4" fontId="2" fillId="0" borderId="37" xfId="0" applyNumberFormat="1" applyFont="1" applyBorder="1" applyAlignment="1">
      <alignment horizontal="center"/>
    </xf>
    <xf numFmtId="3" fontId="8" fillId="7" borderId="6" xfId="0" applyNumberFormat="1" applyFont="1" applyFill="1" applyBorder="1" applyAlignment="1">
      <alignment horizontal="center"/>
    </xf>
    <xf numFmtId="3" fontId="47" fillId="7" borderId="6" xfId="0" applyNumberFormat="1" applyFont="1" applyFill="1" applyBorder="1" applyAlignment="1">
      <alignment horizontal="center"/>
    </xf>
    <xf numFmtId="3" fontId="8" fillId="2" borderId="2" xfId="0" applyNumberFormat="1" applyFont="1" applyFill="1" applyBorder="1" applyAlignment="1">
      <alignment horizontal="center"/>
    </xf>
    <xf numFmtId="185" fontId="2" fillId="2" borderId="10" xfId="0" applyNumberFormat="1" applyFont="1" applyFill="1" applyBorder="1" applyAlignment="1">
      <alignment horizontal="center" vertical="top" wrapText="1"/>
    </xf>
    <xf numFmtId="179" fontId="2" fillId="2" borderId="10" xfId="0" applyNumberFormat="1" applyFont="1" applyFill="1" applyBorder="1" applyAlignment="1">
      <alignment horizontal="center" vertical="top" wrapText="1"/>
    </xf>
    <xf numFmtId="186" fontId="2" fillId="2" borderId="10" xfId="0" applyNumberFormat="1" applyFont="1" applyFill="1" applyBorder="1" applyAlignment="1">
      <alignment horizontal="center" vertical="top" wrapText="1"/>
    </xf>
    <xf numFmtId="3" fontId="8" fillId="4" borderId="6" xfId="0" applyNumberFormat="1" applyFont="1" applyFill="1" applyBorder="1" applyAlignment="1">
      <alignment horizontal="center"/>
    </xf>
    <xf numFmtId="3" fontId="8" fillId="8" borderId="6" xfId="0" applyNumberFormat="1" applyFont="1" applyFill="1" applyBorder="1" applyAlignment="1">
      <alignment horizontal="center" vertical="center"/>
    </xf>
    <xf numFmtId="3" fontId="59" fillId="8" borderId="6" xfId="0" applyNumberFormat="1" applyFont="1" applyFill="1" applyBorder="1" applyAlignment="1">
      <alignment horizontal="center"/>
    </xf>
    <xf numFmtId="3" fontId="25" fillId="0" borderId="19" xfId="0" applyNumberFormat="1" applyFont="1" applyBorder="1" applyAlignment="1">
      <alignment horizontal="center"/>
    </xf>
    <xf numFmtId="4" fontId="2" fillId="0" borderId="1" xfId="0" applyNumberFormat="1" applyFont="1" applyBorder="1"/>
    <xf numFmtId="4" fontId="2" fillId="0" borderId="12" xfId="0" applyNumberFormat="1" applyFont="1" applyBorder="1"/>
    <xf numFmtId="3" fontId="25" fillId="0" borderId="29" xfId="0" applyNumberFormat="1" applyFont="1" applyBorder="1" applyAlignment="1">
      <alignment horizontal="center" vertical="center" wrapText="1"/>
    </xf>
    <xf numFmtId="4" fontId="25" fillId="5" borderId="1" xfId="0" applyNumberFormat="1" applyFont="1" applyFill="1" applyBorder="1"/>
    <xf numFmtId="3" fontId="8" fillId="0" borderId="15" xfId="3" applyNumberFormat="1" applyFont="1" applyFill="1" applyBorder="1" applyAlignment="1">
      <alignment horizontal="center"/>
    </xf>
    <xf numFmtId="3" fontId="15" fillId="9" borderId="0" xfId="0" applyNumberFormat="1" applyFont="1" applyFill="1" applyAlignment="1">
      <alignment horizontal="center" vertical="center"/>
    </xf>
    <xf numFmtId="3" fontId="10" fillId="9" borderId="6" xfId="1" applyNumberFormat="1" applyFont="1" applyFill="1" applyBorder="1" applyAlignment="1">
      <alignment horizontal="center" vertical="center"/>
    </xf>
    <xf numFmtId="3" fontId="62" fillId="0" borderId="0" xfId="0" applyNumberFormat="1" applyFont="1" applyAlignment="1">
      <alignment horizontal="center" vertical="center"/>
    </xf>
    <xf numFmtId="3" fontId="8" fillId="9" borderId="15" xfId="3" applyNumberFormat="1" applyFont="1" applyFill="1" applyBorder="1" applyAlignment="1">
      <alignment horizontal="center"/>
    </xf>
    <xf numFmtId="0" fontId="63" fillId="10" borderId="40" xfId="0" applyFont="1" applyFill="1" applyBorder="1" applyAlignment="1">
      <alignment vertical="center" wrapText="1"/>
    </xf>
    <xf numFmtId="0" fontId="63" fillId="10" borderId="43" xfId="0" applyFont="1" applyFill="1" applyBorder="1" applyAlignment="1">
      <alignment vertical="center" wrapText="1"/>
    </xf>
    <xf numFmtId="0" fontId="67" fillId="11" borderId="41" xfId="0" applyFont="1" applyFill="1" applyBorder="1" applyAlignment="1">
      <alignment vertical="center" wrapText="1"/>
    </xf>
    <xf numFmtId="3" fontId="64" fillId="11" borderId="43" xfId="0" applyNumberFormat="1" applyFont="1" applyFill="1" applyBorder="1" applyAlignment="1">
      <alignment horizontal="center" vertical="center" wrapText="1"/>
    </xf>
    <xf numFmtId="0" fontId="67" fillId="11" borderId="44" xfId="0" applyFont="1" applyFill="1" applyBorder="1" applyAlignment="1">
      <alignment vertical="center" wrapText="1"/>
    </xf>
    <xf numFmtId="3" fontId="64" fillId="11" borderId="45" xfId="0" applyNumberFormat="1" applyFont="1" applyFill="1" applyBorder="1" applyAlignment="1">
      <alignment horizontal="center" vertical="center" wrapText="1"/>
    </xf>
    <xf numFmtId="0" fontId="69" fillId="11" borderId="41" xfId="0" applyFont="1" applyFill="1" applyBorder="1" applyAlignment="1">
      <alignment vertical="center" wrapText="1"/>
    </xf>
    <xf numFmtId="0" fontId="63" fillId="10" borderId="41" xfId="0" applyFont="1" applyFill="1" applyBorder="1" applyAlignment="1">
      <alignment vertical="center" wrapText="1"/>
    </xf>
    <xf numFmtId="0" fontId="35" fillId="0" borderId="0" xfId="0" applyFont="1"/>
    <xf numFmtId="0" fontId="63" fillId="10" borderId="43" xfId="0" applyFont="1" applyFill="1" applyBorder="1" applyAlignment="1">
      <alignment horizontal="center" vertical="center" wrapText="1"/>
    </xf>
    <xf numFmtId="168" fontId="64" fillId="11" borderId="43" xfId="0" applyNumberFormat="1" applyFont="1" applyFill="1" applyBorder="1" applyAlignment="1">
      <alignment horizontal="center" vertical="center" wrapText="1"/>
    </xf>
    <xf numFmtId="0" fontId="63" fillId="10" borderId="42" xfId="0" applyFont="1" applyFill="1" applyBorder="1" applyAlignment="1">
      <alignment horizontal="center" vertical="center" wrapText="1"/>
    </xf>
    <xf numFmtId="0" fontId="68" fillId="11" borderId="43" xfId="0" applyFont="1" applyFill="1" applyBorder="1" applyAlignment="1">
      <alignment horizontal="center" vertical="center" wrapText="1"/>
    </xf>
    <xf numFmtId="0" fontId="68" fillId="11" borderId="45" xfId="0" applyFont="1" applyFill="1" applyBorder="1" applyAlignment="1">
      <alignment horizontal="center" vertical="center" wrapText="1"/>
    </xf>
    <xf numFmtId="3" fontId="68" fillId="11" borderId="45" xfId="0" applyNumberFormat="1" applyFont="1" applyFill="1" applyBorder="1" applyAlignment="1">
      <alignment horizontal="center" vertical="center" wrapText="1"/>
    </xf>
    <xf numFmtId="3" fontId="6" fillId="5" borderId="2" xfId="0" applyNumberFormat="1" applyFont="1" applyFill="1" applyBorder="1" applyAlignment="1">
      <alignment horizontal="center"/>
    </xf>
    <xf numFmtId="1" fontId="6" fillId="0" borderId="0" xfId="0" applyNumberFormat="1" applyFont="1" applyAlignment="1">
      <alignment horizontal="center" vertical="center"/>
    </xf>
    <xf numFmtId="3" fontId="8" fillId="12" borderId="2" xfId="0" applyNumberFormat="1" applyFont="1" applyFill="1" applyBorder="1" applyAlignment="1">
      <alignment horizontal="center"/>
    </xf>
    <xf numFmtId="3" fontId="6" fillId="0" borderId="0" xfId="1" applyNumberFormat="1" applyFont="1" applyAlignment="1">
      <alignment horizontal="center" vertical="center"/>
    </xf>
    <xf numFmtId="3" fontId="58" fillId="2" borderId="19" xfId="0" applyNumberFormat="1" applyFont="1" applyFill="1" applyBorder="1" applyAlignment="1">
      <alignment horizontal="center" vertical="center"/>
    </xf>
    <xf numFmtId="3" fontId="58" fillId="2" borderId="21" xfId="0" applyNumberFormat="1" applyFont="1" applyFill="1" applyBorder="1" applyAlignment="1">
      <alignment horizontal="center" vertical="center"/>
    </xf>
    <xf numFmtId="3" fontId="56" fillId="0" borderId="21" xfId="0" applyNumberFormat="1" applyFont="1" applyBorder="1" applyAlignment="1">
      <alignment horizontal="center" vertical="center"/>
    </xf>
    <xf numFmtId="3" fontId="10" fillId="0" borderId="38" xfId="1" applyNumberFormat="1" applyFont="1" applyBorder="1" applyAlignment="1">
      <alignment horizontal="center" vertical="center"/>
    </xf>
    <xf numFmtId="3" fontId="58" fillId="9" borderId="19" xfId="0" applyNumberFormat="1" applyFont="1" applyFill="1" applyBorder="1" applyAlignment="1">
      <alignment horizontal="center" vertical="center"/>
    </xf>
    <xf numFmtId="3" fontId="58" fillId="9" borderId="21" xfId="0" applyNumberFormat="1" applyFont="1" applyFill="1" applyBorder="1" applyAlignment="1">
      <alignment horizontal="center" vertical="center"/>
    </xf>
    <xf numFmtId="3" fontId="15" fillId="9" borderId="21" xfId="0" applyNumberFormat="1" applyFont="1" applyFill="1" applyBorder="1" applyAlignment="1">
      <alignment horizontal="center" vertical="center"/>
    </xf>
    <xf numFmtId="3" fontId="10" fillId="9" borderId="38" xfId="1" applyNumberFormat="1" applyFont="1" applyFill="1" applyBorder="1" applyAlignment="1">
      <alignment horizontal="center" vertical="center"/>
    </xf>
    <xf numFmtId="0" fontId="63" fillId="10" borderId="40" xfId="0" applyFont="1" applyFill="1" applyBorder="1" applyAlignment="1">
      <alignment horizontal="center" vertical="center" wrapText="1"/>
    </xf>
    <xf numFmtId="3" fontId="65" fillId="11" borderId="43" xfId="0" applyNumberFormat="1" applyFont="1" applyFill="1" applyBorder="1" applyAlignment="1">
      <alignment horizontal="center" vertical="center" wrapText="1"/>
    </xf>
    <xf numFmtId="0" fontId="69" fillId="11" borderId="43" xfId="0" applyFont="1" applyFill="1" applyBorder="1" applyAlignment="1">
      <alignment horizontal="center" vertical="center" wrapText="1"/>
    </xf>
    <xf numFmtId="168" fontId="65" fillId="11" borderId="43" xfId="0" applyNumberFormat="1" applyFont="1" applyFill="1" applyBorder="1" applyAlignment="1">
      <alignment horizontal="center" vertical="center" wrapText="1"/>
    </xf>
    <xf numFmtId="3" fontId="6" fillId="13" borderId="2" xfId="0" applyNumberFormat="1" applyFont="1" applyFill="1" applyBorder="1" applyAlignment="1">
      <alignment horizontal="center"/>
    </xf>
    <xf numFmtId="3" fontId="47" fillId="13" borderId="2" xfId="0" applyNumberFormat="1" applyFont="1" applyFill="1" applyBorder="1" applyAlignment="1">
      <alignment horizontal="center"/>
    </xf>
    <xf numFmtId="3" fontId="58" fillId="2" borderId="0" xfId="0" applyNumberFormat="1" applyFont="1" applyFill="1" applyAlignment="1">
      <alignment horizontal="center" vertical="center"/>
    </xf>
    <xf numFmtId="3" fontId="15" fillId="14" borderId="0" xfId="0" applyNumberFormat="1" applyFont="1" applyFill="1" applyAlignment="1">
      <alignment horizontal="center" vertical="center"/>
    </xf>
    <xf numFmtId="3" fontId="10" fillId="14" borderId="6" xfId="1" applyNumberFormat="1" applyFont="1" applyFill="1" applyBorder="1" applyAlignment="1">
      <alignment horizontal="center" vertical="center"/>
    </xf>
    <xf numFmtId="3" fontId="15" fillId="15" borderId="0" xfId="0" applyNumberFormat="1" applyFont="1" applyFill="1" applyAlignment="1">
      <alignment horizontal="center" vertical="center"/>
    </xf>
    <xf numFmtId="3" fontId="58" fillId="14" borderId="0" xfId="0" applyNumberFormat="1" applyFont="1" applyFill="1" applyAlignment="1">
      <alignment horizontal="center" vertical="center"/>
    </xf>
    <xf numFmtId="3" fontId="10" fillId="14" borderId="9" xfId="1" applyNumberFormat="1" applyFont="1" applyFill="1" applyBorder="1" applyAlignment="1">
      <alignment horizontal="center" vertical="center"/>
    </xf>
    <xf numFmtId="0" fontId="71" fillId="0" borderId="0" xfId="0" applyFont="1" applyAlignment="1">
      <alignment horizontal="left"/>
    </xf>
    <xf numFmtId="0" fontId="72" fillId="16" borderId="1" xfId="0" applyFont="1" applyFill="1" applyBorder="1" applyAlignment="1">
      <alignment horizontal="center" vertical="center"/>
    </xf>
    <xf numFmtId="0" fontId="72" fillId="16" borderId="4" xfId="0" applyFont="1" applyFill="1" applyBorder="1" applyAlignment="1">
      <alignment horizontal="center" vertical="center"/>
    </xf>
    <xf numFmtId="0" fontId="72" fillId="16" borderId="3" xfId="0" applyFont="1" applyFill="1" applyBorder="1" applyAlignment="1">
      <alignment horizontal="center" vertical="center"/>
    </xf>
    <xf numFmtId="0" fontId="0" fillId="0" borderId="2" xfId="0" applyBorder="1" applyAlignment="1">
      <alignment horizontal="center"/>
    </xf>
    <xf numFmtId="0" fontId="73" fillId="0" borderId="2" xfId="0" applyFont="1" applyBorder="1"/>
    <xf numFmtId="0" fontId="0" fillId="0" borderId="2" xfId="0" applyBorder="1"/>
    <xf numFmtId="0" fontId="59" fillId="2" borderId="2" xfId="0" applyFont="1" applyFill="1" applyBorder="1" applyAlignment="1">
      <alignment horizontal="center" vertical="center" wrapText="1"/>
    </xf>
    <xf numFmtId="3" fontId="0" fillId="0" borderId="2" xfId="0" applyNumberFormat="1" applyBorder="1" applyAlignment="1">
      <alignment horizontal="center"/>
    </xf>
    <xf numFmtId="3" fontId="73" fillId="0" borderId="2" xfId="0" applyNumberFormat="1" applyFont="1" applyBorder="1" applyAlignment="1">
      <alignment horizontal="center"/>
    </xf>
    <xf numFmtId="0" fontId="59" fillId="2" borderId="2" xfId="0" applyFont="1" applyFill="1" applyBorder="1" applyAlignment="1">
      <alignment horizontal="center" vertical="center"/>
    </xf>
    <xf numFmtId="0" fontId="0" fillId="4" borderId="2" xfId="0" applyFill="1" applyBorder="1" applyAlignment="1">
      <alignment horizontal="center"/>
    </xf>
    <xf numFmtId="0" fontId="73" fillId="4" borderId="2" xfId="0" applyFont="1" applyFill="1" applyBorder="1"/>
    <xf numFmtId="0" fontId="0" fillId="4" borderId="2" xfId="0" applyFill="1" applyBorder="1"/>
    <xf numFmtId="0" fontId="59" fillId="4" borderId="2" xfId="0" applyFont="1" applyFill="1" applyBorder="1" applyAlignment="1">
      <alignment horizontal="center" vertical="center" wrapText="1"/>
    </xf>
    <xf numFmtId="3" fontId="0" fillId="4" borderId="2" xfId="0" applyNumberFormat="1" applyFill="1" applyBorder="1" applyAlignment="1">
      <alignment horizontal="center"/>
    </xf>
    <xf numFmtId="3" fontId="73" fillId="4" borderId="2" xfId="0" applyNumberFormat="1" applyFont="1" applyFill="1" applyBorder="1" applyAlignment="1">
      <alignment horizontal="center"/>
    </xf>
    <xf numFmtId="0" fontId="59" fillId="4" borderId="2" xfId="0" applyFont="1" applyFill="1" applyBorder="1" applyAlignment="1">
      <alignment horizontal="center" vertical="center"/>
    </xf>
    <xf numFmtId="3" fontId="0" fillId="0" borderId="0" xfId="0" applyNumberFormat="1"/>
    <xf numFmtId="0" fontId="74" fillId="0" borderId="2" xfId="0" applyFont="1" applyBorder="1"/>
    <xf numFmtId="0" fontId="0" fillId="3" borderId="2" xfId="0" applyFill="1" applyBorder="1" applyAlignment="1">
      <alignment horizontal="center"/>
    </xf>
    <xf numFmtId="0" fontId="73" fillId="3" borderId="2" xfId="0" applyFont="1" applyFill="1" applyBorder="1"/>
    <xf numFmtId="0" fontId="0" fillId="3" borderId="2" xfId="0" applyFill="1" applyBorder="1"/>
    <xf numFmtId="0" fontId="59" fillId="3" borderId="2" xfId="0" applyFont="1" applyFill="1" applyBorder="1" applyAlignment="1">
      <alignment horizontal="center" vertical="center" wrapText="1"/>
    </xf>
    <xf numFmtId="3" fontId="0" fillId="3" borderId="2" xfId="0" applyNumberFormat="1" applyFill="1" applyBorder="1" applyAlignment="1">
      <alignment horizontal="center"/>
    </xf>
    <xf numFmtId="0" fontId="59" fillId="3" borderId="2" xfId="0" applyFont="1" applyFill="1" applyBorder="1" applyAlignment="1">
      <alignment horizontal="center" vertical="center"/>
    </xf>
    <xf numFmtId="0" fontId="74" fillId="3" borderId="2" xfId="0" applyFont="1" applyFill="1" applyBorder="1"/>
    <xf numFmtId="3" fontId="0" fillId="0" borderId="0" xfId="0" applyNumberFormat="1" applyAlignment="1">
      <alignment horizontal="center"/>
    </xf>
    <xf numFmtId="0" fontId="0" fillId="4" borderId="0" xfId="0" applyFill="1" applyAlignment="1">
      <alignment horizontal="center"/>
    </xf>
    <xf numFmtId="0" fontId="59" fillId="0" borderId="2" xfId="0" applyFont="1" applyBorder="1"/>
    <xf numFmtId="3" fontId="59" fillId="2" borderId="2" xfId="0" applyNumberFormat="1" applyFont="1" applyFill="1" applyBorder="1" applyAlignment="1">
      <alignment horizontal="center"/>
    </xf>
    <xf numFmtId="193" fontId="59" fillId="0" borderId="2" xfId="0" applyNumberFormat="1" applyFont="1" applyBorder="1" applyAlignment="1">
      <alignment horizontal="center"/>
    </xf>
    <xf numFmtId="3" fontId="59" fillId="17" borderId="2" xfId="0" applyNumberFormat="1" applyFont="1" applyFill="1" applyBorder="1" applyAlignment="1">
      <alignment horizontal="center"/>
    </xf>
    <xf numFmtId="0" fontId="59" fillId="0" borderId="2" xfId="0" applyFont="1" applyBorder="1" applyAlignment="1">
      <alignment horizontal="center"/>
    </xf>
    <xf numFmtId="3" fontId="74" fillId="0" borderId="2" xfId="0" applyNumberFormat="1" applyFont="1" applyBorder="1" applyAlignment="1">
      <alignment horizontal="center"/>
    </xf>
    <xf numFmtId="3" fontId="0" fillId="3" borderId="2" xfId="0" applyNumberFormat="1" applyFill="1" applyBorder="1"/>
    <xf numFmtId="9" fontId="0" fillId="0" borderId="0" xfId="0" applyNumberFormat="1"/>
    <xf numFmtId="0" fontId="74" fillId="4" borderId="2" xfId="0" applyFont="1" applyFill="1" applyBorder="1"/>
    <xf numFmtId="3" fontId="74" fillId="4" borderId="2" xfId="0" applyNumberFormat="1" applyFont="1" applyFill="1" applyBorder="1" applyAlignment="1">
      <alignment horizontal="center"/>
    </xf>
    <xf numFmtId="3" fontId="0" fillId="4" borderId="0" xfId="0" applyNumberFormat="1" applyFill="1" applyAlignment="1">
      <alignment horizontal="center"/>
    </xf>
    <xf numFmtId="165" fontId="59" fillId="0" borderId="2" xfId="0" applyNumberFormat="1" applyFont="1" applyBorder="1" applyAlignment="1">
      <alignment horizontal="center"/>
    </xf>
    <xf numFmtId="0" fontId="75" fillId="16" borderId="1" xfId="0" applyFont="1" applyFill="1" applyBorder="1" applyAlignment="1">
      <alignment horizontal="center" vertical="center"/>
    </xf>
    <xf numFmtId="0" fontId="75" fillId="16" borderId="4" xfId="0" applyFont="1" applyFill="1" applyBorder="1" applyAlignment="1">
      <alignment horizontal="center" vertical="center"/>
    </xf>
    <xf numFmtId="0" fontId="75" fillId="16" borderId="3"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4" borderId="2" xfId="0" applyFill="1" applyBorder="1" applyAlignment="1">
      <alignment horizontal="center" vertical="center" wrapText="1"/>
    </xf>
    <xf numFmtId="0" fontId="0" fillId="4" borderId="2" xfId="0" applyFill="1" applyBorder="1" applyAlignment="1">
      <alignment horizontal="center" vertical="center"/>
    </xf>
    <xf numFmtId="3" fontId="0" fillId="2" borderId="2" xfId="0" applyNumberFormat="1" applyFill="1" applyBorder="1" applyAlignment="1">
      <alignment horizontal="center"/>
    </xf>
    <xf numFmtId="165" fontId="0" fillId="0" borderId="2" xfId="0" applyNumberFormat="1" applyBorder="1" applyAlignment="1">
      <alignment horizontal="center"/>
    </xf>
    <xf numFmtId="3" fontId="0" fillId="17" borderId="2" xfId="0" applyNumberFormat="1" applyFill="1" applyBorder="1" applyAlignment="1">
      <alignment horizontal="center"/>
    </xf>
    <xf numFmtId="3" fontId="76" fillId="0" borderId="0" xfId="0" applyNumberFormat="1" applyFont="1" applyAlignment="1">
      <alignment horizontal="center"/>
    </xf>
    <xf numFmtId="193" fontId="76" fillId="0" borderId="0" xfId="0" applyNumberFormat="1" applyFont="1" applyAlignment="1">
      <alignment horizontal="center"/>
    </xf>
    <xf numFmtId="0" fontId="59" fillId="0" borderId="2" xfId="0" applyFont="1" applyBorder="1" applyAlignment="1">
      <alignment horizontal="center" vertical="center" wrapText="1"/>
    </xf>
    <xf numFmtId="0" fontId="59" fillId="0" borderId="2" xfId="0" applyFont="1" applyBorder="1" applyAlignment="1">
      <alignment horizontal="center" vertical="center"/>
    </xf>
    <xf numFmtId="3" fontId="59" fillId="0" borderId="2" xfId="0" applyNumberFormat="1" applyFont="1" applyBorder="1" applyAlignment="1">
      <alignment horizontal="center"/>
    </xf>
    <xf numFmtId="2" fontId="8" fillId="0" borderId="6" xfId="0" applyNumberFormat="1" applyFont="1" applyBorder="1" applyAlignment="1">
      <alignment horizontal="center" vertical="center"/>
    </xf>
    <xf numFmtId="3" fontId="25" fillId="0" borderId="0" xfId="0" applyNumberFormat="1" applyFont="1" applyAlignment="1">
      <alignment horizontal="center"/>
    </xf>
    <xf numFmtId="3" fontId="25" fillId="0" borderId="39" xfId="0" applyNumberFormat="1" applyFont="1" applyBorder="1" applyAlignment="1">
      <alignment horizontal="center"/>
    </xf>
    <xf numFmtId="3" fontId="25" fillId="0" borderId="38" xfId="0" applyNumberFormat="1" applyFont="1" applyBorder="1" applyAlignment="1">
      <alignment horizontal="center"/>
    </xf>
    <xf numFmtId="3" fontId="25" fillId="0" borderId="19" xfId="0" applyNumberFormat="1" applyFont="1" applyBorder="1" applyAlignment="1">
      <alignment horizontal="center"/>
    </xf>
    <xf numFmtId="3" fontId="25" fillId="0" borderId="20" xfId="0" applyNumberFormat="1" applyFont="1" applyBorder="1" applyAlignment="1">
      <alignment horizontal="center"/>
    </xf>
    <xf numFmtId="3" fontId="25" fillId="0" borderId="21" xfId="0" applyNumberFormat="1" applyFont="1" applyBorder="1" applyAlignment="1">
      <alignment horizontal="center"/>
    </xf>
    <xf numFmtId="3" fontId="39" fillId="0" borderId="0" xfId="0" applyNumberFormat="1" applyFont="1" applyAlignment="1">
      <alignment horizontal="center" vertical="center" textRotation="90" wrapText="1"/>
    </xf>
    <xf numFmtId="4" fontId="2" fillId="0" borderId="7" xfId="0" applyNumberFormat="1" applyFont="1" applyBorder="1" applyAlignment="1">
      <alignment horizontal="center"/>
    </xf>
    <xf numFmtId="3" fontId="2" fillId="0" borderId="7" xfId="0" applyNumberFormat="1" applyFont="1" applyBorder="1" applyAlignment="1">
      <alignment horizontal="center"/>
    </xf>
    <xf numFmtId="4" fontId="2" fillId="0" borderId="2" xfId="0" applyNumberFormat="1" applyFont="1" applyBorder="1" applyAlignment="1">
      <alignment horizontal="center"/>
    </xf>
    <xf numFmtId="3" fontId="25" fillId="5" borderId="2" xfId="0" applyNumberFormat="1" applyFont="1" applyFill="1" applyBorder="1" applyAlignment="1">
      <alignment horizontal="center"/>
    </xf>
    <xf numFmtId="4" fontId="25" fillId="5" borderId="2" xfId="0" applyNumberFormat="1" applyFont="1" applyFill="1" applyBorder="1" applyAlignment="1">
      <alignment horizontal="center"/>
    </xf>
    <xf numFmtId="3" fontId="25" fillId="0" borderId="5" xfId="0" applyNumberFormat="1" applyFont="1" applyBorder="1" applyAlignment="1">
      <alignment horizontal="center" vertical="center"/>
    </xf>
    <xf numFmtId="0" fontId="0" fillId="0" borderId="6" xfId="0" applyBorder="1" applyAlignment="1">
      <alignment horizontal="center" vertical="center"/>
    </xf>
    <xf numFmtId="0" fontId="29" fillId="0" borderId="0" xfId="0" applyFont="1" applyAlignment="1">
      <alignment horizontal="left" wrapText="1"/>
    </xf>
    <xf numFmtId="0" fontId="34" fillId="0" borderId="0" xfId="0" applyFont="1" applyAlignment="1">
      <alignment horizontal="left" wrapText="1"/>
    </xf>
  </cellXfs>
  <cellStyles count="6">
    <cellStyle name="Comma [0]" xfId="4" builtinId="6"/>
    <cellStyle name="Normal" xfId="0" builtinId="0"/>
    <cellStyle name="Normal 2" xfId="1" xr:uid="{00000000-0005-0000-0000-000002000000}"/>
    <cellStyle name="Normal 2 2" xfId="2" xr:uid="{00000000-0005-0000-0000-000003000000}"/>
    <cellStyle name="Normal_OCT98" xfId="5" xr:uid="{09A995A7-0D15-4DE5-BE1B-70244039CB4D}"/>
    <cellStyle name="Porcentaje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carla.seguel/Configuraci&#243;n%20local/Archivos%20temporales%20de%20Internet/Content.Outlook/6O42UGFW/Emission%20Reduction%20Calculation%20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carla.seguel\Configuraci&#243;n%20local\Archivos%20temporales%20de%20Internet\Content.Outlook\6O42UGFW\Emission%20Reduction%20Calculation%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F-1 data"/>
      <sheetName val="Emissions"/>
      <sheetName val="Monrep Tables"/>
      <sheetName val="PDD tables 1"/>
      <sheetName val="PDD tables 2"/>
      <sheetName val="------"/>
    </sheetNames>
    <sheetDataSet>
      <sheetData sheetId="0" refreshError="1"/>
      <sheetData sheetId="1" refreshError="1">
        <row r="73">
          <cell r="E73">
            <v>0.84</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F-1 data"/>
      <sheetName val="Emissions"/>
      <sheetName val="Monrep Tables"/>
      <sheetName val="PDD tables 1"/>
      <sheetName val="PDD tables 2"/>
      <sheetName val="------"/>
    </sheetNames>
    <sheetDataSet>
      <sheetData sheetId="0" refreshError="1"/>
      <sheetData sheetId="1" refreshError="1">
        <row r="73">
          <cell r="E73">
            <v>0.84</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8739-0E69-42AC-88E2-CA7569AB3087}">
  <dimension ref="B2:W73"/>
  <sheetViews>
    <sheetView showGridLines="0" topLeftCell="A36" zoomScale="70" zoomScaleNormal="70" workbookViewId="0">
      <selection activeCell="E13" sqref="E13"/>
    </sheetView>
  </sheetViews>
  <sheetFormatPr defaultColWidth="11.42578125" defaultRowHeight="12.75"/>
  <cols>
    <col min="1" max="1" width="10.85546875" style="265" customWidth="1"/>
    <col min="2" max="2" width="80.85546875" style="265" customWidth="1"/>
    <col min="3" max="3" width="13.42578125" style="265" customWidth="1"/>
    <col min="4" max="4" width="20.140625" style="265" customWidth="1"/>
    <col min="5" max="5" width="14" style="265" bestFit="1" customWidth="1"/>
    <col min="6" max="6" width="19.7109375" style="265" customWidth="1"/>
    <col min="7" max="7" width="14.85546875" style="265" bestFit="1" customWidth="1"/>
    <col min="8" max="8" width="21.42578125" style="265" customWidth="1"/>
    <col min="9" max="9" width="11.42578125" style="265" customWidth="1"/>
    <col min="10" max="10" width="16" style="265" customWidth="1"/>
    <col min="11" max="12" width="10.42578125" style="265" customWidth="1"/>
    <col min="13" max="13" width="8.5703125" style="265" bestFit="1" customWidth="1"/>
    <col min="14" max="14" width="10.85546875" style="265" customWidth="1"/>
    <col min="15" max="16384" width="11.42578125" style="265"/>
  </cols>
  <sheetData>
    <row r="2" spans="2:7" ht="23.25">
      <c r="B2" s="1" t="s">
        <v>0</v>
      </c>
    </row>
    <row r="5" spans="2:7">
      <c r="B5" s="266" t="s">
        <v>1</v>
      </c>
      <c r="C5" s="259" t="s">
        <v>2</v>
      </c>
    </row>
    <row r="6" spans="2:7">
      <c r="B6" s="266" t="s">
        <v>3</v>
      </c>
      <c r="C6" s="259" t="s">
        <v>4</v>
      </c>
    </row>
    <row r="8" spans="2:7">
      <c r="B8" s="266" t="s">
        <v>5</v>
      </c>
      <c r="C8" s="259" t="s">
        <v>590</v>
      </c>
    </row>
    <row r="9" spans="2:7" ht="14.25">
      <c r="B9" s="266" t="s">
        <v>6</v>
      </c>
      <c r="C9" s="259" t="s">
        <v>7</v>
      </c>
    </row>
    <row r="10" spans="2:7">
      <c r="E10" s="265">
        <f>SUM(D20:G20)</f>
        <v>1027408.2555280367</v>
      </c>
    </row>
    <row r="11" spans="2:7">
      <c r="E11" s="265">
        <f>604001</f>
        <v>604001</v>
      </c>
    </row>
    <row r="12" spans="2:7">
      <c r="E12" s="265">
        <f>E10+E11</f>
        <v>1631409.2555280367</v>
      </c>
    </row>
    <row r="13" spans="2:7" ht="15.75">
      <c r="B13" s="392" t="s">
        <v>8</v>
      </c>
    </row>
    <row r="15" spans="2:7">
      <c r="B15" s="259" t="s">
        <v>9</v>
      </c>
      <c r="C15" s="393"/>
      <c r="D15" s="228">
        <v>2020</v>
      </c>
      <c r="E15" s="228">
        <v>2019</v>
      </c>
      <c r="F15" s="228">
        <v>2018</v>
      </c>
      <c r="G15" s="228">
        <v>2017</v>
      </c>
    </row>
    <row r="16" spans="2:7" ht="15.75">
      <c r="B16" s="395" t="s">
        <v>10</v>
      </c>
      <c r="C16" s="396" t="s">
        <v>11</v>
      </c>
      <c r="D16" s="641">
        <f>'Monrep Tables'!D26</f>
        <v>0.79239999999999999</v>
      </c>
      <c r="E16" s="641">
        <f>'Monrep Tables'!F26</f>
        <v>0.75900000000000001</v>
      </c>
      <c r="F16" s="641">
        <f>'Monrep Tables'!H26</f>
        <v>0.84699999999999998</v>
      </c>
      <c r="G16" s="641">
        <f>'Monrep Tables'!J26</f>
        <v>0.71686000000000005</v>
      </c>
    </row>
    <row r="17" spans="2:7" ht="15.75">
      <c r="B17" s="397" t="s">
        <v>12</v>
      </c>
      <c r="C17" s="398" t="s">
        <v>11</v>
      </c>
      <c r="D17" s="641">
        <f>'Monrep Tables'!D27</f>
        <v>0.38074000000000002</v>
      </c>
      <c r="E17" s="641">
        <f>'Monrep Tables'!F27</f>
        <v>0.28911999999999999</v>
      </c>
      <c r="F17" s="641">
        <f>'Monrep Tables'!H27</f>
        <v>0.23413</v>
      </c>
      <c r="G17" s="641">
        <f>'Monrep Tables'!J27</f>
        <v>0.57887999999999995</v>
      </c>
    </row>
    <row r="18" spans="2:7" ht="15.75">
      <c r="B18" s="397" t="s">
        <v>13</v>
      </c>
      <c r="C18" s="398" t="s">
        <v>11</v>
      </c>
      <c r="D18" s="641">
        <f>'Monrep Tables'!E34</f>
        <v>0.58657000000000004</v>
      </c>
      <c r="E18" s="641">
        <f>'Monrep Tables'!G34</f>
        <v>0.52405999999999997</v>
      </c>
      <c r="F18" s="641">
        <f>'Monrep Tables'!I34</f>
        <v>0.54056499999999996</v>
      </c>
      <c r="G18" s="642">
        <f>'Monrep Tables'!K34</f>
        <v>0.64786999999999995</v>
      </c>
    </row>
    <row r="19" spans="2:7">
      <c r="B19" s="399"/>
      <c r="C19" s="400"/>
      <c r="D19" s="400"/>
      <c r="E19" s="400"/>
      <c r="F19" s="400"/>
      <c r="G19" s="400"/>
    </row>
    <row r="20" spans="2:7">
      <c r="B20" s="266" t="s">
        <v>14</v>
      </c>
      <c r="C20" s="267" t="s">
        <v>15</v>
      </c>
      <c r="D20" s="643">
        <f>'Monrep Tables'!E21</f>
        <v>251349.01210226267</v>
      </c>
      <c r="E20" s="643">
        <f>'Monrep Tables'!G21</f>
        <v>263847.81126962893</v>
      </c>
      <c r="F20" s="643">
        <f>'Monrep Tables'!I21</f>
        <v>268424.09591372404</v>
      </c>
      <c r="G20" s="643">
        <f>'Monrep Tables'!K21</f>
        <v>243787.33624242112</v>
      </c>
    </row>
    <row r="21" spans="2:7">
      <c r="B21" s="401" t="s">
        <v>16</v>
      </c>
      <c r="C21" s="396" t="s">
        <v>17</v>
      </c>
      <c r="D21" s="396">
        <f>Emissions!E156</f>
        <v>23460.548870168856</v>
      </c>
      <c r="E21" s="396">
        <f>Emissions!F156</f>
        <v>26268.422723440424</v>
      </c>
      <c r="F21" s="396">
        <f>Emissions!G156</f>
        <v>26502.259786722647</v>
      </c>
      <c r="G21" s="396">
        <f>Emissions!H156</f>
        <v>24721.097706646859</v>
      </c>
    </row>
    <row r="22" spans="2:7">
      <c r="B22" s="402" t="s">
        <v>18</v>
      </c>
      <c r="C22" s="398" t="s">
        <v>17</v>
      </c>
      <c r="D22" s="396">
        <f>Emissions!E157</f>
        <v>0</v>
      </c>
      <c r="E22" s="396">
        <f>Emissions!F157</f>
        <v>0</v>
      </c>
      <c r="F22" s="396">
        <f>Emissions!G157</f>
        <v>0</v>
      </c>
      <c r="G22" s="396">
        <f>Emissions!H157</f>
        <v>0</v>
      </c>
    </row>
    <row r="23" spans="2:7">
      <c r="B23" s="403" t="s">
        <v>19</v>
      </c>
      <c r="C23" s="400" t="s">
        <v>17</v>
      </c>
      <c r="D23" s="396">
        <f>Emissions!E158</f>
        <v>0</v>
      </c>
      <c r="E23" s="396">
        <f>Emissions!F158</f>
        <v>0</v>
      </c>
      <c r="F23" s="396">
        <f>Emissions!G158</f>
        <v>0</v>
      </c>
      <c r="G23" s="396">
        <f>Emissions!H158</f>
        <v>0</v>
      </c>
    </row>
    <row r="24" spans="2:7">
      <c r="B24" s="404" t="s">
        <v>20</v>
      </c>
      <c r="C24" s="267" t="s">
        <v>17</v>
      </c>
      <c r="D24" s="259">
        <f>SUM(D21:D23)</f>
        <v>23460.548870168856</v>
      </c>
      <c r="E24" s="259">
        <f>SUM(E21:E23)</f>
        <v>26268.422723440424</v>
      </c>
      <c r="F24" s="259">
        <f>SUM(F21:F23)</f>
        <v>26502.259786722647</v>
      </c>
      <c r="G24" s="259">
        <f>SUM(G21:G23)</f>
        <v>24721.097706646859</v>
      </c>
    </row>
    <row r="25" spans="2:7">
      <c r="B25" s="405" t="s">
        <v>21</v>
      </c>
      <c r="C25" s="267" t="s">
        <v>17</v>
      </c>
      <c r="D25" s="259">
        <f>Emissions!E165</f>
        <v>216516.59066395034</v>
      </c>
      <c r="E25" s="259">
        <f>Emissions!F165</f>
        <v>229179.50861737746</v>
      </c>
      <c r="F25" s="259">
        <f>Emissions!G165</f>
        <v>249400.1548119284</v>
      </c>
      <c r="G25" s="259">
        <f>Emissions!H165</f>
        <v>176378.69893164831</v>
      </c>
    </row>
    <row r="26" spans="2:7">
      <c r="B26" s="406"/>
      <c r="C26" s="267"/>
      <c r="D26" s="267"/>
      <c r="E26" s="267"/>
      <c r="F26" s="267"/>
      <c r="G26" s="267"/>
    </row>
    <row r="27" spans="2:7">
      <c r="B27" s="407" t="s">
        <v>22</v>
      </c>
      <c r="C27" s="396"/>
      <c r="D27" s="396"/>
      <c r="E27" s="396"/>
      <c r="F27" s="396"/>
      <c r="G27" s="396"/>
    </row>
    <row r="28" spans="2:7">
      <c r="B28" s="408" t="s">
        <v>23</v>
      </c>
      <c r="C28" s="398" t="s">
        <v>24</v>
      </c>
      <c r="D28" s="398">
        <f>'2020 Data'!Q85</f>
        <v>33485.513046558495</v>
      </c>
      <c r="E28" s="398">
        <f>'2019 Data'!Q84</f>
        <v>47578.269018406587</v>
      </c>
      <c r="F28" s="398">
        <f>'2018 Data'!Q80</f>
        <v>31215.382174215581</v>
      </c>
      <c r="G28" s="398">
        <f>'2017 Data '!Q80</f>
        <v>86120.744188820259</v>
      </c>
    </row>
    <row r="29" spans="2:7">
      <c r="B29" s="408" t="s">
        <v>25</v>
      </c>
      <c r="C29" s="398" t="s">
        <v>24</v>
      </c>
      <c r="D29" s="398">
        <f>'2020 Data'!Q87</f>
        <v>53.576820874493592</v>
      </c>
      <c r="E29" s="398">
        <f>'2019 Data'!Q86</f>
        <v>76.125230429450554</v>
      </c>
      <c r="F29" s="398">
        <f>'2018 Data'!Q82</f>
        <v>49.944611478744932</v>
      </c>
      <c r="G29" s="398">
        <f>'2017 Data '!Q82</f>
        <v>137.79319070211241</v>
      </c>
    </row>
    <row r="30" spans="2:7">
      <c r="B30" s="409" t="s">
        <v>26</v>
      </c>
      <c r="C30" s="398"/>
      <c r="D30" s="398"/>
      <c r="E30" s="398"/>
      <c r="F30" s="398"/>
      <c r="G30" s="398"/>
    </row>
    <row r="31" spans="2:7">
      <c r="B31" s="410" t="s">
        <v>27</v>
      </c>
      <c r="C31" s="398" t="s">
        <v>24</v>
      </c>
      <c r="D31" s="398">
        <f>'2020 Data'!Q116</f>
        <v>67046</v>
      </c>
      <c r="E31" s="398">
        <f>'2019 Data'!Q115</f>
        <v>74562</v>
      </c>
      <c r="F31" s="398">
        <f>'2018 Data'!Q111</f>
        <v>77858</v>
      </c>
      <c r="G31" s="398">
        <f>'2017 Data '!Q111</f>
        <v>69259</v>
      </c>
    </row>
    <row r="32" spans="2:7">
      <c r="B32" s="409" t="s">
        <v>28</v>
      </c>
      <c r="C32" s="398"/>
      <c r="D32" s="398"/>
      <c r="E32" s="398"/>
      <c r="F32" s="398"/>
      <c r="G32" s="398"/>
    </row>
    <row r="33" spans="2:23">
      <c r="B33" s="399" t="s">
        <v>23</v>
      </c>
      <c r="C33" s="400" t="s">
        <v>24</v>
      </c>
      <c r="D33" s="400">
        <f>'2020 Data'!Q128</f>
        <v>0</v>
      </c>
      <c r="E33" s="400">
        <f>'2019 Data'!Q127</f>
        <v>0</v>
      </c>
      <c r="F33" s="400">
        <f>'2018 Data'!Q123</f>
        <v>0</v>
      </c>
      <c r="G33" s="400">
        <f>'2017 Data '!Q123</f>
        <v>0</v>
      </c>
    </row>
    <row r="34" spans="2:23">
      <c r="B34" s="222"/>
      <c r="C34" s="264"/>
      <c r="D34" s="394"/>
    </row>
    <row r="35" spans="2:23">
      <c r="B35" s="222"/>
      <c r="C35" s="264"/>
      <c r="D35" s="394"/>
    </row>
    <row r="36" spans="2:23" ht="15.75">
      <c r="B36" s="392" t="s">
        <v>29</v>
      </c>
      <c r="C36" s="264"/>
      <c r="D36" s="394"/>
    </row>
    <row r="37" spans="2:23" ht="15.75">
      <c r="B37" s="394" t="s">
        <v>30</v>
      </c>
      <c r="O37" s="392"/>
    </row>
    <row r="38" spans="2:23" ht="13.5" thickBot="1"/>
    <row r="39" spans="2:23" ht="13.5" thickBot="1">
      <c r="D39" s="818" t="s">
        <v>31</v>
      </c>
      <c r="E39" s="819"/>
      <c r="F39" s="818" t="s">
        <v>32</v>
      </c>
      <c r="G39" s="820"/>
      <c r="H39" s="820"/>
      <c r="I39" s="820"/>
      <c r="J39" s="820"/>
      <c r="K39" s="819"/>
      <c r="Q39" s="815"/>
      <c r="R39" s="815"/>
      <c r="S39" s="815"/>
      <c r="T39" s="815"/>
      <c r="U39" s="815"/>
      <c r="V39" s="815"/>
    </row>
    <row r="40" spans="2:23" ht="63.75">
      <c r="B40" s="411"/>
      <c r="C40" s="412" t="s">
        <v>33</v>
      </c>
      <c r="D40" s="413" t="s">
        <v>34</v>
      </c>
      <c r="E40" s="414" t="s">
        <v>35</v>
      </c>
      <c r="F40" s="415" t="s">
        <v>36</v>
      </c>
      <c r="G40" s="416" t="s">
        <v>37</v>
      </c>
      <c r="H40" s="417" t="s">
        <v>38</v>
      </c>
      <c r="I40" s="414" t="s">
        <v>39</v>
      </c>
      <c r="J40" s="418" t="s">
        <v>40</v>
      </c>
      <c r="K40" s="418" t="s">
        <v>41</v>
      </c>
      <c r="L40" s="418" t="s">
        <v>42</v>
      </c>
      <c r="O40" s="419"/>
      <c r="P40" s="420"/>
      <c r="Q40" s="421"/>
      <c r="R40" s="421"/>
      <c r="S40" s="421"/>
      <c r="T40" s="421"/>
      <c r="U40" s="421"/>
      <c r="V40" s="421"/>
      <c r="W40" s="421"/>
    </row>
    <row r="41" spans="2:23" ht="16.5" thickBot="1">
      <c r="B41" s="628" t="s">
        <v>9</v>
      </c>
      <c r="C41" s="629" t="s">
        <v>43</v>
      </c>
      <c r="D41" s="630" t="s">
        <v>44</v>
      </c>
      <c r="E41" s="631" t="s">
        <v>45</v>
      </c>
      <c r="F41" s="258" t="s">
        <v>44</v>
      </c>
      <c r="G41" s="632" t="s">
        <v>45</v>
      </c>
      <c r="H41" s="633">
        <f>Emissions!E267</f>
        <v>0</v>
      </c>
      <c r="I41" s="631" t="s">
        <v>44</v>
      </c>
      <c r="J41" s="634"/>
      <c r="K41" s="634"/>
      <c r="L41" s="634" t="s">
        <v>44</v>
      </c>
      <c r="O41" s="419"/>
      <c r="P41" s="419"/>
      <c r="Q41" s="264"/>
      <c r="R41" s="264"/>
      <c r="S41" s="264"/>
      <c r="T41" s="264"/>
      <c r="U41" s="264"/>
      <c r="V41" s="264"/>
      <c r="W41" s="264"/>
    </row>
    <row r="42" spans="2:23" ht="26.25" customHeight="1">
      <c r="B42" s="635" t="s">
        <v>46</v>
      </c>
      <c r="C42" s="697">
        <f>D42+E42-(F42+G42+H42+I42+J42+K42)</f>
        <v>225295.13012212404</v>
      </c>
      <c r="D42" s="636">
        <f>Emissions!E176</f>
        <v>147433.79002882421</v>
      </c>
      <c r="E42" s="636">
        <f>Emissions!E178</f>
        <v>85372.764025619661</v>
      </c>
      <c r="F42" s="636">
        <f>Emissions!E265</f>
        <v>273.60956457280992</v>
      </c>
      <c r="G42" s="636">
        <f>Emissions!E266</f>
        <v>219.96375</v>
      </c>
      <c r="H42" s="636">
        <v>0</v>
      </c>
      <c r="I42" s="636">
        <f>Emissions!E268</f>
        <v>2119.8175031561541</v>
      </c>
      <c r="J42" s="636">
        <f>Emissions!E269</f>
        <v>4898.0331145908731</v>
      </c>
      <c r="K42" s="636">
        <f>Emissions!E270</f>
        <v>0</v>
      </c>
      <c r="L42" s="636">
        <v>0</v>
      </c>
      <c r="N42" s="422"/>
      <c r="O42" s="422"/>
    </row>
    <row r="43" spans="2:23">
      <c r="B43" s="637" t="s">
        <v>47</v>
      </c>
      <c r="C43" s="698">
        <f>D43+E43-(F43+G43+H43+I43+J43+K43)</f>
        <v>190675.90450180625</v>
      </c>
      <c r="D43" s="639">
        <f>Emissions!F176</f>
        <v>138272.08397396174</v>
      </c>
      <c r="E43" s="639">
        <f>Emissions!F178</f>
        <v>59942.292293585648</v>
      </c>
      <c r="F43" s="639">
        <f>Emissions!F265</f>
        <v>332.44138796619461</v>
      </c>
      <c r="G43" s="639">
        <f>Emissions!F266</f>
        <v>256.7894</v>
      </c>
      <c r="H43" s="639">
        <v>0</v>
      </c>
      <c r="I43" s="639">
        <f>Emissions!F268</f>
        <v>1854.2512855130553</v>
      </c>
      <c r="J43" s="639">
        <f>Emissions!F269</f>
        <v>5094.98969226187</v>
      </c>
      <c r="K43" s="639">
        <f>Emissions!F270</f>
        <v>0</v>
      </c>
      <c r="L43" s="639">
        <v>0</v>
      </c>
    </row>
    <row r="44" spans="2:23">
      <c r="B44" s="637" t="s">
        <v>48</v>
      </c>
      <c r="C44" s="698">
        <f>D44+E44-(F44+G44+H44+I44+J44+K44)</f>
        <v>204360.77961634719</v>
      </c>
      <c r="D44" s="639">
        <f>Emissions!G176</f>
        <v>145100.67140760223</v>
      </c>
      <c r="E44" s="639">
        <f>Emissions!G178</f>
        <v>68274.770017761519</v>
      </c>
      <c r="F44" s="639">
        <f>Emissions!G265</f>
        <v>296.84194810133613</v>
      </c>
      <c r="G44" s="639">
        <f>Emissions!G266</f>
        <v>290.28340499999996</v>
      </c>
      <c r="H44" s="639">
        <f>Emissions!G267</f>
        <v>0</v>
      </c>
      <c r="I44" s="639">
        <f>Emissions!G268</f>
        <v>2906.6479458557483</v>
      </c>
      <c r="J44" s="639">
        <f>Emissions!G269</f>
        <v>5520.8885100594771</v>
      </c>
      <c r="K44" s="639">
        <v>0</v>
      </c>
      <c r="L44" s="639">
        <v>0</v>
      </c>
    </row>
    <row r="45" spans="2:23" ht="13.5" thickBot="1">
      <c r="B45" s="638" t="s">
        <v>49</v>
      </c>
      <c r="C45" s="699">
        <f>D45+E45-(F45+G45+H45+I45+J45+K45)</f>
        <v>202993.8898925657</v>
      </c>
      <c r="D45" s="640">
        <f>Emissions!H176</f>
        <v>157942.50153137735</v>
      </c>
      <c r="E45" s="640">
        <f>Emissions!H178</f>
        <v>51662.315753218507</v>
      </c>
      <c r="F45" s="640">
        <f>Emissions!H265</f>
        <v>422.98975801797087</v>
      </c>
      <c r="G45" s="640">
        <f>Emissions!H266</f>
        <v>290.24575999999996</v>
      </c>
      <c r="H45" s="640">
        <v>0</v>
      </c>
      <c r="I45" s="640">
        <f>Emissions!H268</f>
        <v>1836.204843476369</v>
      </c>
      <c r="J45" s="640">
        <f>Emissions!H269</f>
        <v>4061.4870305358213</v>
      </c>
      <c r="K45" s="640">
        <f>Emissions!H270</f>
        <v>0</v>
      </c>
      <c r="L45" s="640">
        <v>0</v>
      </c>
    </row>
    <row r="47" spans="2:23" ht="25.35" customHeight="1" thickBot="1">
      <c r="B47" s="394" t="s">
        <v>50</v>
      </c>
    </row>
    <row r="48" spans="2:23" ht="25.35" customHeight="1" thickBot="1">
      <c r="B48" s="709" t="s">
        <v>51</v>
      </c>
      <c r="C48" s="712" t="s">
        <v>33</v>
      </c>
      <c r="D48" s="816" t="s">
        <v>31</v>
      </c>
      <c r="E48" s="816"/>
      <c r="F48" s="816" t="s">
        <v>32</v>
      </c>
      <c r="G48" s="816"/>
      <c r="H48" s="816"/>
      <c r="I48" s="816"/>
      <c r="J48" s="816"/>
      <c r="K48" s="817"/>
    </row>
    <row r="49" spans="2:15">
      <c r="B49" s="635" t="s">
        <v>46</v>
      </c>
      <c r="C49" s="711">
        <f>D49-F49</f>
        <v>225294</v>
      </c>
      <c r="D49" s="822">
        <f>ROUNDDOWN(SUM(D42:E42),0)</f>
        <v>232806</v>
      </c>
      <c r="E49" s="822"/>
      <c r="F49" s="823">
        <f>ROUNDUP(SUM(F42:L42),0)</f>
        <v>7512</v>
      </c>
      <c r="G49" s="823"/>
      <c r="H49" s="823"/>
      <c r="I49" s="823"/>
      <c r="J49" s="823"/>
      <c r="K49" s="823"/>
      <c r="L49" s="264"/>
    </row>
    <row r="50" spans="2:15">
      <c r="B50" s="637" t="s">
        <v>47</v>
      </c>
      <c r="C50" s="710">
        <f t="shared" ref="C50:C52" si="0">D50-F50</f>
        <v>190675</v>
      </c>
      <c r="D50" s="824">
        <f t="shared" ref="D50:D51" si="1">ROUNDDOWN(SUM(D43:E43),0)</f>
        <v>198214</v>
      </c>
      <c r="E50" s="824"/>
      <c r="F50" s="823">
        <f t="shared" ref="F50:F52" si="2">ROUNDUP(SUM(F43:L43),0)</f>
        <v>7539</v>
      </c>
      <c r="G50" s="823"/>
      <c r="H50" s="823"/>
      <c r="I50" s="823"/>
      <c r="J50" s="823"/>
      <c r="K50" s="823"/>
      <c r="L50" s="419"/>
    </row>
    <row r="51" spans="2:15">
      <c r="B51" s="637" t="s">
        <v>48</v>
      </c>
      <c r="C51" s="710">
        <f t="shared" si="0"/>
        <v>204360</v>
      </c>
      <c r="D51" s="824">
        <f t="shared" si="1"/>
        <v>213375</v>
      </c>
      <c r="E51" s="824"/>
      <c r="F51" s="823">
        <f t="shared" si="2"/>
        <v>9015</v>
      </c>
      <c r="G51" s="823"/>
      <c r="H51" s="823"/>
      <c r="I51" s="823"/>
      <c r="J51" s="823"/>
      <c r="K51" s="823"/>
      <c r="O51" s="263"/>
    </row>
    <row r="52" spans="2:15" ht="13.5" thickBot="1">
      <c r="B52" s="638" t="s">
        <v>49</v>
      </c>
      <c r="C52" s="710">
        <f t="shared" si="0"/>
        <v>202993</v>
      </c>
      <c r="D52" s="824">
        <f>ROUNDDOWN(SUM(D45:E45),0)</f>
        <v>209604</v>
      </c>
      <c r="E52" s="824"/>
      <c r="F52" s="823">
        <f t="shared" si="2"/>
        <v>6611</v>
      </c>
      <c r="G52" s="823"/>
      <c r="H52" s="823"/>
      <c r="I52" s="823"/>
      <c r="J52" s="823"/>
      <c r="K52" s="823"/>
    </row>
    <row r="53" spans="2:15">
      <c r="C53" s="713">
        <f>SUM(C49:C52)</f>
        <v>823322</v>
      </c>
      <c r="D53" s="826">
        <f>SUM(D49:E52)</f>
        <v>853999</v>
      </c>
      <c r="E53" s="826"/>
      <c r="F53" s="825">
        <f>SUM(F49:K52)</f>
        <v>30677</v>
      </c>
      <c r="G53" s="825"/>
      <c r="H53" s="825"/>
      <c r="I53" s="825"/>
      <c r="J53" s="825"/>
      <c r="K53" s="825"/>
    </row>
    <row r="54" spans="2:15">
      <c r="M54" s="394" t="s">
        <v>53</v>
      </c>
      <c r="N54" s="265" t="s">
        <v>53</v>
      </c>
    </row>
    <row r="55" spans="2:15" ht="15" customHeight="1">
      <c r="B55" s="263" t="s">
        <v>52</v>
      </c>
      <c r="I55" s="423"/>
    </row>
    <row r="56" spans="2:15" ht="16.5" customHeight="1" thickBot="1"/>
    <row r="57" spans="2:15" ht="54" customHeight="1">
      <c r="B57" s="719" t="s">
        <v>598</v>
      </c>
      <c r="C57" s="730" t="s">
        <v>599</v>
      </c>
      <c r="D57" s="746" t="s">
        <v>601</v>
      </c>
      <c r="E57" s="719" t="s">
        <v>602</v>
      </c>
      <c r="F57" s="730" t="s">
        <v>603</v>
      </c>
      <c r="G57" s="730" t="s">
        <v>609</v>
      </c>
      <c r="H57" s="730" t="s">
        <v>610</v>
      </c>
    </row>
    <row r="58" spans="2:15" ht="15.75" thickBot="1">
      <c r="B58" s="726"/>
      <c r="C58" s="720" t="s">
        <v>600</v>
      </c>
      <c r="D58" s="726"/>
      <c r="E58" s="726"/>
      <c r="F58" s="720" t="s">
        <v>600</v>
      </c>
      <c r="G58" s="720" t="s">
        <v>600</v>
      </c>
      <c r="H58" s="728" t="s">
        <v>114</v>
      </c>
    </row>
    <row r="59" spans="2:15" ht="15" thickBot="1">
      <c r="B59" s="721" t="s">
        <v>604</v>
      </c>
      <c r="C59" s="722">
        <f>D52</f>
        <v>209604</v>
      </c>
      <c r="D59" s="722">
        <f>F52</f>
        <v>6611</v>
      </c>
      <c r="E59" s="731">
        <v>0</v>
      </c>
      <c r="F59" s="722">
        <f>C59-D59</f>
        <v>202993</v>
      </c>
      <c r="G59" s="722">
        <v>258903</v>
      </c>
      <c r="H59" s="729">
        <f>(F59-G59)/G59</f>
        <v>-0.21594960274697472</v>
      </c>
      <c r="N59" s="821"/>
    </row>
    <row r="60" spans="2:15" ht="15" thickBot="1">
      <c r="B60" s="723" t="s">
        <v>605</v>
      </c>
      <c r="C60" s="724">
        <f>D51</f>
        <v>213375</v>
      </c>
      <c r="D60" s="724">
        <f>F51</f>
        <v>9015</v>
      </c>
      <c r="E60" s="732">
        <v>0</v>
      </c>
      <c r="F60" s="722">
        <f t="shared" ref="F60:F62" si="3">C60-D60</f>
        <v>204360</v>
      </c>
      <c r="G60" s="722">
        <v>258903</v>
      </c>
      <c r="H60" s="729">
        <f t="shared" ref="H60:H63" si="4">(F60-G60)/G60</f>
        <v>-0.21066963302858599</v>
      </c>
      <c r="N60" s="821"/>
    </row>
    <row r="61" spans="2:15" ht="15.75" thickTop="1" thickBot="1">
      <c r="B61" s="723" t="s">
        <v>606</v>
      </c>
      <c r="C61" s="733">
        <f>D50</f>
        <v>198214</v>
      </c>
      <c r="D61" s="733">
        <f>F50</f>
        <v>7539</v>
      </c>
      <c r="E61" s="732">
        <v>0</v>
      </c>
      <c r="F61" s="722">
        <f t="shared" si="3"/>
        <v>190675</v>
      </c>
      <c r="G61" s="722">
        <v>258903</v>
      </c>
      <c r="H61" s="729">
        <f t="shared" si="4"/>
        <v>-0.26352726696871032</v>
      </c>
      <c r="N61" s="821"/>
    </row>
    <row r="62" spans="2:15" ht="15.75" thickTop="1" thickBot="1">
      <c r="B62" s="723" t="s">
        <v>607</v>
      </c>
      <c r="C62" s="733">
        <f>D49</f>
        <v>232806</v>
      </c>
      <c r="D62" s="733">
        <f>F49</f>
        <v>7512</v>
      </c>
      <c r="E62" s="732">
        <v>0</v>
      </c>
      <c r="F62" s="722">
        <f t="shared" si="3"/>
        <v>225294</v>
      </c>
      <c r="G62" s="722">
        <v>258903</v>
      </c>
      <c r="H62" s="729">
        <f t="shared" si="4"/>
        <v>-0.12981309602437979</v>
      </c>
      <c r="N62" s="821"/>
    </row>
    <row r="63" spans="2:15" ht="21.95" customHeight="1" thickTop="1" thickBot="1">
      <c r="B63" s="725" t="s">
        <v>388</v>
      </c>
      <c r="C63" s="747">
        <f>SUM(C59:C62)</f>
        <v>853999</v>
      </c>
      <c r="D63" s="747">
        <f>SUM(D59:D62)</f>
        <v>30677</v>
      </c>
      <c r="E63" s="748">
        <v>0</v>
      </c>
      <c r="F63" s="747">
        <f>SUM(F59:F62)</f>
        <v>823322</v>
      </c>
      <c r="G63" s="747">
        <f>SUM(G59:G62)</f>
        <v>1035612</v>
      </c>
      <c r="H63" s="749">
        <f t="shared" si="4"/>
        <v>-0.20498989969216269</v>
      </c>
      <c r="N63" s="821"/>
    </row>
    <row r="64" spans="2:15">
      <c r="N64" s="821"/>
    </row>
    <row r="68" spans="13:13" ht="15">
      <c r="M68" s="424"/>
    </row>
    <row r="70" spans="13:13" ht="15.75">
      <c r="M70" s="425"/>
    </row>
    <row r="73" spans="13:13" ht="15.75">
      <c r="M73" s="426"/>
    </row>
  </sheetData>
  <mergeCells count="17">
    <mergeCell ref="N59:N64"/>
    <mergeCell ref="D49:E49"/>
    <mergeCell ref="F49:K49"/>
    <mergeCell ref="D50:E50"/>
    <mergeCell ref="F50:K50"/>
    <mergeCell ref="F51:K51"/>
    <mergeCell ref="F52:K52"/>
    <mergeCell ref="F53:K53"/>
    <mergeCell ref="D51:E51"/>
    <mergeCell ref="D52:E52"/>
    <mergeCell ref="D53:E53"/>
    <mergeCell ref="Q39:R39"/>
    <mergeCell ref="S39:V39"/>
    <mergeCell ref="D48:E48"/>
    <mergeCell ref="F48:K48"/>
    <mergeCell ref="D39:E39"/>
    <mergeCell ref="F39:K3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71A73-778D-47F9-85CD-A57F38719D3F}">
  <dimension ref="B1:M53"/>
  <sheetViews>
    <sheetView topLeftCell="A32" zoomScale="70" zoomScaleNormal="70" workbookViewId="0">
      <selection activeCell="F17" sqref="F17:G17"/>
    </sheetView>
  </sheetViews>
  <sheetFormatPr defaultColWidth="11.42578125" defaultRowHeight="15"/>
  <cols>
    <col min="2" max="2" width="11.42578125" style="645"/>
    <col min="4" max="4" width="11.42578125" customWidth="1"/>
    <col min="5" max="5" width="23.42578125" customWidth="1"/>
    <col min="6" max="6" width="19.42578125" style="645" customWidth="1"/>
    <col min="7" max="7" width="17.42578125" bestFit="1" customWidth="1"/>
    <col min="8" max="8" width="12.85546875" customWidth="1"/>
  </cols>
  <sheetData>
    <row r="1" spans="2:13" ht="26.25">
      <c r="B1" s="758"/>
    </row>
    <row r="4" spans="2:13" ht="15.75">
      <c r="B4" s="759" t="s">
        <v>622</v>
      </c>
      <c r="C4" s="760" t="s">
        <v>623</v>
      </c>
      <c r="D4" s="760" t="s">
        <v>624</v>
      </c>
      <c r="E4" s="760" t="s">
        <v>625</v>
      </c>
      <c r="F4" s="760" t="s">
        <v>522</v>
      </c>
      <c r="G4" s="760" t="s">
        <v>626</v>
      </c>
      <c r="H4" s="761" t="s">
        <v>627</v>
      </c>
    </row>
    <row r="5" spans="2:13" ht="30">
      <c r="B5" s="762">
        <v>1</v>
      </c>
      <c r="C5" s="763" t="s">
        <v>675</v>
      </c>
      <c r="D5" s="764" t="s">
        <v>629</v>
      </c>
      <c r="E5" s="765" t="s">
        <v>630</v>
      </c>
      <c r="F5" s="766">
        <v>3712.3199999999997</v>
      </c>
      <c r="G5" s="767">
        <v>3.833260000000001</v>
      </c>
      <c r="H5" s="768" t="s">
        <v>631</v>
      </c>
    </row>
    <row r="6" spans="2:13" ht="30">
      <c r="B6" s="762">
        <v>2</v>
      </c>
      <c r="C6" s="763" t="s">
        <v>676</v>
      </c>
      <c r="D6" s="764" t="s">
        <v>629</v>
      </c>
      <c r="E6" s="765" t="s">
        <v>630</v>
      </c>
      <c r="F6" s="766">
        <v>1380.6799999999998</v>
      </c>
      <c r="G6" s="792">
        <v>1.8187000000000004</v>
      </c>
      <c r="H6" s="768" t="s">
        <v>631</v>
      </c>
      <c r="K6" s="776"/>
      <c r="L6" s="794"/>
      <c r="M6" s="776"/>
    </row>
    <row r="7" spans="2:13" ht="30">
      <c r="B7" s="762">
        <v>3</v>
      </c>
      <c r="C7" s="777" t="s">
        <v>668</v>
      </c>
      <c r="D7" s="764" t="s">
        <v>629</v>
      </c>
      <c r="E7" s="765" t="s">
        <v>630</v>
      </c>
      <c r="F7" s="766">
        <v>4481.95</v>
      </c>
      <c r="G7" s="792">
        <v>3.6853199999999999</v>
      </c>
      <c r="H7" s="768" t="s">
        <v>631</v>
      </c>
      <c r="K7" s="776"/>
      <c r="L7" s="794"/>
      <c r="M7" s="776"/>
    </row>
    <row r="8" spans="2:13" ht="30">
      <c r="B8" s="762">
        <v>4</v>
      </c>
      <c r="C8" s="763" t="s">
        <v>634</v>
      </c>
      <c r="D8" s="764" t="s">
        <v>629</v>
      </c>
      <c r="E8" s="765" t="s">
        <v>630</v>
      </c>
      <c r="F8" s="766">
        <v>3309.69</v>
      </c>
      <c r="G8" s="767">
        <v>1.5329600000000005</v>
      </c>
      <c r="H8" s="768" t="s">
        <v>631</v>
      </c>
      <c r="M8" s="776"/>
    </row>
    <row r="9" spans="2:13" ht="30">
      <c r="B9" s="762">
        <v>5</v>
      </c>
      <c r="C9" s="763" t="s">
        <v>636</v>
      </c>
      <c r="D9" s="764" t="s">
        <v>629</v>
      </c>
      <c r="E9" s="765" t="s">
        <v>630</v>
      </c>
      <c r="F9" s="766">
        <v>15299.839999999998</v>
      </c>
      <c r="G9" s="767">
        <v>3.0054800000000008</v>
      </c>
      <c r="H9" s="768" t="s">
        <v>631</v>
      </c>
    </row>
    <row r="10" spans="2:13" ht="30">
      <c r="B10" s="762">
        <v>6</v>
      </c>
      <c r="C10" s="763" t="s">
        <v>637</v>
      </c>
      <c r="D10" s="764" t="s">
        <v>629</v>
      </c>
      <c r="E10" s="765" t="s">
        <v>630</v>
      </c>
      <c r="F10" s="766">
        <v>9128.4799999999977</v>
      </c>
      <c r="G10" s="767">
        <v>7.7326200000000007</v>
      </c>
      <c r="H10" s="768" t="s">
        <v>631</v>
      </c>
    </row>
    <row r="11" spans="2:13" ht="30">
      <c r="B11" s="762">
        <v>7</v>
      </c>
      <c r="C11" s="777" t="s">
        <v>669</v>
      </c>
      <c r="D11" s="764" t="s">
        <v>629</v>
      </c>
      <c r="E11" s="765" t="s">
        <v>630</v>
      </c>
      <c r="F11" s="766">
        <v>1502.23</v>
      </c>
      <c r="G11" s="792">
        <v>5.61456</v>
      </c>
      <c r="H11" s="768" t="s">
        <v>631</v>
      </c>
    </row>
    <row r="12" spans="2:13" ht="30">
      <c r="B12" s="762">
        <v>8</v>
      </c>
      <c r="C12" s="777" t="s">
        <v>639</v>
      </c>
      <c r="D12" s="764" t="s">
        <v>629</v>
      </c>
      <c r="E12" s="765" t="s">
        <v>630</v>
      </c>
      <c r="F12" s="766">
        <v>1101.4159999999999</v>
      </c>
      <c r="G12" s="792">
        <v>0.96508000000000016</v>
      </c>
      <c r="H12" s="768" t="s">
        <v>631</v>
      </c>
    </row>
    <row r="13" spans="2:13" ht="30">
      <c r="B13" s="762">
        <v>9</v>
      </c>
      <c r="C13" s="763" t="s">
        <v>677</v>
      </c>
      <c r="D13" s="764" t="s">
        <v>629</v>
      </c>
      <c r="E13" s="765" t="s">
        <v>630</v>
      </c>
      <c r="F13" s="766">
        <v>23196.079999999998</v>
      </c>
      <c r="G13" s="767">
        <v>26.049380000000014</v>
      </c>
      <c r="H13" s="768" t="s">
        <v>631</v>
      </c>
    </row>
    <row r="14" spans="2:13" ht="30">
      <c r="B14" s="762">
        <v>10</v>
      </c>
      <c r="C14" s="777" t="s">
        <v>640</v>
      </c>
      <c r="D14" s="764" t="s">
        <v>629</v>
      </c>
      <c r="E14" s="765" t="s">
        <v>630</v>
      </c>
      <c r="F14" s="766">
        <v>32090.363999999994</v>
      </c>
      <c r="G14" s="792">
        <v>43.135120000000001</v>
      </c>
      <c r="H14" s="768" t="s">
        <v>631</v>
      </c>
    </row>
    <row r="15" spans="2:13" ht="30">
      <c r="B15" s="762">
        <v>11</v>
      </c>
      <c r="C15" s="777" t="s">
        <v>641</v>
      </c>
      <c r="D15" s="764" t="s">
        <v>629</v>
      </c>
      <c r="E15" s="765" t="s">
        <v>630</v>
      </c>
      <c r="F15" s="766">
        <v>7285.7559999999994</v>
      </c>
      <c r="G15" s="792">
        <v>33.018059999999998</v>
      </c>
      <c r="H15" s="768" t="s">
        <v>631</v>
      </c>
    </row>
    <row r="16" spans="2:13" ht="30">
      <c r="B16" s="762">
        <v>12</v>
      </c>
      <c r="C16" s="777" t="s">
        <v>642</v>
      </c>
      <c r="D16" s="764" t="s">
        <v>629</v>
      </c>
      <c r="E16" s="765" t="s">
        <v>630</v>
      </c>
      <c r="F16" s="766">
        <v>39001.828000000009</v>
      </c>
      <c r="G16" s="792">
        <v>126.95626000000003</v>
      </c>
      <c r="H16" s="768" t="s">
        <v>631</v>
      </c>
    </row>
    <row r="17" spans="2:8">
      <c r="B17" s="769" t="s">
        <v>580</v>
      </c>
      <c r="C17" s="795"/>
      <c r="D17" s="771"/>
      <c r="E17" s="772"/>
      <c r="F17" s="773">
        <v>3642.6112999999896</v>
      </c>
      <c r="G17" s="796">
        <v>127</v>
      </c>
      <c r="H17" s="775"/>
    </row>
    <row r="18" spans="2:8" ht="30">
      <c r="B18" s="762">
        <v>13</v>
      </c>
      <c r="C18" s="777" t="s">
        <v>643</v>
      </c>
      <c r="D18" s="764" t="s">
        <v>629</v>
      </c>
      <c r="E18" s="765" t="s">
        <v>630</v>
      </c>
      <c r="F18" s="766">
        <v>8714.8999999999978</v>
      </c>
      <c r="G18" s="792">
        <v>6.1706999999999992</v>
      </c>
      <c r="H18" s="768" t="s">
        <v>631</v>
      </c>
    </row>
    <row r="19" spans="2:8" ht="30">
      <c r="B19" s="762">
        <v>14</v>
      </c>
      <c r="C19" s="777" t="s">
        <v>644</v>
      </c>
      <c r="D19" s="764" t="s">
        <v>629</v>
      </c>
      <c r="E19" s="765" t="s">
        <v>630</v>
      </c>
      <c r="F19" s="766">
        <v>11673.6</v>
      </c>
      <c r="G19" s="792">
        <v>5.0881599999999993</v>
      </c>
      <c r="H19" s="768" t="s">
        <v>631</v>
      </c>
    </row>
    <row r="20" spans="2:8" ht="30">
      <c r="B20" s="762">
        <v>15</v>
      </c>
      <c r="C20" s="777" t="s">
        <v>645</v>
      </c>
      <c r="D20" s="764" t="s">
        <v>629</v>
      </c>
      <c r="E20" s="765" t="s">
        <v>630</v>
      </c>
      <c r="F20" s="766">
        <v>2871.29</v>
      </c>
      <c r="G20" s="792">
        <v>4.2799999999999976</v>
      </c>
      <c r="H20" s="768" t="s">
        <v>631</v>
      </c>
    </row>
    <row r="21" spans="2:8" ht="30">
      <c r="B21" s="762">
        <v>16</v>
      </c>
      <c r="C21" s="777" t="s">
        <v>657</v>
      </c>
      <c r="D21" s="764" t="s">
        <v>629</v>
      </c>
      <c r="E21" s="765" t="s">
        <v>630</v>
      </c>
      <c r="F21" s="766">
        <v>1144.3800000000001</v>
      </c>
      <c r="G21" s="792">
        <v>0.90898000000000023</v>
      </c>
      <c r="H21" s="768" t="s">
        <v>631</v>
      </c>
    </row>
    <row r="22" spans="2:8" ht="30">
      <c r="B22" s="762">
        <v>17</v>
      </c>
      <c r="C22" s="777" t="s">
        <v>648</v>
      </c>
      <c r="D22" s="764" t="s">
        <v>629</v>
      </c>
      <c r="E22" s="765" t="s">
        <v>630</v>
      </c>
      <c r="F22" s="766">
        <v>3339.86</v>
      </c>
      <c r="G22" s="792">
        <v>3.1200399999999995</v>
      </c>
      <c r="H22" s="768" t="s">
        <v>631</v>
      </c>
    </row>
    <row r="23" spans="2:8" ht="30">
      <c r="B23" s="762">
        <v>18</v>
      </c>
      <c r="C23" s="763" t="s">
        <v>649</v>
      </c>
      <c r="D23" s="764" t="s">
        <v>629</v>
      </c>
      <c r="E23" s="765" t="s">
        <v>630</v>
      </c>
      <c r="F23" s="762">
        <v>21332.53000000001</v>
      </c>
      <c r="G23" s="792">
        <v>4.9296000000000015</v>
      </c>
      <c r="H23" s="768" t="s">
        <v>631</v>
      </c>
    </row>
    <row r="24" spans="2:8" ht="30">
      <c r="B24" s="762">
        <v>19</v>
      </c>
      <c r="C24" s="777" t="s">
        <v>650</v>
      </c>
      <c r="D24" s="764" t="s">
        <v>629</v>
      </c>
      <c r="E24" s="765" t="s">
        <v>630</v>
      </c>
      <c r="F24" s="762">
        <v>4258.26</v>
      </c>
      <c r="G24" s="792">
        <v>5.3773999999999988</v>
      </c>
      <c r="H24" s="768" t="s">
        <v>631</v>
      </c>
    </row>
    <row r="25" spans="2:8" ht="30">
      <c r="B25" s="762">
        <v>20</v>
      </c>
      <c r="C25" s="777" t="s">
        <v>678</v>
      </c>
      <c r="D25" s="764" t="s">
        <v>629</v>
      </c>
      <c r="E25" s="765" t="s">
        <v>630</v>
      </c>
      <c r="F25" s="762">
        <v>4549.6000000000004</v>
      </c>
      <c r="G25" s="792">
        <v>2.4103999999999988</v>
      </c>
      <c r="H25" s="768" t="s">
        <v>631</v>
      </c>
    </row>
    <row r="26" spans="2:8" ht="30">
      <c r="B26" s="762">
        <v>21</v>
      </c>
      <c r="C26" s="763" t="s">
        <v>671</v>
      </c>
      <c r="D26" s="764" t="s">
        <v>629</v>
      </c>
      <c r="E26" s="765" t="s">
        <v>630</v>
      </c>
      <c r="F26" s="762">
        <v>9422.9500000000025</v>
      </c>
      <c r="G26" s="767">
        <v>15.807740000000001</v>
      </c>
      <c r="H26" s="768" t="s">
        <v>631</v>
      </c>
    </row>
    <row r="27" spans="2:8" ht="30">
      <c r="B27" s="762">
        <v>22</v>
      </c>
      <c r="C27" s="777" t="s">
        <v>673</v>
      </c>
      <c r="D27" s="764" t="s">
        <v>629</v>
      </c>
      <c r="E27" s="765" t="s">
        <v>630</v>
      </c>
      <c r="F27" s="762">
        <v>18752.68</v>
      </c>
      <c r="G27" s="792">
        <v>9.1344399999999997</v>
      </c>
      <c r="H27" s="768" t="s">
        <v>631</v>
      </c>
    </row>
    <row r="28" spans="2:8" ht="30">
      <c r="B28" s="762">
        <v>23</v>
      </c>
      <c r="C28" s="777" t="s">
        <v>679</v>
      </c>
      <c r="D28" s="764" t="s">
        <v>629</v>
      </c>
      <c r="E28" s="765" t="s">
        <v>630</v>
      </c>
      <c r="F28" s="762">
        <v>855.59999999999991</v>
      </c>
      <c r="G28" s="792">
        <v>5.8960799999999995</v>
      </c>
      <c r="H28" s="768" t="s">
        <v>631</v>
      </c>
    </row>
    <row r="29" spans="2:8" ht="30">
      <c r="B29" s="762">
        <v>24</v>
      </c>
      <c r="C29" s="777" t="s">
        <v>680</v>
      </c>
      <c r="D29" s="764" t="s">
        <v>629</v>
      </c>
      <c r="E29" s="765" t="s">
        <v>630</v>
      </c>
      <c r="F29" s="762">
        <v>10916.44</v>
      </c>
      <c r="G29" s="792">
        <v>8.7410000000000032</v>
      </c>
      <c r="H29" s="768" t="s">
        <v>631</v>
      </c>
    </row>
    <row r="30" spans="2:8" ht="30">
      <c r="B30" s="762">
        <v>25</v>
      </c>
      <c r="C30" s="777" t="s">
        <v>681</v>
      </c>
      <c r="D30" s="764" t="s">
        <v>629</v>
      </c>
      <c r="E30" s="765" t="s">
        <v>630</v>
      </c>
      <c r="F30" s="762">
        <v>5060.6000000000013</v>
      </c>
      <c r="G30" s="792">
        <v>4.6700200000000001</v>
      </c>
      <c r="H30" s="768" t="s">
        <v>631</v>
      </c>
    </row>
    <row r="31" spans="2:8" ht="30">
      <c r="B31" s="762">
        <v>26</v>
      </c>
      <c r="C31" s="763" t="s">
        <v>654</v>
      </c>
      <c r="D31" s="764" t="s">
        <v>629</v>
      </c>
      <c r="E31" s="765" t="s">
        <v>630</v>
      </c>
      <c r="F31" s="762">
        <v>15047.89</v>
      </c>
      <c r="G31" s="767">
        <v>14.524339999999999</v>
      </c>
      <c r="H31" s="768" t="s">
        <v>631</v>
      </c>
    </row>
    <row r="32" spans="2:8" ht="30">
      <c r="B32" s="762">
        <v>27</v>
      </c>
      <c r="C32" s="777" t="s">
        <v>682</v>
      </c>
      <c r="D32" s="764" t="s">
        <v>629</v>
      </c>
      <c r="E32" s="765" t="s">
        <v>630</v>
      </c>
      <c r="F32" s="762">
        <v>2484.5500000000002</v>
      </c>
      <c r="G32" s="792">
        <v>2.2662600000000004</v>
      </c>
      <c r="H32" s="768" t="s">
        <v>631</v>
      </c>
    </row>
    <row r="33" spans="2:8" ht="30">
      <c r="B33" s="762">
        <v>28</v>
      </c>
      <c r="C33" s="763" t="s">
        <v>656</v>
      </c>
      <c r="D33" s="764" t="s">
        <v>629</v>
      </c>
      <c r="E33" s="765" t="s">
        <v>630</v>
      </c>
      <c r="F33" s="762">
        <v>15868.510000000002</v>
      </c>
      <c r="G33" s="767">
        <v>11.198619999999998</v>
      </c>
      <c r="H33" s="768" t="s">
        <v>631</v>
      </c>
    </row>
    <row r="34" spans="2:8" ht="30">
      <c r="B34" s="762">
        <v>29</v>
      </c>
      <c r="C34" s="763" t="s">
        <v>683</v>
      </c>
      <c r="D34" s="764" t="s">
        <v>629</v>
      </c>
      <c r="E34" s="765" t="s">
        <v>630</v>
      </c>
      <c r="F34" s="762">
        <v>335</v>
      </c>
      <c r="G34" s="767">
        <v>0.33120000000000005</v>
      </c>
      <c r="H34" s="768" t="s">
        <v>631</v>
      </c>
    </row>
    <row r="35" spans="2:8" ht="30">
      <c r="B35" s="762">
        <v>30</v>
      </c>
      <c r="C35" s="777" t="s">
        <v>684</v>
      </c>
      <c r="D35" s="764" t="s">
        <v>629</v>
      </c>
      <c r="E35" s="765" t="s">
        <v>630</v>
      </c>
      <c r="F35" s="762">
        <v>565.65</v>
      </c>
      <c r="G35" s="792">
        <v>0.46597999999999989</v>
      </c>
      <c r="H35" s="768" t="s">
        <v>631</v>
      </c>
    </row>
    <row r="36" spans="2:8" ht="30">
      <c r="B36" s="762">
        <v>31</v>
      </c>
      <c r="C36" s="763" t="s">
        <v>632</v>
      </c>
      <c r="D36" s="764" t="s">
        <v>629</v>
      </c>
      <c r="E36" s="765" t="s">
        <v>630</v>
      </c>
      <c r="F36" s="762">
        <v>5273.7100000000009</v>
      </c>
      <c r="G36" s="767">
        <v>4.4977199999999993</v>
      </c>
      <c r="H36" s="768" t="s">
        <v>631</v>
      </c>
    </row>
    <row r="37" spans="2:8" ht="30">
      <c r="B37" s="762">
        <v>32</v>
      </c>
      <c r="C37" s="777" t="s">
        <v>628</v>
      </c>
      <c r="D37" s="764" t="s">
        <v>629</v>
      </c>
      <c r="E37" s="765" t="s">
        <v>630</v>
      </c>
      <c r="F37" s="762">
        <v>20475.46</v>
      </c>
      <c r="G37" s="792">
        <v>21.544600000000003</v>
      </c>
      <c r="H37" s="768" t="s">
        <v>631</v>
      </c>
    </row>
    <row r="38" spans="2:8" ht="30">
      <c r="B38" s="762">
        <v>33</v>
      </c>
      <c r="C38" s="777" t="s">
        <v>685</v>
      </c>
      <c r="D38" s="764" t="s">
        <v>629</v>
      </c>
      <c r="E38" s="765" t="s">
        <v>630</v>
      </c>
      <c r="F38" s="762">
        <v>59.85</v>
      </c>
      <c r="G38" s="792">
        <v>8.3940000000000001E-2</v>
      </c>
      <c r="H38" s="768" t="s">
        <v>631</v>
      </c>
    </row>
    <row r="39" spans="2:8" ht="30">
      <c r="B39" s="762">
        <v>34</v>
      </c>
      <c r="C39" s="777" t="s">
        <v>686</v>
      </c>
      <c r="D39" s="764" t="s">
        <v>629</v>
      </c>
      <c r="E39" s="765" t="s">
        <v>630</v>
      </c>
      <c r="F39" s="762">
        <v>19.579999999999998</v>
      </c>
      <c r="G39" s="792">
        <v>0.16378000000000001</v>
      </c>
      <c r="H39" s="768" t="s">
        <v>631</v>
      </c>
    </row>
    <row r="40" spans="2:8" ht="30">
      <c r="B40" s="762">
        <v>35</v>
      </c>
      <c r="C40" s="763" t="s">
        <v>655</v>
      </c>
      <c r="D40" s="764" t="s">
        <v>629</v>
      </c>
      <c r="E40" s="765" t="s">
        <v>630</v>
      </c>
      <c r="F40" s="762">
        <v>4758.79</v>
      </c>
      <c r="G40" s="792">
        <v>4.3300600000000005</v>
      </c>
      <c r="H40" s="768" t="s">
        <v>631</v>
      </c>
    </row>
    <row r="41" spans="2:8" ht="30">
      <c r="B41" s="762">
        <v>36</v>
      </c>
      <c r="C41" s="777" t="s">
        <v>653</v>
      </c>
      <c r="D41" s="764" t="s">
        <v>629</v>
      </c>
      <c r="E41" s="765" t="s">
        <v>630</v>
      </c>
      <c r="F41" s="762">
        <v>1245.04</v>
      </c>
      <c r="G41" s="792">
        <v>8.0252199999999991</v>
      </c>
      <c r="H41" s="768" t="s">
        <v>631</v>
      </c>
    </row>
    <row r="42" spans="2:8" ht="30">
      <c r="B42" s="762">
        <v>37</v>
      </c>
      <c r="C42" s="777" t="s">
        <v>635</v>
      </c>
      <c r="D42" s="764" t="s">
        <v>629</v>
      </c>
      <c r="E42" s="765" t="s">
        <v>630</v>
      </c>
      <c r="F42" s="762">
        <v>2969.9199999999996</v>
      </c>
      <c r="G42" s="792">
        <v>7.5032200000000007</v>
      </c>
      <c r="H42" s="768" t="s">
        <v>631</v>
      </c>
    </row>
    <row r="43" spans="2:8" ht="30">
      <c r="B43" s="762">
        <v>38</v>
      </c>
      <c r="C43" s="777" t="s">
        <v>687</v>
      </c>
      <c r="D43" s="764" t="s">
        <v>629</v>
      </c>
      <c r="E43" s="811" t="s">
        <v>630</v>
      </c>
      <c r="F43" s="762">
        <v>470.68</v>
      </c>
      <c r="G43" s="792">
        <v>0.33156000000000002</v>
      </c>
      <c r="H43" s="812" t="s">
        <v>631</v>
      </c>
    </row>
    <row r="44" spans="2:8" ht="30">
      <c r="B44" s="762">
        <v>39</v>
      </c>
      <c r="C44" s="763" t="s">
        <v>646</v>
      </c>
      <c r="D44" s="764" t="s">
        <v>629</v>
      </c>
      <c r="E44" s="811" t="s">
        <v>630</v>
      </c>
      <c r="F44" s="762">
        <v>5713.68</v>
      </c>
      <c r="G44" s="792">
        <v>1.5895200000000009</v>
      </c>
      <c r="H44" s="812" t="s">
        <v>631</v>
      </c>
    </row>
    <row r="45" spans="2:8" ht="30">
      <c r="B45" s="778">
        <v>40</v>
      </c>
      <c r="C45" s="779" t="s">
        <v>658</v>
      </c>
      <c r="D45" s="780" t="s">
        <v>629</v>
      </c>
      <c r="E45" s="781" t="s">
        <v>630</v>
      </c>
      <c r="F45" s="778">
        <v>140548.04</v>
      </c>
      <c r="G45" s="782">
        <v>12.870360000000007</v>
      </c>
      <c r="H45" s="783" t="s">
        <v>631</v>
      </c>
    </row>
    <row r="46" spans="2:8" ht="30">
      <c r="B46" s="778">
        <v>41</v>
      </c>
      <c r="C46" s="779" t="s">
        <v>659</v>
      </c>
      <c r="D46" s="780" t="s">
        <v>629</v>
      </c>
      <c r="E46" s="781" t="s">
        <v>630</v>
      </c>
      <c r="F46" s="778">
        <v>301.99</v>
      </c>
      <c r="G46" s="782">
        <v>0.18425999999999995</v>
      </c>
      <c r="H46" s="783" t="s">
        <v>631</v>
      </c>
    </row>
    <row r="48" spans="2:8">
      <c r="F48" s="797">
        <f>SUM(F5:F46)</f>
        <v>464164.27529999998</v>
      </c>
      <c r="G48" s="785"/>
      <c r="H48" s="776"/>
    </row>
    <row r="50" spans="5:7">
      <c r="E50" s="787" t="s">
        <v>660</v>
      </c>
      <c r="F50" s="787" t="s">
        <v>661</v>
      </c>
      <c r="G50" s="788">
        <f>G52*G53</f>
        <v>2906.6479458557483</v>
      </c>
    </row>
    <row r="51" spans="5:7">
      <c r="E51" s="787" t="s">
        <v>662</v>
      </c>
      <c r="F51" s="787" t="s">
        <v>663</v>
      </c>
      <c r="G51" s="798">
        <f>(SUMPRODUCT(F5:F46,G5:G46)/SUM(F5:F46)*2)</f>
        <v>48.543491643069174</v>
      </c>
    </row>
    <row r="52" spans="5:7">
      <c r="E52" s="787" t="s">
        <v>664</v>
      </c>
      <c r="F52" s="787" t="s">
        <v>665</v>
      </c>
      <c r="G52" s="790">
        <f>SUMPRODUCT(F5:F46,G5:G46)*2</f>
        <v>22532154.619036809</v>
      </c>
    </row>
    <row r="53" spans="5:7">
      <c r="E53" s="787" t="s">
        <v>666</v>
      </c>
      <c r="F53" s="787" t="s">
        <v>667</v>
      </c>
      <c r="G53" s="791">
        <f>129/1000000</f>
        <v>1.2899999999999999E-4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2BB2C-80C3-4627-87EB-BC560807C851}">
  <dimension ref="B1:L50"/>
  <sheetViews>
    <sheetView topLeftCell="A29" zoomScale="70" zoomScaleNormal="70" workbookViewId="0">
      <selection activeCell="F17" sqref="F17:G17"/>
    </sheetView>
  </sheetViews>
  <sheetFormatPr defaultColWidth="11.42578125" defaultRowHeight="15"/>
  <cols>
    <col min="2" max="2" width="11.42578125" style="645"/>
    <col min="3" max="3" width="27" bestFit="1" customWidth="1"/>
    <col min="4" max="4" width="11.42578125" customWidth="1"/>
    <col min="5" max="5" width="23.42578125" customWidth="1"/>
    <col min="6" max="6" width="19.42578125" style="645" customWidth="1"/>
    <col min="7" max="7" width="17.42578125" bestFit="1" customWidth="1"/>
    <col min="8" max="8" width="12.85546875" customWidth="1"/>
  </cols>
  <sheetData>
    <row r="1" spans="2:12" ht="26.25">
      <c r="B1" s="758"/>
    </row>
    <row r="3" spans="2:12" ht="15.75">
      <c r="B3" s="799" t="s">
        <v>622</v>
      </c>
      <c r="C3" s="800" t="s">
        <v>623</v>
      </c>
      <c r="D3" s="800" t="s">
        <v>624</v>
      </c>
      <c r="E3" s="800" t="s">
        <v>625</v>
      </c>
      <c r="F3" s="800" t="s">
        <v>522</v>
      </c>
      <c r="G3" s="800" t="s">
        <v>626</v>
      </c>
      <c r="H3" s="801" t="s">
        <v>627</v>
      </c>
    </row>
    <row r="4" spans="2:12" ht="30">
      <c r="B4" s="762">
        <v>1</v>
      </c>
      <c r="C4" s="763" t="s">
        <v>675</v>
      </c>
      <c r="D4" s="764" t="s">
        <v>629</v>
      </c>
      <c r="E4" s="802" t="s">
        <v>630</v>
      </c>
      <c r="F4" s="766">
        <v>7090.7520000000004</v>
      </c>
      <c r="G4" s="767">
        <v>6.8271199999999999</v>
      </c>
      <c r="H4" s="803" t="s">
        <v>631</v>
      </c>
    </row>
    <row r="5" spans="2:12" ht="30">
      <c r="B5" s="762">
        <v>2</v>
      </c>
      <c r="C5" s="763" t="s">
        <v>676</v>
      </c>
      <c r="D5" s="764" t="s">
        <v>629</v>
      </c>
      <c r="E5" s="802" t="s">
        <v>630</v>
      </c>
      <c r="F5" s="766">
        <v>340.33</v>
      </c>
      <c r="G5" s="792">
        <v>0.39172000000000001</v>
      </c>
      <c r="H5" s="803" t="s">
        <v>631</v>
      </c>
      <c r="K5" s="776"/>
      <c r="L5" s="794"/>
    </row>
    <row r="6" spans="2:12" ht="30">
      <c r="B6" s="762">
        <v>3</v>
      </c>
      <c r="C6" s="777" t="s">
        <v>688</v>
      </c>
      <c r="D6" s="764" t="s">
        <v>629</v>
      </c>
      <c r="E6" s="802" t="s">
        <v>630</v>
      </c>
      <c r="F6" s="766">
        <v>7307.07</v>
      </c>
      <c r="G6" s="792">
        <v>12.166459999999999</v>
      </c>
      <c r="H6" s="803" t="s">
        <v>631</v>
      </c>
      <c r="K6" s="776"/>
      <c r="L6" s="794"/>
    </row>
    <row r="7" spans="2:12" ht="30">
      <c r="B7" s="762">
        <v>4</v>
      </c>
      <c r="C7" s="763" t="s">
        <v>633</v>
      </c>
      <c r="D7" s="764" t="s">
        <v>629</v>
      </c>
      <c r="E7" s="802" t="s">
        <v>630</v>
      </c>
      <c r="F7" s="766">
        <v>51.61</v>
      </c>
      <c r="G7" s="767">
        <v>0.20036000000000001</v>
      </c>
      <c r="H7" s="803" t="s">
        <v>631</v>
      </c>
    </row>
    <row r="8" spans="2:12" ht="30">
      <c r="B8" s="762">
        <v>5</v>
      </c>
      <c r="C8" s="763" t="s">
        <v>668</v>
      </c>
      <c r="D8" s="764" t="s">
        <v>629</v>
      </c>
      <c r="E8" s="802" t="s">
        <v>630</v>
      </c>
      <c r="F8" s="766">
        <v>4636.03</v>
      </c>
      <c r="G8" s="767">
        <v>3.6006</v>
      </c>
      <c r="H8" s="803" t="s">
        <v>631</v>
      </c>
    </row>
    <row r="9" spans="2:12" ht="30">
      <c r="B9" s="762">
        <v>6</v>
      </c>
      <c r="C9" s="763" t="s">
        <v>634</v>
      </c>
      <c r="D9" s="764" t="s">
        <v>629</v>
      </c>
      <c r="E9" s="802" t="s">
        <v>630</v>
      </c>
      <c r="F9" s="766">
        <v>3172.27</v>
      </c>
      <c r="G9" s="767">
        <v>1.34992</v>
      </c>
      <c r="H9" s="803" t="s">
        <v>631</v>
      </c>
    </row>
    <row r="10" spans="2:12" ht="30">
      <c r="B10" s="762">
        <v>7</v>
      </c>
      <c r="C10" s="777" t="s">
        <v>636</v>
      </c>
      <c r="D10" s="764" t="s">
        <v>629</v>
      </c>
      <c r="E10" s="802" t="s">
        <v>630</v>
      </c>
      <c r="F10" s="766">
        <v>11673.52</v>
      </c>
      <c r="G10" s="792">
        <v>1.9794400000000001</v>
      </c>
      <c r="H10" s="803" t="s">
        <v>631</v>
      </c>
    </row>
    <row r="11" spans="2:12" ht="30">
      <c r="B11" s="762">
        <v>8</v>
      </c>
      <c r="C11" s="777" t="s">
        <v>637</v>
      </c>
      <c r="D11" s="764" t="s">
        <v>629</v>
      </c>
      <c r="E11" s="802" t="s">
        <v>630</v>
      </c>
      <c r="F11" s="766">
        <v>10320.502</v>
      </c>
      <c r="G11" s="792">
        <v>8.8036200000000004</v>
      </c>
      <c r="H11" s="803" t="s">
        <v>631</v>
      </c>
    </row>
    <row r="12" spans="2:12" ht="30">
      <c r="B12" s="762">
        <v>9</v>
      </c>
      <c r="C12" s="763" t="s">
        <v>689</v>
      </c>
      <c r="D12" s="764" t="s">
        <v>629</v>
      </c>
      <c r="E12" s="802" t="s">
        <v>630</v>
      </c>
      <c r="F12" s="766">
        <v>4137.9399999999996</v>
      </c>
      <c r="G12" s="767">
        <v>2.8938000000000001</v>
      </c>
      <c r="H12" s="803" t="s">
        <v>631</v>
      </c>
    </row>
    <row r="13" spans="2:12" ht="30">
      <c r="B13" s="762">
        <v>10</v>
      </c>
      <c r="C13" s="777" t="s">
        <v>669</v>
      </c>
      <c r="D13" s="764" t="s">
        <v>629</v>
      </c>
      <c r="E13" s="802" t="s">
        <v>630</v>
      </c>
      <c r="F13" s="766">
        <v>5463.82</v>
      </c>
      <c r="G13" s="792">
        <v>18.325299999999999</v>
      </c>
      <c r="H13" s="803" t="s">
        <v>631</v>
      </c>
    </row>
    <row r="14" spans="2:12" ht="30">
      <c r="B14" s="762">
        <v>11</v>
      </c>
      <c r="C14" s="777" t="s">
        <v>639</v>
      </c>
      <c r="D14" s="764" t="s">
        <v>629</v>
      </c>
      <c r="E14" s="802" t="s">
        <v>630</v>
      </c>
      <c r="F14" s="766">
        <v>2105.17</v>
      </c>
      <c r="G14" s="792">
        <v>1.8882000000000001</v>
      </c>
      <c r="H14" s="803" t="s">
        <v>631</v>
      </c>
    </row>
    <row r="15" spans="2:12" ht="30">
      <c r="B15" s="762">
        <v>12</v>
      </c>
      <c r="C15" s="777" t="s">
        <v>677</v>
      </c>
      <c r="D15" s="764" t="s">
        <v>629</v>
      </c>
      <c r="E15" s="802" t="s">
        <v>630</v>
      </c>
      <c r="F15" s="766">
        <v>22106.97</v>
      </c>
      <c r="G15" s="792">
        <v>23.531179999999999</v>
      </c>
      <c r="H15" s="803" t="s">
        <v>631</v>
      </c>
    </row>
    <row r="16" spans="2:12" ht="30">
      <c r="B16" s="762">
        <v>13</v>
      </c>
      <c r="C16" s="777" t="s">
        <v>640</v>
      </c>
      <c r="D16" s="764" t="s">
        <v>629</v>
      </c>
      <c r="E16" s="802" t="s">
        <v>630</v>
      </c>
      <c r="F16" s="766">
        <v>46324.803999999996</v>
      </c>
      <c r="G16" s="792">
        <v>74.137979999999999</v>
      </c>
      <c r="H16" s="803" t="s">
        <v>631</v>
      </c>
    </row>
    <row r="17" spans="2:8">
      <c r="B17" s="769" t="s">
        <v>580</v>
      </c>
      <c r="C17" s="795"/>
      <c r="D17" s="771"/>
      <c r="E17" s="804"/>
      <c r="F17" s="773">
        <v>2433.4259242031258</v>
      </c>
      <c r="G17" s="796">
        <v>74</v>
      </c>
      <c r="H17" s="805"/>
    </row>
    <row r="18" spans="2:8" ht="30">
      <c r="B18" s="762">
        <v>14</v>
      </c>
      <c r="C18" s="777" t="s">
        <v>641</v>
      </c>
      <c r="D18" s="764" t="s">
        <v>629</v>
      </c>
      <c r="E18" s="802" t="s">
        <v>630</v>
      </c>
      <c r="F18" s="766">
        <v>8460.5460000000003</v>
      </c>
      <c r="G18" s="792">
        <v>33.572319999999998</v>
      </c>
      <c r="H18" s="803" t="s">
        <v>631</v>
      </c>
    </row>
    <row r="19" spans="2:8" ht="30">
      <c r="B19" s="762">
        <v>15</v>
      </c>
      <c r="C19" s="777" t="s">
        <v>690</v>
      </c>
      <c r="D19" s="764" t="s">
        <v>629</v>
      </c>
      <c r="E19" s="802" t="s">
        <v>630</v>
      </c>
      <c r="F19" s="766">
        <v>4518.1899999999996</v>
      </c>
      <c r="G19" s="792">
        <v>4.3373999999999997</v>
      </c>
      <c r="H19" s="803" t="s">
        <v>631</v>
      </c>
    </row>
    <row r="20" spans="2:8" ht="30">
      <c r="B20" s="762">
        <v>16</v>
      </c>
      <c r="C20" s="777" t="s">
        <v>691</v>
      </c>
      <c r="D20" s="764" t="s">
        <v>629</v>
      </c>
      <c r="E20" s="802" t="s">
        <v>630</v>
      </c>
      <c r="F20" s="766">
        <v>13791.73</v>
      </c>
      <c r="G20" s="792">
        <v>3.7566199999999998</v>
      </c>
      <c r="H20" s="803" t="s">
        <v>631</v>
      </c>
    </row>
    <row r="21" spans="2:8" ht="30">
      <c r="B21" s="762">
        <v>17</v>
      </c>
      <c r="C21" s="777" t="s">
        <v>643</v>
      </c>
      <c r="D21" s="764" t="s">
        <v>629</v>
      </c>
      <c r="E21" s="802" t="s">
        <v>630</v>
      </c>
      <c r="F21" s="766">
        <v>6632.48</v>
      </c>
      <c r="G21" s="792">
        <v>5.1391800000000005</v>
      </c>
      <c r="H21" s="803" t="s">
        <v>631</v>
      </c>
    </row>
    <row r="22" spans="2:8" ht="30">
      <c r="B22" s="762">
        <v>18</v>
      </c>
      <c r="C22" s="777" t="s">
        <v>692</v>
      </c>
      <c r="D22" s="764" t="s">
        <v>629</v>
      </c>
      <c r="E22" s="802" t="s">
        <v>630</v>
      </c>
      <c r="F22" s="766">
        <v>282.29000000000002</v>
      </c>
      <c r="G22" s="792">
        <v>7.9000000000000001E-2</v>
      </c>
      <c r="H22" s="803" t="s">
        <v>631</v>
      </c>
    </row>
    <row r="23" spans="2:8" ht="30">
      <c r="B23" s="762">
        <v>19</v>
      </c>
      <c r="C23" s="777" t="s">
        <v>644</v>
      </c>
      <c r="D23" s="764" t="s">
        <v>629</v>
      </c>
      <c r="E23" s="802" t="s">
        <v>630</v>
      </c>
      <c r="F23" s="766">
        <v>10080.216</v>
      </c>
      <c r="G23" s="792">
        <v>14.99784</v>
      </c>
      <c r="H23" s="803" t="s">
        <v>631</v>
      </c>
    </row>
    <row r="24" spans="2:8" ht="30">
      <c r="B24" s="762">
        <v>20</v>
      </c>
      <c r="C24" s="777" t="s">
        <v>645</v>
      </c>
      <c r="D24" s="764" t="s">
        <v>629</v>
      </c>
      <c r="E24" s="802" t="s">
        <v>630</v>
      </c>
      <c r="F24" s="766">
        <v>762.71</v>
      </c>
      <c r="G24" s="792">
        <v>0.6099</v>
      </c>
      <c r="H24" s="803" t="s">
        <v>631</v>
      </c>
    </row>
    <row r="25" spans="2:8" ht="30">
      <c r="B25" s="762">
        <v>21</v>
      </c>
      <c r="C25" s="777" t="s">
        <v>657</v>
      </c>
      <c r="D25" s="764" t="s">
        <v>629</v>
      </c>
      <c r="E25" s="802" t="s">
        <v>630</v>
      </c>
      <c r="F25" s="766">
        <v>890.99</v>
      </c>
      <c r="G25" s="792">
        <v>0.65755999999999992</v>
      </c>
      <c r="H25" s="803" t="s">
        <v>631</v>
      </c>
    </row>
    <row r="26" spans="2:8" ht="30">
      <c r="B26" s="762">
        <v>22</v>
      </c>
      <c r="C26" s="777" t="s">
        <v>693</v>
      </c>
      <c r="D26" s="764" t="s">
        <v>629</v>
      </c>
      <c r="E26" s="802" t="s">
        <v>630</v>
      </c>
      <c r="F26" s="766">
        <v>1559.27</v>
      </c>
      <c r="G26" s="792">
        <v>0.96501999999999999</v>
      </c>
      <c r="H26" s="803" t="s">
        <v>631</v>
      </c>
    </row>
    <row r="27" spans="2:8" ht="30">
      <c r="B27" s="762">
        <v>23</v>
      </c>
      <c r="C27" s="777" t="s">
        <v>648</v>
      </c>
      <c r="D27" s="764" t="s">
        <v>629</v>
      </c>
      <c r="E27" s="802" t="s">
        <v>630</v>
      </c>
      <c r="F27" s="766">
        <v>235.67</v>
      </c>
      <c r="G27" s="792">
        <v>0.2026</v>
      </c>
      <c r="H27" s="803" t="s">
        <v>631</v>
      </c>
    </row>
    <row r="28" spans="2:8" ht="30">
      <c r="B28" s="762">
        <v>24</v>
      </c>
      <c r="C28" s="777" t="s">
        <v>649</v>
      </c>
      <c r="D28" s="764" t="s">
        <v>629</v>
      </c>
      <c r="E28" s="802" t="s">
        <v>630</v>
      </c>
      <c r="F28" s="766">
        <f>19420.98-17042</f>
        <v>2378.9799999999996</v>
      </c>
      <c r="G28" s="792">
        <v>4.4116800000000005</v>
      </c>
      <c r="H28" s="803" t="s">
        <v>631</v>
      </c>
    </row>
    <row r="29" spans="2:8" ht="30">
      <c r="B29" s="762">
        <v>25</v>
      </c>
      <c r="C29" s="777" t="s">
        <v>650</v>
      </c>
      <c r="D29" s="764" t="s">
        <v>629</v>
      </c>
      <c r="E29" s="802" t="s">
        <v>630</v>
      </c>
      <c r="F29" s="766">
        <v>3944.18</v>
      </c>
      <c r="G29" s="792">
        <v>4.0777999999999999</v>
      </c>
      <c r="H29" s="803" t="s">
        <v>631</v>
      </c>
    </row>
    <row r="30" spans="2:8" ht="30">
      <c r="B30" s="762">
        <v>26</v>
      </c>
      <c r="C30" s="777" t="s">
        <v>678</v>
      </c>
      <c r="D30" s="764" t="s">
        <v>629</v>
      </c>
      <c r="E30" s="802" t="s">
        <v>630</v>
      </c>
      <c r="F30" s="766">
        <v>6102.43</v>
      </c>
      <c r="G30" s="792">
        <v>2.9868000000000001</v>
      </c>
      <c r="H30" s="803" t="s">
        <v>631</v>
      </c>
    </row>
    <row r="31" spans="2:8" ht="30">
      <c r="B31" s="762">
        <v>27</v>
      </c>
      <c r="C31" s="777" t="s">
        <v>671</v>
      </c>
      <c r="D31" s="764" t="s">
        <v>629</v>
      </c>
      <c r="E31" s="802" t="s">
        <v>630</v>
      </c>
      <c r="F31" s="766">
        <v>10882.573</v>
      </c>
      <c r="G31" s="792">
        <v>18.18102</v>
      </c>
      <c r="H31" s="803" t="s">
        <v>631</v>
      </c>
    </row>
    <row r="32" spans="2:8" ht="30">
      <c r="B32" s="762">
        <v>28</v>
      </c>
      <c r="C32" s="777" t="s">
        <v>673</v>
      </c>
      <c r="D32" s="764" t="s">
        <v>629</v>
      </c>
      <c r="E32" s="802" t="s">
        <v>630</v>
      </c>
      <c r="F32" s="766">
        <v>17376.47</v>
      </c>
      <c r="G32" s="792">
        <v>8.3204799999999999</v>
      </c>
      <c r="H32" s="803" t="s">
        <v>631</v>
      </c>
    </row>
    <row r="33" spans="2:8" ht="30">
      <c r="B33" s="762">
        <v>29</v>
      </c>
      <c r="C33" s="777" t="s">
        <v>679</v>
      </c>
      <c r="D33" s="764" t="s">
        <v>629</v>
      </c>
      <c r="E33" s="802" t="s">
        <v>630</v>
      </c>
      <c r="F33" s="766">
        <v>1586.32</v>
      </c>
      <c r="G33" s="792">
        <v>9.9905799999999996</v>
      </c>
      <c r="H33" s="803" t="s">
        <v>631</v>
      </c>
    </row>
    <row r="34" spans="2:8" ht="30">
      <c r="B34" s="762">
        <v>30</v>
      </c>
      <c r="C34" s="777" t="s">
        <v>680</v>
      </c>
      <c r="D34" s="764" t="s">
        <v>629</v>
      </c>
      <c r="E34" s="802" t="s">
        <v>630</v>
      </c>
      <c r="F34" s="766">
        <v>13848.128000000001</v>
      </c>
      <c r="G34" s="792">
        <v>13.09258</v>
      </c>
      <c r="H34" s="803" t="s">
        <v>631</v>
      </c>
    </row>
    <row r="35" spans="2:8" ht="30">
      <c r="B35" s="762">
        <v>31</v>
      </c>
      <c r="C35" s="777" t="s">
        <v>694</v>
      </c>
      <c r="D35" s="764" t="s">
        <v>629</v>
      </c>
      <c r="E35" s="802" t="s">
        <v>630</v>
      </c>
      <c r="F35" s="766">
        <v>41.5</v>
      </c>
      <c r="G35" s="792">
        <v>0.14876</v>
      </c>
      <c r="H35" s="803" t="s">
        <v>631</v>
      </c>
    </row>
    <row r="36" spans="2:8" ht="30">
      <c r="B36" s="762">
        <v>32</v>
      </c>
      <c r="C36" s="777" t="s">
        <v>681</v>
      </c>
      <c r="D36" s="764" t="s">
        <v>629</v>
      </c>
      <c r="E36" s="802" t="s">
        <v>630</v>
      </c>
      <c r="F36" s="766">
        <v>5071.16</v>
      </c>
      <c r="G36" s="792">
        <v>4.2641200000000001</v>
      </c>
      <c r="H36" s="803" t="s">
        <v>631</v>
      </c>
    </row>
    <row r="37" spans="2:8" ht="30">
      <c r="B37" s="762">
        <v>33</v>
      </c>
      <c r="C37" s="777" t="s">
        <v>654</v>
      </c>
      <c r="D37" s="764" t="s">
        <v>629</v>
      </c>
      <c r="E37" s="802" t="s">
        <v>630</v>
      </c>
      <c r="F37" s="766">
        <v>11525.56</v>
      </c>
      <c r="G37" s="792">
        <v>10.482280000000001</v>
      </c>
      <c r="H37" s="803" t="s">
        <v>631</v>
      </c>
    </row>
    <row r="38" spans="2:8" ht="30">
      <c r="B38" s="762">
        <v>34</v>
      </c>
      <c r="C38" s="777" t="s">
        <v>682</v>
      </c>
      <c r="D38" s="764" t="s">
        <v>629</v>
      </c>
      <c r="E38" s="802" t="s">
        <v>630</v>
      </c>
      <c r="F38" s="766">
        <v>1786.27</v>
      </c>
      <c r="G38" s="792">
        <v>1.8233199999999998</v>
      </c>
      <c r="H38" s="803" t="s">
        <v>631</v>
      </c>
    </row>
    <row r="39" spans="2:8" ht="30">
      <c r="B39" s="762">
        <v>35</v>
      </c>
      <c r="C39" s="777" t="s">
        <v>656</v>
      </c>
      <c r="D39" s="764" t="s">
        <v>629</v>
      </c>
      <c r="E39" s="802" t="s">
        <v>630</v>
      </c>
      <c r="F39" s="766">
        <v>11466.489</v>
      </c>
      <c r="G39" s="792">
        <v>8.5980799999999995</v>
      </c>
      <c r="H39" s="803" t="s">
        <v>631</v>
      </c>
    </row>
    <row r="40" spans="2:8" ht="30">
      <c r="B40" s="762">
        <v>36</v>
      </c>
      <c r="C40" s="777" t="s">
        <v>695</v>
      </c>
      <c r="D40" s="764" t="s">
        <v>629</v>
      </c>
      <c r="E40" s="802" t="s">
        <v>630</v>
      </c>
      <c r="F40" s="766">
        <v>3068.1</v>
      </c>
      <c r="G40" s="792">
        <v>6.2530600000000005</v>
      </c>
      <c r="H40" s="803" t="s">
        <v>631</v>
      </c>
    </row>
    <row r="41" spans="2:8" ht="30">
      <c r="B41" s="762">
        <v>37</v>
      </c>
      <c r="C41" s="777" t="s">
        <v>658</v>
      </c>
      <c r="D41" s="764" t="s">
        <v>629</v>
      </c>
      <c r="E41" s="802" t="s">
        <v>630</v>
      </c>
      <c r="F41" s="766">
        <v>115752.947</v>
      </c>
      <c r="G41" s="792">
        <v>10.390100000000004</v>
      </c>
      <c r="H41" s="803" t="s">
        <v>631</v>
      </c>
    </row>
    <row r="42" spans="2:8" ht="30">
      <c r="B42" s="762">
        <v>38</v>
      </c>
      <c r="C42" s="777" t="s">
        <v>659</v>
      </c>
      <c r="D42" s="764" t="s">
        <v>629</v>
      </c>
      <c r="E42" s="802" t="s">
        <v>630</v>
      </c>
      <c r="F42" s="766"/>
      <c r="G42" s="792">
        <v>1.2476399999999996</v>
      </c>
      <c r="H42" s="803" t="s">
        <v>631</v>
      </c>
    </row>
    <row r="43" spans="2:8">
      <c r="F43" s="809"/>
      <c r="G43" s="810"/>
    </row>
    <row r="44" spans="2:8">
      <c r="F44" s="785">
        <f>SUM(F4:F42)</f>
        <v>379209.41292420315</v>
      </c>
      <c r="G44" s="645">
        <f>379209</f>
        <v>379209</v>
      </c>
    </row>
    <row r="45" spans="2:8">
      <c r="G45" s="776"/>
    </row>
    <row r="47" spans="2:8">
      <c r="E47" s="764" t="s">
        <v>660</v>
      </c>
      <c r="F47" s="764" t="s">
        <v>661</v>
      </c>
      <c r="G47" s="806">
        <f>G49*G50</f>
        <v>1836.2048434763688</v>
      </c>
    </row>
    <row r="48" spans="2:8">
      <c r="E48" s="764" t="s">
        <v>662</v>
      </c>
      <c r="F48" s="764" t="s">
        <v>663</v>
      </c>
      <c r="G48" s="807">
        <f>(SUMPRODUCT(F4:F42,G4:G42)/SUM(F4:F42)*2)</f>
        <v>37.536373276433835</v>
      </c>
    </row>
    <row r="49" spans="5:7">
      <c r="E49" s="764" t="s">
        <v>664</v>
      </c>
      <c r="F49" s="764" t="s">
        <v>665</v>
      </c>
      <c r="G49" s="808">
        <f>SUMPRODUCT(F4:F42,G4:G42)*2</f>
        <v>14234146.073460223</v>
      </c>
    </row>
    <row r="50" spans="5:7">
      <c r="E50" s="764" t="s">
        <v>666</v>
      </c>
      <c r="F50" s="764" t="s">
        <v>667</v>
      </c>
      <c r="G50" s="762">
        <f>129/1000000</f>
        <v>1.2899999999999999E-4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2A505-C3BA-48F9-91FC-050BB64F164A}">
  <dimension ref="B4:E8"/>
  <sheetViews>
    <sheetView showGridLines="0" workbookViewId="0">
      <selection activeCell="E8" sqref="E8"/>
    </sheetView>
  </sheetViews>
  <sheetFormatPr defaultColWidth="11.42578125" defaultRowHeight="15"/>
  <cols>
    <col min="2" max="2" width="10.85546875" style="645"/>
    <col min="5" max="5" width="35.140625" customWidth="1"/>
  </cols>
  <sheetData>
    <row r="4" spans="2:5">
      <c r="B4" s="646" t="s">
        <v>594</v>
      </c>
      <c r="C4" s="644" t="s">
        <v>258</v>
      </c>
      <c r="D4" s="644" t="s">
        <v>261</v>
      </c>
      <c r="E4" s="644" t="s">
        <v>595</v>
      </c>
    </row>
    <row r="5" spans="2:5">
      <c r="B5" s="646">
        <v>2017</v>
      </c>
      <c r="C5" s="647">
        <f>716.86/1000</f>
        <v>0.71686000000000005</v>
      </c>
      <c r="D5" s="647">
        <f>578.88/1000</f>
        <v>0.57887999999999995</v>
      </c>
      <c r="E5" s="644" t="s">
        <v>596</v>
      </c>
    </row>
    <row r="6" spans="2:5">
      <c r="B6" s="646">
        <v>2018</v>
      </c>
      <c r="C6" s="647">
        <f>847/1000</f>
        <v>0.84699999999999998</v>
      </c>
      <c r="D6" s="647">
        <f>234.13/1000</f>
        <v>0.23413</v>
      </c>
      <c r="E6" s="644" t="s">
        <v>570</v>
      </c>
    </row>
    <row r="7" spans="2:5">
      <c r="B7" s="646">
        <v>2019</v>
      </c>
      <c r="C7" s="647">
        <f>0.759</f>
        <v>0.75900000000000001</v>
      </c>
      <c r="D7" s="647">
        <f>289.12/1000</f>
        <v>0.28911999999999999</v>
      </c>
      <c r="E7" s="644" t="s">
        <v>571</v>
      </c>
    </row>
    <row r="8" spans="2:5">
      <c r="B8" s="646">
        <v>2020</v>
      </c>
      <c r="C8" s="647">
        <f>792.4/1000</f>
        <v>0.79239999999999999</v>
      </c>
      <c r="D8" s="647">
        <f>380.74/1000</f>
        <v>0.38074000000000002</v>
      </c>
      <c r="E8" s="644" t="s">
        <v>572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9FA91-D541-476F-8F7D-D788D42E4438}">
  <dimension ref="B3:K225"/>
  <sheetViews>
    <sheetView zoomScale="60" zoomScaleNormal="60" workbookViewId="0">
      <selection activeCell="E21" sqref="E21"/>
    </sheetView>
  </sheetViews>
  <sheetFormatPr defaultColWidth="11.42578125" defaultRowHeight="12.75"/>
  <cols>
    <col min="1" max="1" width="3.42578125" style="222" customWidth="1"/>
    <col min="2" max="2" width="90.140625" style="222" customWidth="1"/>
    <col min="3" max="3" width="34.85546875" style="224" customWidth="1"/>
    <col min="4" max="4" width="23.42578125" style="222" bestFit="1" customWidth="1"/>
    <col min="5" max="5" width="22.5703125" style="222" bestFit="1" customWidth="1"/>
    <col min="6" max="6" width="21" style="222" bestFit="1" customWidth="1"/>
    <col min="7" max="7" width="22.85546875" style="222" bestFit="1" customWidth="1"/>
    <col min="8" max="8" width="20.85546875" style="222" bestFit="1" customWidth="1"/>
    <col min="9" max="9" width="23.85546875" style="222" bestFit="1" customWidth="1"/>
    <col min="10" max="11" width="21.140625" style="222" bestFit="1" customWidth="1"/>
    <col min="12" max="16384" width="11.42578125" style="222"/>
  </cols>
  <sheetData>
    <row r="3" spans="2:10" ht="23.25">
      <c r="B3" s="427" t="s">
        <v>31</v>
      </c>
      <c r="C3" s="220"/>
      <c r="D3" s="221"/>
      <c r="F3" s="221"/>
      <c r="H3" s="221"/>
      <c r="J3" s="221"/>
    </row>
    <row r="5" spans="2:10">
      <c r="B5" s="223" t="s">
        <v>54</v>
      </c>
    </row>
    <row r="6" spans="2:10">
      <c r="B6" s="223"/>
    </row>
    <row r="7" spans="2:10">
      <c r="B7" s="225" t="s">
        <v>55</v>
      </c>
    </row>
    <row r="8" spans="2:10">
      <c r="B8" s="226"/>
    </row>
    <row r="9" spans="2:10">
      <c r="B9" s="227" t="s">
        <v>56</v>
      </c>
    </row>
    <row r="10" spans="2:10">
      <c r="D10" s="228">
        <v>2020</v>
      </c>
      <c r="F10" s="228">
        <v>2019</v>
      </c>
      <c r="H10" s="228">
        <v>2018</v>
      </c>
      <c r="J10" s="228">
        <v>2017</v>
      </c>
    </row>
    <row r="11" spans="2:10" ht="15.75">
      <c r="B11" s="229" t="s">
        <v>57</v>
      </c>
      <c r="C11" s="230" t="s">
        <v>58</v>
      </c>
      <c r="D11" s="231">
        <f>'2020 Data'!Q12</f>
        <v>291596.99873578124</v>
      </c>
      <c r="F11" s="231">
        <f>'2019 Data'!Q12</f>
        <v>305880.0673350296</v>
      </c>
      <c r="H11" s="231">
        <f>'2018 Data'!Q12</f>
        <v>310593.65245076164</v>
      </c>
      <c r="J11" s="231">
        <f>'2017 Data '!Q12</f>
        <v>282762.06470940402</v>
      </c>
    </row>
    <row r="12" spans="2:10" ht="15.75">
      <c r="B12" s="232" t="s">
        <v>59</v>
      </c>
      <c r="C12" s="233" t="s">
        <v>60</v>
      </c>
      <c r="D12" s="234">
        <f>'2020 Data'!Q13</f>
        <v>375.09490612941977</v>
      </c>
      <c r="F12" s="234">
        <f>'2019 Data'!Q13</f>
        <v>489.57849868189697</v>
      </c>
      <c r="H12" s="234">
        <f>'2018 Data'!Q13</f>
        <v>537.00193515945966</v>
      </c>
      <c r="J12" s="234">
        <f>'2017 Data '!Q13</f>
        <v>447.90463539289681</v>
      </c>
    </row>
    <row r="13" spans="2:10" ht="15.75">
      <c r="B13" s="235" t="s">
        <v>61</v>
      </c>
      <c r="C13" s="236" t="s">
        <v>62</v>
      </c>
      <c r="D13" s="237">
        <f>'2020 Data'!Q14</f>
        <v>40623.081539647974</v>
      </c>
      <c r="F13" s="237">
        <f>'2019 Data'!Q14</f>
        <v>42521.834564082572</v>
      </c>
      <c r="H13" s="237">
        <f>'2018 Data'!Q14</f>
        <v>42706.558472197066</v>
      </c>
      <c r="J13" s="237">
        <f>'2017 Data '!Q14</f>
        <v>39422.633102375781</v>
      </c>
    </row>
    <row r="14" spans="2:10">
      <c r="B14" s="238" t="s">
        <v>63</v>
      </c>
    </row>
    <row r="15" spans="2:10">
      <c r="B15" s="239" t="s">
        <v>64</v>
      </c>
    </row>
    <row r="16" spans="2:10">
      <c r="B16" s="239" t="s">
        <v>65</v>
      </c>
    </row>
    <row r="19" spans="2:11">
      <c r="B19" s="227" t="s">
        <v>66</v>
      </c>
    </row>
    <row r="20" spans="2:11">
      <c r="E20" s="228">
        <v>2020</v>
      </c>
      <c r="G20" s="228">
        <v>2019</v>
      </c>
      <c r="I20" s="228">
        <v>2018</v>
      </c>
      <c r="K20" s="228">
        <v>2017</v>
      </c>
    </row>
    <row r="21" spans="2:11" ht="15.75">
      <c r="B21" s="240" t="s">
        <v>67</v>
      </c>
      <c r="C21" s="241" t="s">
        <v>68</v>
      </c>
      <c r="D21" s="242" t="s">
        <v>69</v>
      </c>
      <c r="E21" s="243">
        <f>D11+D12-D13</f>
        <v>251349.01210226267</v>
      </c>
      <c r="F21" s="242" t="s">
        <v>69</v>
      </c>
      <c r="G21" s="243">
        <f>F11+F12-F13</f>
        <v>263847.81126962893</v>
      </c>
      <c r="H21" s="242" t="s">
        <v>69</v>
      </c>
      <c r="I21" s="243">
        <f>H11+H12-H13</f>
        <v>268424.09591372404</v>
      </c>
      <c r="J21" s="242" t="s">
        <v>69</v>
      </c>
      <c r="K21" s="243">
        <f>J11+J12-J13</f>
        <v>243787.33624242112</v>
      </c>
    </row>
    <row r="24" spans="2:11">
      <c r="B24" s="244" t="s">
        <v>70</v>
      </c>
    </row>
    <row r="25" spans="2:11">
      <c r="B25" s="245"/>
      <c r="D25" s="228">
        <v>2020</v>
      </c>
      <c r="F25" s="228">
        <v>2019</v>
      </c>
      <c r="H25" s="228">
        <v>2018</v>
      </c>
      <c r="J25" s="228">
        <v>2017</v>
      </c>
    </row>
    <row r="26" spans="2:11" ht="15.75">
      <c r="B26" s="229" t="s">
        <v>71</v>
      </c>
      <c r="C26" s="246" t="s">
        <v>72</v>
      </c>
      <c r="D26" s="247">
        <f>EF!C8</f>
        <v>0.79239999999999999</v>
      </c>
      <c r="F26" s="247">
        <f>EF!C7</f>
        <v>0.75900000000000001</v>
      </c>
      <c r="H26" s="247">
        <f>EF!C6</f>
        <v>0.84699999999999998</v>
      </c>
      <c r="J26" s="247">
        <f>EF!C5</f>
        <v>0.71686000000000005</v>
      </c>
    </row>
    <row r="27" spans="2:11" ht="15.75">
      <c r="B27" s="232" t="s">
        <v>73</v>
      </c>
      <c r="C27" s="627" t="s">
        <v>74</v>
      </c>
      <c r="D27" s="248">
        <f>EF!D8</f>
        <v>0.38074000000000002</v>
      </c>
      <c r="F27" s="248">
        <f>EF!D7</f>
        <v>0.28911999999999999</v>
      </c>
      <c r="H27" s="248">
        <f>EF!D6</f>
        <v>0.23413</v>
      </c>
      <c r="J27" s="248">
        <f>EF!D5</f>
        <v>0.57887999999999995</v>
      </c>
    </row>
    <row r="28" spans="2:11" ht="15.75">
      <c r="B28" s="232" t="s">
        <v>75</v>
      </c>
      <c r="C28" s="627" t="s">
        <v>76</v>
      </c>
      <c r="D28" s="249">
        <v>0.5</v>
      </c>
      <c r="F28" s="249">
        <v>0.5</v>
      </c>
      <c r="H28" s="249">
        <v>0.5</v>
      </c>
      <c r="J28" s="249">
        <v>0.5</v>
      </c>
    </row>
    <row r="29" spans="2:11" ht="15.75">
      <c r="B29" s="235" t="s">
        <v>77</v>
      </c>
      <c r="C29" s="250" t="s">
        <v>78</v>
      </c>
      <c r="D29" s="251">
        <v>0.5</v>
      </c>
      <c r="F29" s="251">
        <v>0.5</v>
      </c>
      <c r="H29" s="251">
        <v>0.5</v>
      </c>
      <c r="J29" s="251">
        <v>0.5</v>
      </c>
    </row>
    <row r="30" spans="2:11">
      <c r="B30" s="252"/>
    </row>
    <row r="31" spans="2:11">
      <c r="B31" s="245"/>
    </row>
    <row r="32" spans="2:11">
      <c r="B32" s="244" t="s">
        <v>79</v>
      </c>
    </row>
    <row r="33" spans="2:11">
      <c r="B33" s="245"/>
      <c r="E33" s="228">
        <v>2020</v>
      </c>
      <c r="G33" s="228">
        <v>2019</v>
      </c>
      <c r="I33" s="228">
        <v>2018</v>
      </c>
      <c r="K33" s="228">
        <v>2017</v>
      </c>
    </row>
    <row r="34" spans="2:11" ht="15.75">
      <c r="B34" s="253" t="s">
        <v>80</v>
      </c>
      <c r="C34" s="241" t="s">
        <v>81</v>
      </c>
      <c r="D34" s="242" t="s">
        <v>82</v>
      </c>
      <c r="E34" s="254">
        <f>(D26*D28)+(D27*D29)</f>
        <v>0.58657000000000004</v>
      </c>
      <c r="F34" s="242" t="s">
        <v>82</v>
      </c>
      <c r="G34" s="254">
        <f>(F26*F28)+(F27*F29)</f>
        <v>0.52405999999999997</v>
      </c>
      <c r="H34" s="242" t="s">
        <v>82</v>
      </c>
      <c r="I34" s="254">
        <f>(H26*H28)+(H27*H29)</f>
        <v>0.54056499999999996</v>
      </c>
      <c r="J34" s="242" t="s">
        <v>82</v>
      </c>
      <c r="K34" s="254">
        <f>(J26*J28)+(J27*J29)</f>
        <v>0.64786999999999995</v>
      </c>
    </row>
    <row r="35" spans="2:11">
      <c r="B35" s="245"/>
    </row>
    <row r="36" spans="2:11">
      <c r="B36" s="245"/>
    </row>
    <row r="37" spans="2:11">
      <c r="B37" s="244" t="s">
        <v>83</v>
      </c>
    </row>
    <row r="39" spans="2:11">
      <c r="B39" s="227" t="s">
        <v>56</v>
      </c>
    </row>
    <row r="40" spans="2:11">
      <c r="D40" s="228">
        <v>2020</v>
      </c>
      <c r="F40" s="228">
        <v>2019</v>
      </c>
      <c r="H40" s="228">
        <v>2018</v>
      </c>
      <c r="J40" s="228">
        <v>2017</v>
      </c>
    </row>
    <row r="41" spans="2:11" ht="15.75">
      <c r="B41" s="229" t="s">
        <v>84</v>
      </c>
      <c r="C41" s="246" t="s">
        <v>85</v>
      </c>
      <c r="D41" s="255">
        <f>E21</f>
        <v>251349.01210226267</v>
      </c>
      <c r="F41" s="255">
        <f>G21</f>
        <v>263847.81126962893</v>
      </c>
      <c r="H41" s="255">
        <f>I21</f>
        <v>268424.09591372404</v>
      </c>
      <c r="J41" s="255">
        <f>K21</f>
        <v>243787.33624242112</v>
      </c>
    </row>
    <row r="42" spans="2:11" ht="15.75">
      <c r="B42" s="235" t="s">
        <v>86</v>
      </c>
      <c r="C42" s="250" t="s">
        <v>87</v>
      </c>
      <c r="D42" s="256">
        <v>0</v>
      </c>
      <c r="F42" s="256">
        <v>0</v>
      </c>
      <c r="H42" s="256">
        <v>0</v>
      </c>
      <c r="J42" s="256">
        <v>0</v>
      </c>
    </row>
    <row r="44" spans="2:11">
      <c r="B44" s="244" t="s">
        <v>79</v>
      </c>
    </row>
    <row r="45" spans="2:11">
      <c r="E45" s="228">
        <v>2020</v>
      </c>
      <c r="G45" s="228">
        <v>2019</v>
      </c>
      <c r="I45" s="228">
        <v>2018</v>
      </c>
      <c r="K45" s="228">
        <v>2017</v>
      </c>
    </row>
    <row r="46" spans="2:11" ht="15.75">
      <c r="B46" s="253" t="s">
        <v>88</v>
      </c>
      <c r="C46" s="241" t="s">
        <v>89</v>
      </c>
      <c r="D46" s="242" t="s">
        <v>90</v>
      </c>
      <c r="E46" s="243">
        <f>MAX(0,(D41-D42))</f>
        <v>251349.01210226267</v>
      </c>
      <c r="F46" s="242" t="s">
        <v>90</v>
      </c>
      <c r="G46" s="243">
        <f>MAX(0,(F41-F42))</f>
        <v>263847.81126962893</v>
      </c>
      <c r="H46" s="242" t="s">
        <v>90</v>
      </c>
      <c r="I46" s="243">
        <f>MAX(0,(H41-H42))</f>
        <v>268424.09591372404</v>
      </c>
      <c r="J46" s="242" t="s">
        <v>90</v>
      </c>
      <c r="K46" s="243">
        <f>MAX(0,(J41-J42))</f>
        <v>243787.33624242112</v>
      </c>
    </row>
    <row r="49" spans="2:11">
      <c r="B49" s="257"/>
      <c r="C49" s="258"/>
      <c r="D49" s="228">
        <v>2020</v>
      </c>
      <c r="F49" s="228">
        <v>2019</v>
      </c>
      <c r="H49" s="228">
        <v>2018</v>
      </c>
      <c r="J49" s="228">
        <v>2017</v>
      </c>
    </row>
    <row r="50" spans="2:11" ht="14.25">
      <c r="B50" s="257" t="s">
        <v>91</v>
      </c>
      <c r="C50" s="259" t="s">
        <v>92</v>
      </c>
      <c r="D50" s="260">
        <f>E46*E34</f>
        <v>147433.79002882421</v>
      </c>
      <c r="F50" s="260">
        <f>G46*G34</f>
        <v>138272.08397396174</v>
      </c>
      <c r="H50" s="260">
        <f>I46*I34</f>
        <v>145100.67140760223</v>
      </c>
      <c r="J50" s="260">
        <f>K46*K34</f>
        <v>157942.50153137735</v>
      </c>
    </row>
    <row r="51" spans="2:11">
      <c r="D51" s="260"/>
      <c r="F51" s="261"/>
      <c r="H51" s="261"/>
      <c r="J51" s="261"/>
    </row>
    <row r="53" spans="2:11">
      <c r="B53" s="262" t="s">
        <v>94</v>
      </c>
    </row>
    <row r="54" spans="2:11">
      <c r="B54" s="262"/>
    </row>
    <row r="55" spans="2:11">
      <c r="B55" s="263" t="s">
        <v>95</v>
      </c>
      <c r="C55" s="264"/>
      <c r="D55" s="265"/>
      <c r="F55" s="265"/>
      <c r="H55" s="265"/>
      <c r="J55" s="265"/>
    </row>
    <row r="56" spans="2:11">
      <c r="B56" s="263"/>
      <c r="C56" s="264"/>
      <c r="D56" s="265"/>
      <c r="F56" s="265"/>
      <c r="H56" s="265"/>
      <c r="J56" s="265"/>
    </row>
    <row r="57" spans="2:11">
      <c r="B57" s="227" t="s">
        <v>56</v>
      </c>
      <c r="C57" s="264"/>
      <c r="D57" s="265"/>
      <c r="F57" s="265"/>
      <c r="H57" s="265"/>
      <c r="J57" s="265"/>
    </row>
    <row r="58" spans="2:11">
      <c r="B58" s="263"/>
      <c r="C58" s="264"/>
      <c r="D58" s="265"/>
      <c r="E58" s="228">
        <v>2020</v>
      </c>
      <c r="G58" s="228">
        <v>2019</v>
      </c>
      <c r="I58" s="228">
        <v>2018</v>
      </c>
      <c r="K58" s="228">
        <v>2017</v>
      </c>
    </row>
    <row r="59" spans="2:11" ht="15.75">
      <c r="B59" s="266" t="s">
        <v>96</v>
      </c>
      <c r="C59" s="267" t="s">
        <v>97</v>
      </c>
      <c r="D59" s="259" t="s">
        <v>98</v>
      </c>
      <c r="E59" s="259"/>
      <c r="F59" s="259" t="s">
        <v>98</v>
      </c>
      <c r="G59" s="259"/>
      <c r="H59" s="259" t="s">
        <v>98</v>
      </c>
      <c r="I59" s="259"/>
      <c r="J59" s="259" t="s">
        <v>98</v>
      </c>
      <c r="K59" s="259"/>
    </row>
    <row r="60" spans="2:11">
      <c r="B60" s="268" t="s">
        <v>99</v>
      </c>
      <c r="C60" s="269"/>
      <c r="D60" s="258"/>
      <c r="E60" s="258"/>
      <c r="F60" s="258"/>
      <c r="G60" s="258"/>
      <c r="H60" s="258"/>
      <c r="I60" s="258"/>
      <c r="J60" s="258"/>
      <c r="K60" s="258"/>
    </row>
    <row r="61" spans="2:11">
      <c r="B61" s="270" t="s">
        <v>100</v>
      </c>
      <c r="C61" s="269"/>
      <c r="D61" s="269" t="s">
        <v>98</v>
      </c>
      <c r="E61" s="269">
        <f>Emissions!E152</f>
        <v>372067.4601002619</v>
      </c>
      <c r="F61" s="269" t="s">
        <v>98</v>
      </c>
      <c r="G61" s="269">
        <f>Emissions!F152</f>
        <v>403138.52615004848</v>
      </c>
      <c r="H61" s="269" t="s">
        <v>98</v>
      </c>
      <c r="I61" s="269">
        <f>Emissions!G152</f>
        <v>407558.96624044783</v>
      </c>
      <c r="J61" s="269" t="s">
        <v>98</v>
      </c>
      <c r="K61" s="269">
        <f>Emissions!H152</f>
        <v>391051.87480546616</v>
      </c>
    </row>
    <row r="62" spans="2:11">
      <c r="B62" s="271" t="s">
        <v>101</v>
      </c>
      <c r="C62" s="269"/>
      <c r="D62" s="269" t="s">
        <v>98</v>
      </c>
      <c r="E62" s="269">
        <f>Emissions!E153</f>
        <v>0</v>
      </c>
      <c r="F62" s="269" t="s">
        <v>98</v>
      </c>
      <c r="G62" s="269">
        <f>Emissions!F153</f>
        <v>0</v>
      </c>
      <c r="H62" s="269" t="s">
        <v>98</v>
      </c>
      <c r="I62" s="269">
        <f>Emissions!G153</f>
        <v>0</v>
      </c>
      <c r="J62" s="269" t="s">
        <v>98</v>
      </c>
      <c r="K62" s="269">
        <f>Emissions!H153</f>
        <v>0</v>
      </c>
    </row>
    <row r="63" spans="2:11">
      <c r="B63" s="272" t="s">
        <v>102</v>
      </c>
      <c r="C63" s="273"/>
      <c r="D63" s="273" t="s">
        <v>98</v>
      </c>
      <c r="E63" s="273">
        <f>Emissions!E154</f>
        <v>0</v>
      </c>
      <c r="F63" s="273" t="s">
        <v>98</v>
      </c>
      <c r="G63" s="273">
        <f>Emissions!F154</f>
        <v>0</v>
      </c>
      <c r="H63" s="273" t="s">
        <v>98</v>
      </c>
      <c r="I63" s="273">
        <f>Emissions!G154</f>
        <v>0</v>
      </c>
      <c r="J63" s="273" t="s">
        <v>98</v>
      </c>
      <c r="K63" s="273">
        <f>Emissions!H154</f>
        <v>0</v>
      </c>
    </row>
    <row r="64" spans="2:11">
      <c r="B64" s="274"/>
      <c r="C64" s="264"/>
      <c r="D64" s="264"/>
      <c r="F64" s="264"/>
      <c r="H64" s="264"/>
      <c r="J64" s="264"/>
    </row>
    <row r="65" spans="2:11">
      <c r="B65" s="227" t="s">
        <v>66</v>
      </c>
      <c r="C65" s="264"/>
      <c r="D65" s="264"/>
      <c r="F65" s="264"/>
      <c r="H65" s="264"/>
      <c r="J65" s="264"/>
    </row>
    <row r="66" spans="2:11">
      <c r="B66" s="274"/>
      <c r="C66" s="264"/>
      <c r="D66" s="264"/>
      <c r="F66" s="264"/>
      <c r="H66" s="264"/>
      <c r="J66" s="264"/>
    </row>
    <row r="67" spans="2:11" ht="14.25">
      <c r="B67" s="270" t="s">
        <v>103</v>
      </c>
      <c r="C67" s="275" t="s">
        <v>104</v>
      </c>
      <c r="D67" s="276" t="s">
        <v>105</v>
      </c>
      <c r="E67" s="258">
        <f>Emissions!E156</f>
        <v>23460.548870168856</v>
      </c>
      <c r="F67" s="276" t="s">
        <v>105</v>
      </c>
      <c r="G67" s="258">
        <f>Emissions!F156</f>
        <v>26268.422723440424</v>
      </c>
      <c r="H67" s="276" t="s">
        <v>105</v>
      </c>
      <c r="I67" s="258">
        <f>Emissions!G156</f>
        <v>26502.259786722647</v>
      </c>
      <c r="J67" s="276" t="s">
        <v>105</v>
      </c>
      <c r="K67" s="258">
        <f>Emissions!H156</f>
        <v>24721.097706646859</v>
      </c>
    </row>
    <row r="68" spans="2:11" ht="14.25">
      <c r="B68" s="271" t="s">
        <v>106</v>
      </c>
      <c r="C68" s="277" t="s">
        <v>107</v>
      </c>
      <c r="D68" s="278" t="s">
        <v>105</v>
      </c>
      <c r="E68" s="269">
        <f>Emissions!E157</f>
        <v>0</v>
      </c>
      <c r="F68" s="278" t="s">
        <v>105</v>
      </c>
      <c r="G68" s="269">
        <f>Emissions!F157</f>
        <v>0</v>
      </c>
      <c r="H68" s="278" t="s">
        <v>105</v>
      </c>
      <c r="I68" s="269">
        <f>Emissions!G157</f>
        <v>0</v>
      </c>
      <c r="J68" s="278" t="s">
        <v>105</v>
      </c>
      <c r="K68" s="269">
        <f>Emissions!H157</f>
        <v>0</v>
      </c>
    </row>
    <row r="69" spans="2:11" ht="14.25">
      <c r="B69" s="272" t="s">
        <v>108</v>
      </c>
      <c r="C69" s="279" t="s">
        <v>109</v>
      </c>
      <c r="D69" s="318" t="s">
        <v>105</v>
      </c>
      <c r="E69" s="273">
        <f>Emissions!E158</f>
        <v>0</v>
      </c>
      <c r="F69" s="318" t="s">
        <v>105</v>
      </c>
      <c r="G69" s="273">
        <f>Emissions!F158</f>
        <v>0</v>
      </c>
      <c r="H69" s="318" t="s">
        <v>105</v>
      </c>
      <c r="I69" s="273">
        <f>Emissions!G158</f>
        <v>0</v>
      </c>
      <c r="J69" s="318" t="s">
        <v>105</v>
      </c>
      <c r="K69" s="273">
        <f>Emissions!H158</f>
        <v>0</v>
      </c>
    </row>
    <row r="70" spans="2:11">
      <c r="B70" s="280" t="s">
        <v>20</v>
      </c>
      <c r="C70" s="267" t="s">
        <v>110</v>
      </c>
      <c r="D70" s="259" t="s">
        <v>111</v>
      </c>
      <c r="E70" s="281">
        <f>SUM(E67:E69)</f>
        <v>23460.548870168856</v>
      </c>
      <c r="F70" s="259" t="s">
        <v>111</v>
      </c>
      <c r="G70" s="281">
        <f>SUM(G67:G69)</f>
        <v>26268.422723440424</v>
      </c>
      <c r="H70" s="259" t="s">
        <v>111</v>
      </c>
      <c r="I70" s="281">
        <f>SUM(I67:I69)</f>
        <v>26502.259786722647</v>
      </c>
      <c r="J70" s="259" t="s">
        <v>111</v>
      </c>
      <c r="K70" s="281">
        <f>SUM(K67:K69)</f>
        <v>24721.097706646859</v>
      </c>
    </row>
    <row r="71" spans="2:11" ht="15.75">
      <c r="B71" s="282" t="s">
        <v>112</v>
      </c>
      <c r="C71" s="273" t="s">
        <v>113</v>
      </c>
      <c r="D71" s="273" t="s">
        <v>114</v>
      </c>
      <c r="E71" s="283">
        <v>0.85</v>
      </c>
      <c r="F71" s="273" t="s">
        <v>114</v>
      </c>
      <c r="G71" s="283">
        <v>0.85</v>
      </c>
      <c r="H71" s="273" t="s">
        <v>114</v>
      </c>
      <c r="I71" s="283">
        <v>0.85</v>
      </c>
      <c r="J71" s="273" t="s">
        <v>114</v>
      </c>
      <c r="K71" s="283">
        <v>0.85</v>
      </c>
    </row>
    <row r="72" spans="2:11">
      <c r="B72" s="265"/>
      <c r="C72" s="264"/>
      <c r="D72" s="264"/>
      <c r="F72" s="264"/>
      <c r="H72" s="264"/>
      <c r="J72" s="264"/>
    </row>
    <row r="73" spans="2:11">
      <c r="B73" s="265"/>
      <c r="C73" s="264"/>
      <c r="D73" s="264"/>
      <c r="F73" s="264"/>
      <c r="H73" s="264"/>
      <c r="J73" s="264"/>
    </row>
    <row r="74" spans="2:11">
      <c r="B74" s="284" t="s">
        <v>56</v>
      </c>
      <c r="C74" s="264"/>
      <c r="D74" s="264"/>
      <c r="F74" s="264"/>
      <c r="H74" s="264"/>
      <c r="J74" s="264"/>
    </row>
    <row r="75" spans="2:11">
      <c r="B75" s="265"/>
      <c r="C75" s="264"/>
      <c r="E75" s="228">
        <v>2020</v>
      </c>
      <c r="G75" s="228">
        <v>2019</v>
      </c>
      <c r="I75" s="228">
        <v>2018</v>
      </c>
      <c r="K75" s="228">
        <v>2017</v>
      </c>
    </row>
    <row r="76" spans="2:11">
      <c r="B76" s="280" t="s">
        <v>21</v>
      </c>
      <c r="C76" s="285" t="s">
        <v>115</v>
      </c>
      <c r="D76" s="286" t="s">
        <v>105</v>
      </c>
      <c r="E76" s="287">
        <f>SUM(E77:E79)</f>
        <v>216516.59066395034</v>
      </c>
      <c r="F76" s="286" t="s">
        <v>105</v>
      </c>
      <c r="G76" s="287">
        <f>SUM(G77:G79)</f>
        <v>229179.50861737746</v>
      </c>
      <c r="H76" s="286" t="s">
        <v>105</v>
      </c>
      <c r="I76" s="287">
        <f>SUM(I77:I79)</f>
        <v>249400.1548119284</v>
      </c>
      <c r="J76" s="286" t="s">
        <v>105</v>
      </c>
      <c r="K76" s="287">
        <f>SUM(K77:K79)</f>
        <v>176378.69893164831</v>
      </c>
    </row>
    <row r="77" spans="2:11" ht="14.25">
      <c r="B77" s="288" t="s">
        <v>116</v>
      </c>
      <c r="C77" s="275" t="s">
        <v>117</v>
      </c>
      <c r="D77" s="286" t="s">
        <v>105</v>
      </c>
      <c r="E77" s="286">
        <f>Emissions!E166</f>
        <v>78430.224788080697</v>
      </c>
      <c r="F77" s="286" t="s">
        <v>105</v>
      </c>
      <c r="G77" s="286">
        <f>Emissions!F166</f>
        <v>74239.003276762873</v>
      </c>
      <c r="H77" s="286" t="s">
        <v>105</v>
      </c>
      <c r="I77" s="286">
        <f>Emissions!G166</f>
        <v>73138.637350620163</v>
      </c>
      <c r="J77" s="286" t="s">
        <v>105</v>
      </c>
      <c r="K77" s="286">
        <f>Emissions!H166</f>
        <v>42740.24577022771</v>
      </c>
    </row>
    <row r="78" spans="2:11" ht="14.25">
      <c r="B78" s="289" t="s">
        <v>118</v>
      </c>
      <c r="C78" s="277" t="s">
        <v>119</v>
      </c>
      <c r="D78" s="290" t="s">
        <v>105</v>
      </c>
      <c r="E78" s="682">
        <f>Emissions!E168</f>
        <v>138086.36587586964</v>
      </c>
      <c r="F78" s="290" t="s">
        <v>105</v>
      </c>
      <c r="G78" s="682">
        <f>Emissions!F168</f>
        <v>154940.50534061459</v>
      </c>
      <c r="H78" s="290" t="s">
        <v>105</v>
      </c>
      <c r="I78" s="682">
        <f>Emissions!G168</f>
        <v>176261.51746130825</v>
      </c>
      <c r="J78" s="290" t="s">
        <v>105</v>
      </c>
      <c r="K78" s="682">
        <f>Emissions!H168</f>
        <v>133638.45316142059</v>
      </c>
    </row>
    <row r="79" spans="2:11" ht="14.25">
      <c r="B79" s="291" t="s">
        <v>120</v>
      </c>
      <c r="C79" s="279" t="s">
        <v>121</v>
      </c>
      <c r="D79" s="292" t="s">
        <v>105</v>
      </c>
      <c r="E79" s="292">
        <f>Emissions!E169</f>
        <v>0</v>
      </c>
      <c r="F79" s="292" t="s">
        <v>105</v>
      </c>
      <c r="G79" s="292">
        <f>Emissions!F169</f>
        <v>0</v>
      </c>
      <c r="H79" s="292" t="s">
        <v>105</v>
      </c>
      <c r="I79" s="292">
        <f>Emissions!G169</f>
        <v>0</v>
      </c>
      <c r="J79" s="292" t="s">
        <v>105</v>
      </c>
      <c r="K79" s="292">
        <f>Emissions!H169</f>
        <v>0</v>
      </c>
    </row>
    <row r="80" spans="2:11" ht="15.75">
      <c r="B80" s="293" t="s">
        <v>122</v>
      </c>
      <c r="C80" s="294" t="s">
        <v>123</v>
      </c>
      <c r="D80" s="290" t="s">
        <v>124</v>
      </c>
      <c r="E80" s="295">
        <f>Emissions!E134</f>
        <v>18.657978808158056</v>
      </c>
      <c r="F80" s="290" t="s">
        <v>124</v>
      </c>
      <c r="G80" s="295">
        <f>Emissions!F134</f>
        <v>18.055161666666663</v>
      </c>
      <c r="H80" s="290" t="s">
        <v>124</v>
      </c>
      <c r="I80" s="295">
        <f>Emissions!G134</f>
        <v>18.092085000000001</v>
      </c>
      <c r="J80" s="290" t="s">
        <v>124</v>
      </c>
      <c r="K80" s="295">
        <f>Emissions!H134</f>
        <v>18.610056666666665</v>
      </c>
    </row>
    <row r="81" spans="2:11" ht="15.75">
      <c r="B81" s="293" t="s">
        <v>125</v>
      </c>
      <c r="C81" s="294" t="s">
        <v>126</v>
      </c>
      <c r="D81" s="290" t="s">
        <v>124</v>
      </c>
      <c r="E81" s="295">
        <f>Emissions!E136</f>
        <v>18.455089627151047</v>
      </c>
      <c r="F81" s="290" t="s">
        <v>124</v>
      </c>
      <c r="G81" s="295">
        <f>Emissions!F136</f>
        <v>18.107411666666664</v>
      </c>
      <c r="H81" s="290" t="s">
        <v>124</v>
      </c>
      <c r="I81" s="295">
        <f>Emissions!G136</f>
        <v>18.129704999999998</v>
      </c>
      <c r="J81" s="290" t="s">
        <v>124</v>
      </c>
      <c r="K81" s="295">
        <f>Emissions!H136</f>
        <v>18.093826666666665</v>
      </c>
    </row>
    <row r="82" spans="2:11" ht="18.75" customHeight="1">
      <c r="B82" s="293" t="s">
        <v>127</v>
      </c>
      <c r="C82" s="294" t="s">
        <v>128</v>
      </c>
      <c r="D82" s="290" t="s">
        <v>124</v>
      </c>
      <c r="E82" s="295">
        <v>0</v>
      </c>
      <c r="F82" s="290" t="s">
        <v>124</v>
      </c>
      <c r="G82" s="295">
        <v>0</v>
      </c>
      <c r="H82" s="290" t="s">
        <v>124</v>
      </c>
      <c r="I82" s="295">
        <v>0</v>
      </c>
      <c r="J82" s="290" t="s">
        <v>124</v>
      </c>
      <c r="K82" s="295">
        <v>0</v>
      </c>
    </row>
    <row r="83" spans="2:11" ht="15.75" customHeight="1">
      <c r="B83" s="296" t="s">
        <v>129</v>
      </c>
      <c r="C83" s="297" t="s">
        <v>130</v>
      </c>
      <c r="D83" s="290" t="s">
        <v>131</v>
      </c>
      <c r="E83" s="295">
        <f>Emissions!E45</f>
        <v>821.74800000000005</v>
      </c>
      <c r="F83" s="290" t="s">
        <v>131</v>
      </c>
      <c r="G83" s="295">
        <f>Emissions!F45</f>
        <v>821.74800000000005</v>
      </c>
      <c r="H83" s="290" t="s">
        <v>131</v>
      </c>
      <c r="I83" s="295">
        <f>Emissions!G45</f>
        <v>821.74800000000005</v>
      </c>
      <c r="J83" s="290" t="s">
        <v>131</v>
      </c>
      <c r="K83" s="295">
        <f>Emissions!H45</f>
        <v>821.74800000000005</v>
      </c>
    </row>
    <row r="84" spans="2:11" ht="12.75" customHeight="1">
      <c r="B84" s="296" t="s">
        <v>132</v>
      </c>
      <c r="C84" s="297" t="s">
        <v>133</v>
      </c>
      <c r="D84" s="290" t="s">
        <v>131</v>
      </c>
      <c r="E84" s="295">
        <v>90.299399999999991</v>
      </c>
      <c r="F84" s="290" t="s">
        <v>131</v>
      </c>
      <c r="G84" s="295">
        <f>E84</f>
        <v>90.299399999999991</v>
      </c>
      <c r="H84" s="290" t="s">
        <v>131</v>
      </c>
      <c r="I84" s="295">
        <f>G84</f>
        <v>90.299399999999991</v>
      </c>
      <c r="J84" s="290" t="s">
        <v>131</v>
      </c>
      <c r="K84" s="295">
        <f>I84</f>
        <v>90.299399999999991</v>
      </c>
    </row>
    <row r="85" spans="2:11" ht="12.75" customHeight="1">
      <c r="B85" s="298" t="s">
        <v>134</v>
      </c>
      <c r="C85" s="292"/>
      <c r="D85" s="292" t="s">
        <v>135</v>
      </c>
      <c r="E85" s="292">
        <v>25</v>
      </c>
      <c r="F85" s="292" t="s">
        <v>135</v>
      </c>
      <c r="G85" s="292">
        <v>25</v>
      </c>
      <c r="H85" s="292" t="s">
        <v>135</v>
      </c>
      <c r="I85" s="292">
        <v>25</v>
      </c>
      <c r="J85" s="292" t="s">
        <v>135</v>
      </c>
      <c r="K85" s="292">
        <v>25</v>
      </c>
    </row>
    <row r="86" spans="2:11" ht="12.75" customHeight="1">
      <c r="B86" s="299"/>
      <c r="C86" s="264"/>
      <c r="D86" s="264"/>
      <c r="F86" s="264"/>
      <c r="H86" s="264"/>
      <c r="J86" s="264"/>
    </row>
    <row r="87" spans="2:11">
      <c r="B87" s="227" t="s">
        <v>66</v>
      </c>
      <c r="C87" s="264"/>
      <c r="D87" s="264"/>
      <c r="F87" s="264"/>
      <c r="H87" s="264"/>
      <c r="J87" s="264"/>
    </row>
    <row r="88" spans="2:11">
      <c r="B88" s="299"/>
      <c r="C88" s="264"/>
      <c r="E88" s="228">
        <v>2020</v>
      </c>
      <c r="G88" s="228">
        <v>2019</v>
      </c>
      <c r="I88" s="228">
        <v>2018</v>
      </c>
      <c r="K88" s="228">
        <v>2017</v>
      </c>
    </row>
    <row r="89" spans="2:11" ht="15.75">
      <c r="B89" s="300" t="s">
        <v>136</v>
      </c>
      <c r="C89" s="301" t="s">
        <v>137</v>
      </c>
      <c r="D89" s="302" t="s">
        <v>138</v>
      </c>
      <c r="E89" s="827">
        <f>Emissions!E172</f>
        <v>85372.764025619661</v>
      </c>
      <c r="F89" s="302" t="s">
        <v>138</v>
      </c>
      <c r="G89" s="827">
        <f>Emissions!F178</f>
        <v>59942.292293585648</v>
      </c>
      <c r="H89" s="302" t="s">
        <v>138</v>
      </c>
      <c r="I89" s="827">
        <f>Emissions!G178</f>
        <v>68274.770017761519</v>
      </c>
      <c r="J89" s="302" t="s">
        <v>138</v>
      </c>
      <c r="K89" s="827">
        <f>Emissions!H178</f>
        <v>51662.315753218507</v>
      </c>
    </row>
    <row r="90" spans="2:11" ht="15.75">
      <c r="B90" s="303" t="s">
        <v>139</v>
      </c>
      <c r="C90" s="304" t="s">
        <v>140</v>
      </c>
      <c r="D90" s="305" t="s">
        <v>138</v>
      </c>
      <c r="E90" s="828"/>
      <c r="F90" s="305" t="s">
        <v>138</v>
      </c>
      <c r="G90" s="828"/>
      <c r="H90" s="305" t="s">
        <v>138</v>
      </c>
      <c r="I90" s="828"/>
      <c r="J90" s="305" t="s">
        <v>138</v>
      </c>
      <c r="K90" s="828"/>
    </row>
    <row r="91" spans="2:11" ht="15.75">
      <c r="B91" s="307" t="s">
        <v>141</v>
      </c>
      <c r="C91" s="304" t="s">
        <v>142</v>
      </c>
      <c r="D91" s="308" t="s">
        <v>138</v>
      </c>
      <c r="E91" s="306">
        <f>E79*E82*E84*E85/1000000</f>
        <v>0</v>
      </c>
      <c r="F91" s="308" t="s">
        <v>138</v>
      </c>
      <c r="G91" s="306">
        <f>G79*G82*G84*G85/1000000</f>
        <v>0</v>
      </c>
      <c r="H91" s="308" t="s">
        <v>138</v>
      </c>
      <c r="I91" s="306">
        <f>I79*I82*I84*I85/1000000</f>
        <v>0</v>
      </c>
      <c r="J91" s="308" t="s">
        <v>138</v>
      </c>
      <c r="K91" s="306">
        <f>K79*K82*K84*K85/1000000</f>
        <v>0</v>
      </c>
    </row>
    <row r="92" spans="2:11" ht="14.25">
      <c r="B92" s="309" t="s">
        <v>143</v>
      </c>
      <c r="C92" s="310" t="s">
        <v>144</v>
      </c>
      <c r="D92" s="311" t="s">
        <v>145</v>
      </c>
      <c r="E92" s="281">
        <f>SUM(E89:E91)</f>
        <v>85372.764025619661</v>
      </c>
      <c r="F92" s="311" t="s">
        <v>145</v>
      </c>
      <c r="G92" s="281">
        <f>SUM(G89:G91)</f>
        <v>59942.292293585648</v>
      </c>
      <c r="H92" s="311" t="s">
        <v>145</v>
      </c>
      <c r="I92" s="281">
        <f>SUM(I89:I91)</f>
        <v>68274.770017761519</v>
      </c>
      <c r="J92" s="311" t="s">
        <v>145</v>
      </c>
      <c r="K92" s="281">
        <f>SUM(K89:K91)</f>
        <v>51662.315753218507</v>
      </c>
    </row>
    <row r="93" spans="2:11">
      <c r="B93" s="312" t="s">
        <v>146</v>
      </c>
      <c r="C93" s="264"/>
      <c r="D93" s="224" t="s">
        <v>93</v>
      </c>
      <c r="E93" s="313">
        <v>0</v>
      </c>
      <c r="F93" s="224" t="s">
        <v>93</v>
      </c>
      <c r="G93" s="313">
        <v>0</v>
      </c>
      <c r="H93" s="224" t="s">
        <v>93</v>
      </c>
      <c r="I93" s="313">
        <v>0</v>
      </c>
      <c r="J93" s="224" t="s">
        <v>93</v>
      </c>
      <c r="K93" s="313">
        <v>0</v>
      </c>
    </row>
    <row r="94" spans="2:11">
      <c r="B94" s="314"/>
      <c r="C94" s="264"/>
      <c r="D94" s="264"/>
      <c r="F94" s="264"/>
      <c r="H94" s="264"/>
      <c r="J94" s="264"/>
    </row>
    <row r="95" spans="2:11">
      <c r="B95" s="314"/>
      <c r="C95" s="264"/>
      <c r="D95" s="264"/>
      <c r="F95" s="264"/>
      <c r="H95" s="264"/>
      <c r="J95" s="264"/>
    </row>
    <row r="96" spans="2:11">
      <c r="B96" s="263" t="s">
        <v>31</v>
      </c>
      <c r="C96" s="264"/>
      <c r="D96" s="265"/>
      <c r="F96" s="265"/>
      <c r="H96" s="265"/>
      <c r="J96" s="265"/>
    </row>
    <row r="97" spans="2:11">
      <c r="B97" s="222" t="s">
        <v>147</v>
      </c>
      <c r="C97" s="264"/>
      <c r="D97" s="265"/>
      <c r="F97" s="265"/>
      <c r="H97" s="265"/>
      <c r="J97" s="265"/>
    </row>
    <row r="98" spans="2:11">
      <c r="B98" s="257"/>
      <c r="C98" s="258"/>
      <c r="E98" s="228">
        <v>2020</v>
      </c>
      <c r="G98" s="228">
        <v>2019</v>
      </c>
      <c r="I98" s="228">
        <v>2018</v>
      </c>
      <c r="K98" s="228">
        <v>2017</v>
      </c>
    </row>
    <row r="99" spans="2:11" ht="15.75">
      <c r="B99" s="315" t="s">
        <v>91</v>
      </c>
      <c r="C99" s="258" t="s">
        <v>148</v>
      </c>
      <c r="D99" s="316" t="s">
        <v>138</v>
      </c>
      <c r="E99" s="276">
        <f>D50</f>
        <v>147433.79002882421</v>
      </c>
      <c r="F99" s="316" t="s">
        <v>138</v>
      </c>
      <c r="G99" s="276">
        <f>F50</f>
        <v>138272.08397396174</v>
      </c>
      <c r="H99" s="316" t="s">
        <v>138</v>
      </c>
      <c r="I99" s="276">
        <f>H50</f>
        <v>145100.67140760223</v>
      </c>
      <c r="J99" s="316" t="s">
        <v>138</v>
      </c>
      <c r="K99" s="276">
        <f>J50</f>
        <v>157942.50153137735</v>
      </c>
    </row>
    <row r="100" spans="2:11" ht="15.75">
      <c r="B100" s="315" t="s">
        <v>149</v>
      </c>
      <c r="C100" s="273" t="s">
        <v>150</v>
      </c>
      <c r="D100" s="317" t="s">
        <v>138</v>
      </c>
      <c r="E100" s="683">
        <f>E92</f>
        <v>85372.764025619661</v>
      </c>
      <c r="F100" s="317" t="s">
        <v>138</v>
      </c>
      <c r="G100" s="683">
        <f>G92</f>
        <v>59942.292293585648</v>
      </c>
      <c r="H100" s="317" t="s">
        <v>138</v>
      </c>
      <c r="I100" s="683">
        <f>I92</f>
        <v>68274.770017761519</v>
      </c>
      <c r="J100" s="317" t="s">
        <v>138</v>
      </c>
      <c r="K100" s="683">
        <f>K92</f>
        <v>51662.315753218507</v>
      </c>
    </row>
    <row r="101" spans="2:11" ht="14.25">
      <c r="B101" s="257" t="s">
        <v>151</v>
      </c>
      <c r="C101" s="273"/>
      <c r="D101" s="259" t="s">
        <v>152</v>
      </c>
      <c r="E101" s="259">
        <f>E99+E100</f>
        <v>232806.55405444387</v>
      </c>
      <c r="F101" s="259" t="s">
        <v>152</v>
      </c>
      <c r="G101" s="259">
        <f>G99+G100</f>
        <v>198214.37626754737</v>
      </c>
      <c r="H101" s="259" t="s">
        <v>152</v>
      </c>
      <c r="I101" s="259">
        <f>I99+I100</f>
        <v>213375.44142536377</v>
      </c>
      <c r="J101" s="259" t="s">
        <v>152</v>
      </c>
      <c r="K101" s="259">
        <f>K99+K100</f>
        <v>209604.81728459586</v>
      </c>
    </row>
    <row r="102" spans="2:11">
      <c r="B102" s="262"/>
      <c r="D102" s="224"/>
      <c r="E102" s="313"/>
      <c r="F102" s="224"/>
      <c r="G102" s="313"/>
      <c r="H102" s="224"/>
      <c r="I102" s="313"/>
      <c r="J102" s="224"/>
      <c r="K102" s="313"/>
    </row>
    <row r="103" spans="2:11">
      <c r="B103" s="262"/>
    </row>
    <row r="104" spans="2:11">
      <c r="B104" s="262"/>
    </row>
    <row r="105" spans="2:11">
      <c r="B105" s="319" t="s">
        <v>153</v>
      </c>
      <c r="C105" s="223"/>
    </row>
    <row r="106" spans="2:11">
      <c r="C106" s="223"/>
    </row>
    <row r="107" spans="2:11" ht="14.25">
      <c r="B107" s="319" t="s">
        <v>154</v>
      </c>
      <c r="C107" s="223"/>
    </row>
    <row r="108" spans="2:11">
      <c r="B108" s="319"/>
      <c r="C108" s="223"/>
    </row>
    <row r="109" spans="2:11">
      <c r="B109" s="227" t="s">
        <v>155</v>
      </c>
      <c r="C109" s="223"/>
    </row>
    <row r="110" spans="2:11">
      <c r="B110" s="227"/>
      <c r="C110" s="223"/>
    </row>
    <row r="111" spans="2:11">
      <c r="B111" s="227" t="s">
        <v>56</v>
      </c>
      <c r="C111" s="223"/>
    </row>
    <row r="112" spans="2:11">
      <c r="C112" s="223"/>
      <c r="D112" s="228">
        <v>2020</v>
      </c>
      <c r="F112" s="228">
        <v>2019</v>
      </c>
      <c r="H112" s="228">
        <v>2018</v>
      </c>
      <c r="J112" s="228">
        <v>2017</v>
      </c>
    </row>
    <row r="113" spans="2:10" ht="15.75">
      <c r="B113" s="288" t="s">
        <v>156</v>
      </c>
      <c r="C113" s="320" t="s">
        <v>157</v>
      </c>
      <c r="D113" s="331">
        <f>Emissions!E188</f>
        <v>28.127830959109136</v>
      </c>
      <c r="F113" s="331">
        <f>Emissions!F188</f>
        <v>39.96574597546153</v>
      </c>
      <c r="H113" s="331">
        <f>Emissions!G188</f>
        <v>26.220921026341085</v>
      </c>
      <c r="J113" s="331">
        <f>Emissions!H188</f>
        <v>72.34142511860901</v>
      </c>
    </row>
    <row r="114" spans="2:10" ht="15.75">
      <c r="B114" s="289" t="s">
        <v>158</v>
      </c>
      <c r="C114" s="297" t="s">
        <v>159</v>
      </c>
      <c r="D114" s="334">
        <v>43.3</v>
      </c>
      <c r="F114" s="334">
        <v>43.3</v>
      </c>
      <c r="H114" s="334">
        <v>43.3</v>
      </c>
      <c r="J114" s="334">
        <v>43.3</v>
      </c>
    </row>
    <row r="115" spans="2:10" ht="15.75">
      <c r="B115" s="291" t="s">
        <v>160</v>
      </c>
      <c r="C115" s="323" t="s">
        <v>161</v>
      </c>
      <c r="D115" s="337">
        <v>7.4799999999999991E-2</v>
      </c>
      <c r="F115" s="337">
        <v>7.4799999999999991E-2</v>
      </c>
      <c r="H115" s="337">
        <v>7.4799999999999991E-2</v>
      </c>
      <c r="J115" s="337">
        <v>7.4799999999999991E-2</v>
      </c>
    </row>
    <row r="116" spans="2:10" ht="15.75">
      <c r="B116" s="288" t="s">
        <v>162</v>
      </c>
      <c r="C116" s="320" t="s">
        <v>163</v>
      </c>
      <c r="D116" s="620">
        <f>Emissions!E191</f>
        <v>2.9467251480971478E-2</v>
      </c>
      <c r="F116" s="620">
        <f>Emissions!F191</f>
        <v>4.1868876736197803E-2</v>
      </c>
      <c r="H116" s="620">
        <f>Emissions!G191</f>
        <v>2.7469536313309714E-2</v>
      </c>
      <c r="J116" s="620">
        <f>Emissions!H191</f>
        <v>7.5786254886161822E-2</v>
      </c>
    </row>
    <row r="117" spans="2:10" ht="15.75">
      <c r="B117" s="289" t="s">
        <v>164</v>
      </c>
      <c r="C117" s="297" t="s">
        <v>165</v>
      </c>
      <c r="D117" s="334">
        <v>52.2</v>
      </c>
      <c r="F117" s="334">
        <f>D117</f>
        <v>52.2</v>
      </c>
      <c r="H117" s="334">
        <f>F117</f>
        <v>52.2</v>
      </c>
      <c r="J117" s="334">
        <f>D117</f>
        <v>52.2</v>
      </c>
    </row>
    <row r="118" spans="2:10" ht="15.75">
      <c r="B118" s="291" t="s">
        <v>166</v>
      </c>
      <c r="C118" s="323" t="s">
        <v>167</v>
      </c>
      <c r="D118" s="337">
        <v>6.5633333333333321E-2</v>
      </c>
      <c r="F118" s="337">
        <f>D118</f>
        <v>6.5633333333333321E-2</v>
      </c>
      <c r="H118" s="337">
        <f>F118</f>
        <v>6.5633333333333321E-2</v>
      </c>
      <c r="J118" s="337">
        <f>H118</f>
        <v>6.5633333333333321E-2</v>
      </c>
    </row>
    <row r="119" spans="2:10">
      <c r="C119" s="223"/>
    </row>
    <row r="120" spans="2:10">
      <c r="B120" s="227" t="s">
        <v>66</v>
      </c>
      <c r="C120" s="223"/>
    </row>
    <row r="121" spans="2:10">
      <c r="C121" s="223"/>
    </row>
    <row r="122" spans="2:10">
      <c r="B122" s="325" t="s">
        <v>168</v>
      </c>
      <c r="C122" s="326" t="s">
        <v>169</v>
      </c>
      <c r="D122" s="327">
        <f>(D113*D114*D115)+(D116*D117*D118)</f>
        <v>91.202500595209912</v>
      </c>
      <c r="F122" s="327">
        <f>(F113*F114*F115)+(F116*F117*F118)</f>
        <v>129.58610197899463</v>
      </c>
      <c r="H122" s="327">
        <f>(H113*H114*H115)+(H116*H117*H118)</f>
        <v>85.019480136536117</v>
      </c>
      <c r="J122" s="327">
        <f>(J113*J114*J115)+(J116*J117*J118)</f>
        <v>234.56194958757087</v>
      </c>
    </row>
    <row r="123" spans="2:10">
      <c r="B123" s="227"/>
      <c r="C123" s="224" t="s">
        <v>93</v>
      </c>
      <c r="D123" s="328">
        <v>0</v>
      </c>
      <c r="F123" s="328">
        <v>0</v>
      </c>
      <c r="H123" s="328">
        <v>0</v>
      </c>
      <c r="J123" s="328">
        <v>0</v>
      </c>
    </row>
    <row r="124" spans="2:10">
      <c r="C124" s="223"/>
    </row>
    <row r="125" spans="2:10">
      <c r="B125" s="227" t="s">
        <v>170</v>
      </c>
      <c r="C125" s="223"/>
    </row>
    <row r="126" spans="2:10">
      <c r="C126" s="223"/>
    </row>
    <row r="127" spans="2:10">
      <c r="B127" s="227" t="s">
        <v>56</v>
      </c>
      <c r="C127" s="223"/>
    </row>
    <row r="128" spans="2:10">
      <c r="C128" s="223"/>
      <c r="D128" s="228">
        <v>2020</v>
      </c>
      <c r="F128" s="228">
        <v>2019</v>
      </c>
      <c r="H128" s="228">
        <v>2018</v>
      </c>
      <c r="J128" s="228">
        <v>2017</v>
      </c>
    </row>
    <row r="129" spans="2:10" ht="15.75">
      <c r="B129" s="329" t="s">
        <v>171</v>
      </c>
      <c r="C129" s="330" t="s">
        <v>172</v>
      </c>
      <c r="D129" s="331">
        <f>Emissions!E198</f>
        <v>56.318640000000002</v>
      </c>
      <c r="F129" s="331">
        <f>Emissions!F198</f>
        <v>62.632079999999995</v>
      </c>
      <c r="H129" s="331">
        <f>Emissions!G198</f>
        <v>65.400720000000007</v>
      </c>
      <c r="J129" s="331">
        <f>Emissions!H198</f>
        <v>58.17756</v>
      </c>
    </row>
    <row r="130" spans="2:10" ht="15.75">
      <c r="B130" s="332" t="s">
        <v>173</v>
      </c>
      <c r="C130" s="333" t="s">
        <v>159</v>
      </c>
      <c r="D130" s="334">
        <v>43.3</v>
      </c>
      <c r="F130" s="334">
        <v>43.3</v>
      </c>
      <c r="H130" s="334">
        <v>43.3</v>
      </c>
      <c r="J130" s="334">
        <v>43.3</v>
      </c>
    </row>
    <row r="131" spans="2:10" ht="15.75">
      <c r="B131" s="335" t="s">
        <v>174</v>
      </c>
      <c r="C131" s="336" t="s">
        <v>161</v>
      </c>
      <c r="D131" s="337">
        <v>7.4799999999999991E-2</v>
      </c>
      <c r="F131" s="337">
        <v>7.4799999999999991E-2</v>
      </c>
      <c r="H131" s="337">
        <v>7.4799999999999991E-2</v>
      </c>
      <c r="J131" s="337">
        <v>7.4799999999999991E-2</v>
      </c>
    </row>
    <row r="132" spans="2:10">
      <c r="C132" s="223"/>
    </row>
    <row r="133" spans="2:10">
      <c r="B133" s="227" t="s">
        <v>66</v>
      </c>
      <c r="C133" s="223"/>
    </row>
    <row r="134" spans="2:10">
      <c r="C134" s="223"/>
    </row>
    <row r="135" spans="2:10">
      <c r="B135" s="338" t="s">
        <v>175</v>
      </c>
      <c r="C135" s="339" t="s">
        <v>176</v>
      </c>
      <c r="D135" s="340">
        <f>D129*D130*D131</f>
        <v>182.40706397759996</v>
      </c>
      <c r="F135" s="340">
        <f>F129*F130*F131</f>
        <v>202.85528598719995</v>
      </c>
      <c r="H135" s="340">
        <f>H129*H130*H131</f>
        <v>211.82246796479998</v>
      </c>
      <c r="J135" s="340">
        <f>J129*J130*J131</f>
        <v>188.42780843039995</v>
      </c>
    </row>
    <row r="136" spans="2:10">
      <c r="B136" s="319"/>
      <c r="C136" s="224" t="s">
        <v>93</v>
      </c>
      <c r="D136" s="341">
        <v>0</v>
      </c>
      <c r="F136" s="341">
        <v>0</v>
      </c>
      <c r="H136" s="341">
        <v>0</v>
      </c>
      <c r="J136" s="341">
        <v>0</v>
      </c>
    </row>
    <row r="137" spans="2:10">
      <c r="C137" s="223"/>
    </row>
    <row r="138" spans="2:10">
      <c r="B138" s="227" t="s">
        <v>177</v>
      </c>
      <c r="C138" s="223"/>
    </row>
    <row r="139" spans="2:10">
      <c r="C139" s="223"/>
    </row>
    <row r="140" spans="2:10">
      <c r="B140" s="227" t="s">
        <v>56</v>
      </c>
      <c r="C140" s="223"/>
    </row>
    <row r="141" spans="2:10">
      <c r="C141" s="223"/>
    </row>
    <row r="142" spans="2:10" ht="15.75">
      <c r="B142" s="342" t="s">
        <v>178</v>
      </c>
      <c r="C142" s="320" t="s">
        <v>179</v>
      </c>
      <c r="D142" s="321">
        <f>Emissions!E203</f>
        <v>0</v>
      </c>
      <c r="F142" s="321">
        <f>Emissions!F203</f>
        <v>0</v>
      </c>
      <c r="H142" s="321">
        <f>Emissions!G203</f>
        <v>0</v>
      </c>
      <c r="J142" s="321">
        <f>Emissions!H203</f>
        <v>0</v>
      </c>
    </row>
    <row r="143" spans="2:10" ht="15.75">
      <c r="B143" s="343" t="s">
        <v>180</v>
      </c>
      <c r="C143" s="297" t="s">
        <v>159</v>
      </c>
      <c r="D143" s="322">
        <v>43.3</v>
      </c>
      <c r="F143" s="322">
        <v>0</v>
      </c>
      <c r="H143" s="322">
        <v>0</v>
      </c>
      <c r="J143" s="322">
        <v>0</v>
      </c>
    </row>
    <row r="144" spans="2:10" ht="15.75">
      <c r="B144" s="344" t="s">
        <v>181</v>
      </c>
      <c r="C144" s="323" t="s">
        <v>161</v>
      </c>
      <c r="D144" s="324">
        <v>7.4799999999999991E-2</v>
      </c>
      <c r="F144" s="324">
        <v>0</v>
      </c>
      <c r="H144" s="324">
        <v>0</v>
      </c>
      <c r="J144" s="324">
        <v>0</v>
      </c>
    </row>
    <row r="145" spans="2:10">
      <c r="C145" s="223"/>
      <c r="D145" s="224"/>
      <c r="F145" s="224"/>
      <c r="H145" s="224"/>
      <c r="J145" s="224"/>
    </row>
    <row r="146" spans="2:10">
      <c r="B146" s="227" t="s">
        <v>66</v>
      </c>
      <c r="C146" s="223"/>
      <c r="D146" s="224"/>
      <c r="F146" s="224"/>
      <c r="H146" s="224"/>
      <c r="J146" s="224"/>
    </row>
    <row r="147" spans="2:10">
      <c r="C147" s="223"/>
      <c r="D147" s="224"/>
      <c r="F147" s="224"/>
      <c r="H147" s="224"/>
      <c r="J147" s="224"/>
    </row>
    <row r="148" spans="2:10">
      <c r="B148" s="338" t="s">
        <v>182</v>
      </c>
      <c r="C148" s="345" t="s">
        <v>176</v>
      </c>
      <c r="D148" s="327">
        <f>D142*D143*D144</f>
        <v>0</v>
      </c>
      <c r="F148" s="327">
        <f>F142*F143*F144</f>
        <v>0</v>
      </c>
      <c r="H148" s="327">
        <f>H142*H143*H144</f>
        <v>0</v>
      </c>
      <c r="J148" s="327">
        <f>J142*J143*J144</f>
        <v>0</v>
      </c>
    </row>
    <row r="149" spans="2:10">
      <c r="B149" s="319"/>
      <c r="C149" s="224" t="s">
        <v>93</v>
      </c>
      <c r="D149" s="341">
        <v>0</v>
      </c>
      <c r="F149" s="341">
        <v>0</v>
      </c>
      <c r="H149" s="341">
        <v>0</v>
      </c>
      <c r="J149" s="341">
        <v>0</v>
      </c>
    </row>
    <row r="150" spans="2:10">
      <c r="C150" s="223"/>
    </row>
    <row r="151" spans="2:10">
      <c r="C151" s="223"/>
    </row>
    <row r="152" spans="2:10">
      <c r="B152" s="346" t="s">
        <v>183</v>
      </c>
      <c r="C152" s="347"/>
      <c r="D152" s="228">
        <v>2020</v>
      </c>
      <c r="F152" s="228">
        <v>2019</v>
      </c>
      <c r="H152" s="228">
        <v>2018</v>
      </c>
      <c r="J152" s="228">
        <v>2017</v>
      </c>
    </row>
    <row r="153" spans="2:10" ht="15.75">
      <c r="B153" s="348" t="s">
        <v>184</v>
      </c>
      <c r="C153" s="320" t="s">
        <v>185</v>
      </c>
      <c r="D153" s="349">
        <f>D122</f>
        <v>91.202500595209912</v>
      </c>
      <c r="F153" s="349">
        <f>F122</f>
        <v>129.58610197899463</v>
      </c>
      <c r="H153" s="349">
        <f>H122</f>
        <v>85.019480136536117</v>
      </c>
      <c r="J153" s="349">
        <f>J122</f>
        <v>234.56194958757087</v>
      </c>
    </row>
    <row r="154" spans="2:10" ht="15.75">
      <c r="B154" s="350" t="s">
        <v>186</v>
      </c>
      <c r="C154" s="297" t="s">
        <v>187</v>
      </c>
      <c r="D154" s="351">
        <f>D135</f>
        <v>182.40706397759996</v>
      </c>
      <c r="F154" s="351">
        <f>F135</f>
        <v>202.85528598719995</v>
      </c>
      <c r="H154" s="351">
        <f>H135</f>
        <v>211.82246796479998</v>
      </c>
      <c r="J154" s="351">
        <f>J135</f>
        <v>188.42780843039995</v>
      </c>
    </row>
    <row r="155" spans="2:10" ht="15.75">
      <c r="B155" s="352" t="s">
        <v>188</v>
      </c>
      <c r="C155" s="323" t="s">
        <v>189</v>
      </c>
      <c r="D155" s="353">
        <f>D148</f>
        <v>0</v>
      </c>
      <c r="F155" s="353">
        <f>F148</f>
        <v>0</v>
      </c>
      <c r="H155" s="353">
        <f>H148</f>
        <v>0</v>
      </c>
      <c r="J155" s="353">
        <f>J148</f>
        <v>0</v>
      </c>
    </row>
    <row r="156" spans="2:10">
      <c r="B156" s="354" t="s">
        <v>190</v>
      </c>
      <c r="C156" s="347"/>
      <c r="D156" s="340">
        <f>SUM(D153:D155)</f>
        <v>273.60956457280986</v>
      </c>
      <c r="F156" s="340">
        <f>SUM(F153:F155)</f>
        <v>332.44138796619461</v>
      </c>
      <c r="H156" s="340">
        <f>SUM(H153:H155)</f>
        <v>296.84194810133613</v>
      </c>
      <c r="J156" s="340">
        <f>SUM(J153:J155)</f>
        <v>422.98975801797081</v>
      </c>
    </row>
    <row r="157" spans="2:10">
      <c r="C157" s="224" t="s">
        <v>93</v>
      </c>
      <c r="D157" s="341">
        <v>0</v>
      </c>
      <c r="F157" s="341">
        <v>0</v>
      </c>
      <c r="H157" s="341">
        <v>0</v>
      </c>
      <c r="J157" s="341">
        <v>0</v>
      </c>
    </row>
    <row r="158" spans="2:10" ht="14.25">
      <c r="B158" s="319" t="s">
        <v>191</v>
      </c>
      <c r="C158" s="223"/>
    </row>
    <row r="159" spans="2:10">
      <c r="C159" s="223"/>
    </row>
    <row r="160" spans="2:10">
      <c r="B160" s="227" t="s">
        <v>56</v>
      </c>
      <c r="C160" s="223"/>
    </row>
    <row r="161" spans="2:10">
      <c r="C161" s="223"/>
    </row>
    <row r="162" spans="2:10" ht="15.75">
      <c r="B162" s="355" t="s">
        <v>192</v>
      </c>
      <c r="C162" s="320" t="s">
        <v>193</v>
      </c>
      <c r="D162" s="356">
        <f>D12</f>
        <v>375.09490612941977</v>
      </c>
      <c r="F162" s="356">
        <f>F12</f>
        <v>489.57849868189697</v>
      </c>
      <c r="H162" s="356">
        <f>H12</f>
        <v>537.00193515945966</v>
      </c>
      <c r="J162" s="356">
        <f>J12</f>
        <v>447.90463539289681</v>
      </c>
    </row>
    <row r="163" spans="2:10" ht="15.75">
      <c r="B163" s="344" t="s">
        <v>194</v>
      </c>
      <c r="C163" s="323" t="s">
        <v>195</v>
      </c>
      <c r="D163" s="357">
        <f>E34</f>
        <v>0.58657000000000004</v>
      </c>
      <c r="F163" s="357">
        <f>G34</f>
        <v>0.52405999999999997</v>
      </c>
      <c r="H163" s="357">
        <f>I34</f>
        <v>0.54056499999999996</v>
      </c>
      <c r="J163" s="357">
        <f>K34</f>
        <v>0.64786999999999995</v>
      </c>
    </row>
    <row r="164" spans="2:10">
      <c r="C164" s="223"/>
      <c r="D164" s="224"/>
      <c r="F164" s="224"/>
      <c r="H164" s="224"/>
      <c r="J164" s="224"/>
    </row>
    <row r="165" spans="2:10">
      <c r="B165" s="319" t="s">
        <v>79</v>
      </c>
      <c r="C165" s="223"/>
      <c r="D165" s="224"/>
      <c r="F165" s="224"/>
      <c r="H165" s="224"/>
      <c r="J165" s="224"/>
    </row>
    <row r="166" spans="2:10">
      <c r="C166" s="223"/>
      <c r="D166" s="224"/>
      <c r="F166" s="224"/>
      <c r="H166" s="224"/>
      <c r="J166" s="224"/>
    </row>
    <row r="167" spans="2:10">
      <c r="B167" s="358" t="s">
        <v>196</v>
      </c>
      <c r="C167" s="359" t="s">
        <v>197</v>
      </c>
      <c r="D167" s="327">
        <f>D162*D163</f>
        <v>220.01941908833376</v>
      </c>
      <c r="F167" s="327">
        <f>F162*F163</f>
        <v>256.56850801923491</v>
      </c>
      <c r="H167" s="327">
        <f>H162*H163</f>
        <v>290.28445107947329</v>
      </c>
      <c r="J167" s="327">
        <f>J162*J163</f>
        <v>290.18397613199602</v>
      </c>
    </row>
    <row r="168" spans="2:10">
      <c r="B168" s="227" t="s">
        <v>198</v>
      </c>
      <c r="D168" s="341"/>
      <c r="F168" s="341"/>
      <c r="H168" s="341"/>
      <c r="J168" s="341"/>
    </row>
    <row r="169" spans="2:10">
      <c r="B169" s="222" t="s">
        <v>199</v>
      </c>
      <c r="C169" s="223"/>
    </row>
    <row r="170" spans="2:10">
      <c r="C170" s="223"/>
    </row>
    <row r="171" spans="2:10">
      <c r="C171" s="223"/>
    </row>
    <row r="172" spans="2:10" ht="14.25">
      <c r="B172" s="319" t="s">
        <v>200</v>
      </c>
      <c r="C172" s="223"/>
    </row>
    <row r="173" spans="2:10">
      <c r="C173" s="223"/>
    </row>
    <row r="174" spans="2:10">
      <c r="B174" s="319" t="s">
        <v>56</v>
      </c>
      <c r="C174" s="223"/>
    </row>
    <row r="175" spans="2:10">
      <c r="C175" s="223"/>
      <c r="D175" s="228">
        <v>2020</v>
      </c>
      <c r="F175" s="228">
        <v>2019</v>
      </c>
      <c r="H175" s="228">
        <v>2018</v>
      </c>
      <c r="J175" s="228">
        <v>2017</v>
      </c>
    </row>
    <row r="176" spans="2:10">
      <c r="B176" s="229" t="s">
        <v>201</v>
      </c>
      <c r="C176" s="360"/>
      <c r="D176" s="622">
        <v>415288.21600999997</v>
      </c>
      <c r="F176" s="622">
        <v>438845.16125999996</v>
      </c>
      <c r="H176" s="622">
        <v>461707.66399999999</v>
      </c>
      <c r="J176" s="622">
        <v>403819</v>
      </c>
    </row>
    <row r="177" spans="2:10" ht="15.75">
      <c r="B177" s="361" t="s">
        <v>202</v>
      </c>
      <c r="C177" s="362" t="s">
        <v>203</v>
      </c>
      <c r="D177" s="363">
        <f>Emissions!E240</f>
        <v>16432693.822915921</v>
      </c>
      <c r="F177" s="363">
        <f>Emissions!F240</f>
        <v>14374040.97296942</v>
      </c>
      <c r="H177" s="363">
        <f>Emissions!G240</f>
        <v>22532154.619036809</v>
      </c>
      <c r="J177" s="363">
        <f>Emissions!H240</f>
        <v>14234146.073460223</v>
      </c>
    </row>
    <row r="178" spans="2:10" ht="15.75">
      <c r="B178" s="364" t="s">
        <v>204</v>
      </c>
      <c r="C178" s="365" t="s">
        <v>205</v>
      </c>
      <c r="D178" s="366">
        <v>129</v>
      </c>
      <c r="F178" s="366">
        <f>D178</f>
        <v>129</v>
      </c>
      <c r="H178" s="366">
        <f>F178</f>
        <v>129</v>
      </c>
      <c r="J178" s="366">
        <f>H178</f>
        <v>129</v>
      </c>
    </row>
    <row r="179" spans="2:10">
      <c r="B179" s="367"/>
      <c r="C179" s="368"/>
      <c r="D179" s="224"/>
      <c r="F179" s="224"/>
      <c r="H179" s="224"/>
      <c r="J179" s="224"/>
    </row>
    <row r="180" spans="2:10">
      <c r="B180" s="829"/>
      <c r="C180" s="829"/>
      <c r="D180" s="224"/>
      <c r="F180" s="224"/>
      <c r="H180" s="224"/>
      <c r="J180" s="224"/>
    </row>
    <row r="181" spans="2:10">
      <c r="B181" s="227" t="s">
        <v>66</v>
      </c>
      <c r="C181" s="223"/>
      <c r="D181" s="224"/>
      <c r="F181" s="224"/>
      <c r="H181" s="224"/>
      <c r="J181" s="224"/>
    </row>
    <row r="182" spans="2:10">
      <c r="C182" s="223"/>
      <c r="D182" s="224"/>
      <c r="F182" s="224"/>
      <c r="H182" s="224"/>
      <c r="J182" s="224"/>
    </row>
    <row r="183" spans="2:10" ht="14.25">
      <c r="B183" s="338" t="s">
        <v>206</v>
      </c>
      <c r="C183" s="339" t="s">
        <v>207</v>
      </c>
      <c r="D183" s="340">
        <f>D177*D178/1000000</f>
        <v>2119.8175031561541</v>
      </c>
      <c r="F183" s="340">
        <f>F177*F178/1000000</f>
        <v>1854.2512855130553</v>
      </c>
      <c r="H183" s="340">
        <f>H177*H178/1000000</f>
        <v>2906.6479458557483</v>
      </c>
      <c r="J183" s="340">
        <f>J177*J178/1000000</f>
        <v>1836.204843476369</v>
      </c>
    </row>
    <row r="184" spans="2:10">
      <c r="C184" s="224" t="s">
        <v>93</v>
      </c>
      <c r="D184" s="341">
        <v>0</v>
      </c>
      <c r="F184" s="341">
        <v>0</v>
      </c>
      <c r="H184" s="341">
        <v>0</v>
      </c>
      <c r="J184" s="341">
        <v>0</v>
      </c>
    </row>
    <row r="185" spans="2:10">
      <c r="C185" s="223"/>
    </row>
    <row r="186" spans="2:10" ht="14.25">
      <c r="B186" s="319" t="s">
        <v>208</v>
      </c>
      <c r="C186" s="223"/>
    </row>
    <row r="187" spans="2:10">
      <c r="C187" s="223"/>
    </row>
    <row r="188" spans="2:10">
      <c r="B188" s="369" t="s">
        <v>209</v>
      </c>
      <c r="C188" s="223"/>
    </row>
    <row r="189" spans="2:10">
      <c r="C189" s="223"/>
    </row>
    <row r="190" spans="2:10">
      <c r="B190" s="227" t="s">
        <v>56</v>
      </c>
      <c r="C190" s="223"/>
    </row>
    <row r="191" spans="2:10">
      <c r="C191" s="223"/>
      <c r="D191" s="228">
        <v>2020</v>
      </c>
      <c r="F191" s="228">
        <v>2019</v>
      </c>
      <c r="H191" s="228">
        <v>2018</v>
      </c>
      <c r="J191" s="228">
        <v>2017</v>
      </c>
    </row>
    <row r="192" spans="2:10" ht="15.75">
      <c r="B192" s="370" t="s">
        <v>210</v>
      </c>
      <c r="C192" s="320" t="s">
        <v>211</v>
      </c>
      <c r="D192" s="371">
        <f>Emissions!E250</f>
        <v>101890.77365824956</v>
      </c>
      <c r="F192" s="371">
        <f>Emissions!F250</f>
        <v>100507.4260002033</v>
      </c>
      <c r="H192" s="371">
        <f>Emissions!G250</f>
        <v>99640.897137342807</v>
      </c>
      <c r="J192" s="371">
        <f>Emissions!H250</f>
        <v>67461.343476874565</v>
      </c>
    </row>
    <row r="193" spans="2:10" ht="15.75">
      <c r="B193" s="372" t="s">
        <v>212</v>
      </c>
      <c r="C193" s="297" t="s">
        <v>213</v>
      </c>
      <c r="D193" s="371">
        <f>Emissions!E251</f>
        <v>145354.06934302067</v>
      </c>
      <c r="F193" s="371">
        <f>Emissions!F251</f>
        <v>163095.26877959431</v>
      </c>
      <c r="H193" s="371">
        <f>Emissions!G251</f>
        <v>185538.43943295605</v>
      </c>
      <c r="J193" s="371">
        <f>Emissions!H251</f>
        <v>140672.0559593901</v>
      </c>
    </row>
    <row r="194" spans="2:10" ht="15.75">
      <c r="B194" s="373" t="s">
        <v>214</v>
      </c>
      <c r="C194" s="297" t="s">
        <v>215</v>
      </c>
      <c r="D194" s="371">
        <v>0</v>
      </c>
      <c r="F194" s="371">
        <v>0</v>
      </c>
      <c r="H194" s="371">
        <v>0</v>
      </c>
      <c r="J194" s="371">
        <v>0</v>
      </c>
    </row>
    <row r="195" spans="2:10" ht="15.75">
      <c r="B195" s="372" t="s">
        <v>216</v>
      </c>
      <c r="C195" s="297" t="s">
        <v>217</v>
      </c>
      <c r="D195" s="371">
        <v>0</v>
      </c>
      <c r="F195" s="371">
        <v>0</v>
      </c>
      <c r="H195" s="371">
        <v>0</v>
      </c>
      <c r="J195" s="371">
        <v>0</v>
      </c>
    </row>
    <row r="196" spans="2:10" ht="15.75">
      <c r="B196" s="372" t="s">
        <v>218</v>
      </c>
      <c r="C196" s="297" t="s">
        <v>219</v>
      </c>
      <c r="D196" s="703">
        <v>0</v>
      </c>
      <c r="F196" s="371">
        <v>0</v>
      </c>
      <c r="H196" s="371">
        <v>0</v>
      </c>
      <c r="J196" s="371">
        <v>0</v>
      </c>
    </row>
    <row r="197" spans="2:10" ht="15.75">
      <c r="B197" s="374" t="s">
        <v>220</v>
      </c>
      <c r="C197" s="297" t="s">
        <v>221</v>
      </c>
      <c r="D197" s="704">
        <f>'2020 Data'!G66</f>
        <v>18.657978808158056</v>
      </c>
      <c r="F197" s="322">
        <f>'2019 Data'!G65</f>
        <v>18.055161666666663</v>
      </c>
      <c r="H197" s="322">
        <f>'2018 Data'!G61</f>
        <v>18.092085000000001</v>
      </c>
      <c r="J197" s="322">
        <f>'2017 Data '!G61</f>
        <v>18.610056666666665</v>
      </c>
    </row>
    <row r="198" spans="2:10" ht="15.75">
      <c r="B198" s="374" t="s">
        <v>222</v>
      </c>
      <c r="C198" s="297" t="s">
        <v>126</v>
      </c>
      <c r="D198" s="704">
        <f>'2020 Data'!G68</f>
        <v>18.455089627151047</v>
      </c>
      <c r="F198" s="322">
        <f>'2019 Data'!G67</f>
        <v>18.107411666666664</v>
      </c>
      <c r="H198" s="322">
        <f>'2018 Data'!G63</f>
        <v>18.129704999999998</v>
      </c>
      <c r="J198" s="322">
        <f>'2017 Data '!G63</f>
        <v>18.093826666666665</v>
      </c>
    </row>
    <row r="199" spans="2:10" ht="15.75">
      <c r="B199" s="374" t="s">
        <v>223</v>
      </c>
      <c r="C199" s="297" t="s">
        <v>128</v>
      </c>
      <c r="D199" s="704">
        <f>'2020 Data'!G70</f>
        <v>0</v>
      </c>
      <c r="F199" s="322">
        <v>0</v>
      </c>
      <c r="H199" s="322">
        <f>'2018 Data'!G65</f>
        <v>0</v>
      </c>
      <c r="J199" s="322">
        <v>0</v>
      </c>
    </row>
    <row r="200" spans="2:10" ht="28.5">
      <c r="B200" s="375" t="s">
        <v>224</v>
      </c>
      <c r="C200" s="290" t="s">
        <v>225</v>
      </c>
      <c r="D200" s="705">
        <v>3.0000000000000001E-5</v>
      </c>
      <c r="F200" s="705">
        <v>3.0000000000000001E-5</v>
      </c>
      <c r="H200" s="705">
        <v>3.0000000000000001E-5</v>
      </c>
      <c r="J200" s="705">
        <v>3.0000000000000001E-5</v>
      </c>
    </row>
    <row r="201" spans="2:10">
      <c r="B201" s="375" t="s">
        <v>226</v>
      </c>
      <c r="C201" s="297"/>
      <c r="D201" s="376">
        <v>1.37</v>
      </c>
      <c r="F201" s="376">
        <v>1.37</v>
      </c>
      <c r="H201" s="376">
        <v>1.37</v>
      </c>
      <c r="J201" s="376">
        <v>1.37</v>
      </c>
    </row>
    <row r="202" spans="2:10" ht="15.75">
      <c r="B202" s="377" t="s">
        <v>227</v>
      </c>
      <c r="C202" s="323" t="s">
        <v>228</v>
      </c>
      <c r="D202" s="378">
        <v>26</v>
      </c>
      <c r="F202" s="378">
        <v>26</v>
      </c>
      <c r="H202" s="378">
        <v>26</v>
      </c>
      <c r="J202" s="378">
        <v>26</v>
      </c>
    </row>
    <row r="203" spans="2:10">
      <c r="B203" s="379" t="s">
        <v>198</v>
      </c>
      <c r="C203" s="223"/>
      <c r="D203" s="224"/>
      <c r="F203" s="224"/>
      <c r="H203" s="224"/>
      <c r="J203" s="224"/>
    </row>
    <row r="204" spans="2:10" ht="14.25">
      <c r="B204" s="830" t="s">
        <v>229</v>
      </c>
      <c r="C204" s="830"/>
      <c r="D204" s="224"/>
      <c r="F204" s="224"/>
      <c r="H204" s="224"/>
      <c r="J204" s="224"/>
    </row>
    <row r="205" spans="2:10" ht="14.25">
      <c r="B205" s="380" t="s">
        <v>230</v>
      </c>
      <c r="C205" s="381"/>
      <c r="D205" s="224"/>
      <c r="F205" s="224"/>
      <c r="H205" s="224"/>
      <c r="J205" s="224"/>
    </row>
    <row r="206" spans="2:10">
      <c r="B206" s="382"/>
      <c r="C206" s="223"/>
      <c r="D206" s="224"/>
      <c r="F206" s="224"/>
      <c r="H206" s="224"/>
      <c r="J206" s="224"/>
    </row>
    <row r="207" spans="2:10">
      <c r="B207" s="227" t="s">
        <v>66</v>
      </c>
      <c r="C207" s="223"/>
      <c r="D207" s="224"/>
      <c r="F207" s="224"/>
      <c r="H207" s="224"/>
      <c r="J207" s="224"/>
    </row>
    <row r="208" spans="2:10">
      <c r="C208" s="223"/>
      <c r="D208" s="228">
        <v>2020</v>
      </c>
      <c r="F208" s="228">
        <v>2019</v>
      </c>
      <c r="H208" s="228">
        <v>2018</v>
      </c>
      <c r="J208" s="228">
        <v>2017</v>
      </c>
    </row>
    <row r="209" spans="2:10" ht="25.5">
      <c r="B209" s="240" t="s">
        <v>231</v>
      </c>
      <c r="C209" s="383" t="s">
        <v>232</v>
      </c>
      <c r="D209" s="384">
        <f>((D192*D197)+(D193*D198)+(D194*D197)+(D195*D198)+(D196*D199))*D200*D201*D202</f>
        <v>4898.0331145908731</v>
      </c>
      <c r="F209" s="384">
        <f>((F192*F197)+(F193*F198)+(F194*F197)+(F195*F198)+(F196*F199))*F200*F201*F202</f>
        <v>5094.98969226187</v>
      </c>
      <c r="H209" s="384">
        <f>((H192*H197)+(H193*H198)+(H194*H197)+(H195*H198)+(H196*H199))*H200*H201*H202</f>
        <v>5520.8885100594771</v>
      </c>
      <c r="J209" s="384">
        <f>((J192*J197)+(J193*J198)+(J194*J197)+(J195*J198)+(J196*J199))*J200*J201*J202</f>
        <v>4061.4870305358213</v>
      </c>
    </row>
    <row r="210" spans="2:10">
      <c r="C210" s="224" t="s">
        <v>93</v>
      </c>
      <c r="D210" s="385">
        <v>0</v>
      </c>
      <c r="F210" s="385">
        <v>0</v>
      </c>
      <c r="H210" s="385">
        <v>0</v>
      </c>
      <c r="J210" s="385">
        <v>0</v>
      </c>
    </row>
    <row r="211" spans="2:10">
      <c r="B211" s="238"/>
      <c r="C211" s="223"/>
    </row>
    <row r="212" spans="2:10">
      <c r="C212" s="223"/>
    </row>
    <row r="213" spans="2:10">
      <c r="C213" s="223"/>
    </row>
    <row r="214" spans="2:10">
      <c r="B214" s="319" t="s">
        <v>233</v>
      </c>
      <c r="C214" s="223"/>
    </row>
    <row r="215" spans="2:10">
      <c r="B215" s="222" t="s">
        <v>234</v>
      </c>
      <c r="C215" s="223"/>
    </row>
    <row r="216" spans="2:10">
      <c r="B216" s="346" t="s">
        <v>235</v>
      </c>
      <c r="C216" s="386"/>
      <c r="D216" s="228">
        <v>2020</v>
      </c>
      <c r="F216" s="228">
        <v>2019</v>
      </c>
      <c r="H216" s="228">
        <v>2018</v>
      </c>
      <c r="J216" s="228">
        <v>2017</v>
      </c>
    </row>
    <row r="217" spans="2:10" ht="15.75">
      <c r="B217" s="355" t="s">
        <v>236</v>
      </c>
      <c r="C217" s="320" t="s">
        <v>237</v>
      </c>
      <c r="D217" s="387">
        <f>D156</f>
        <v>273.60956457280986</v>
      </c>
      <c r="F217" s="387">
        <f>F156</f>
        <v>332.44138796619461</v>
      </c>
      <c r="H217" s="387">
        <f>H156</f>
        <v>296.84194810133613</v>
      </c>
      <c r="J217" s="387">
        <f>J156</f>
        <v>422.98975801797081</v>
      </c>
    </row>
    <row r="218" spans="2:10" ht="15.75">
      <c r="B218" s="343" t="s">
        <v>238</v>
      </c>
      <c r="C218" s="294" t="s">
        <v>239</v>
      </c>
      <c r="D218" s="388">
        <f>D167</f>
        <v>220.01941908833376</v>
      </c>
      <c r="F218" s="388">
        <f>F167</f>
        <v>256.56850801923491</v>
      </c>
      <c r="H218" s="388">
        <f>H167</f>
        <v>290.28445107947329</v>
      </c>
      <c r="J218" s="388">
        <f>J167</f>
        <v>290.18397613199602</v>
      </c>
    </row>
    <row r="219" spans="2:10" ht="15.75">
      <c r="B219" s="343" t="s">
        <v>240</v>
      </c>
      <c r="C219" s="294" t="s">
        <v>241</v>
      </c>
      <c r="D219" s="388">
        <v>0</v>
      </c>
      <c r="F219" s="388">
        <v>0</v>
      </c>
      <c r="H219" s="388">
        <v>0</v>
      </c>
      <c r="J219" s="388">
        <v>0</v>
      </c>
    </row>
    <row r="220" spans="2:10" ht="15.75">
      <c r="B220" s="343" t="s">
        <v>242</v>
      </c>
      <c r="C220" s="294" t="s">
        <v>243</v>
      </c>
      <c r="D220" s="388">
        <f>D183</f>
        <v>2119.8175031561541</v>
      </c>
      <c r="F220" s="388">
        <f>F183</f>
        <v>1854.2512855130553</v>
      </c>
      <c r="H220" s="388">
        <f>H183</f>
        <v>2906.6479458557483</v>
      </c>
      <c r="J220" s="388">
        <f>J183</f>
        <v>1836.204843476369</v>
      </c>
    </row>
    <row r="221" spans="2:10" ht="15.75">
      <c r="B221" s="343" t="s">
        <v>209</v>
      </c>
      <c r="C221" s="294" t="s">
        <v>244</v>
      </c>
      <c r="D221" s="388">
        <f>D209</f>
        <v>4898.0331145908731</v>
      </c>
      <c r="F221" s="388">
        <f>F209</f>
        <v>5094.98969226187</v>
      </c>
      <c r="H221" s="388">
        <f>H209</f>
        <v>5520.8885100594771</v>
      </c>
      <c r="J221" s="388">
        <f>J209</f>
        <v>4061.4870305358213</v>
      </c>
    </row>
    <row r="222" spans="2:10" ht="15.75">
      <c r="B222" s="343" t="s">
        <v>245</v>
      </c>
      <c r="C222" s="294" t="s">
        <v>246</v>
      </c>
      <c r="D222" s="388">
        <v>0</v>
      </c>
      <c r="F222" s="388">
        <v>0</v>
      </c>
      <c r="H222" s="388">
        <v>0</v>
      </c>
      <c r="J222" s="388">
        <v>0</v>
      </c>
    </row>
    <row r="223" spans="2:10" ht="15.75">
      <c r="B223" s="344" t="s">
        <v>247</v>
      </c>
      <c r="C223" s="389" t="s">
        <v>248</v>
      </c>
      <c r="D223" s="390">
        <v>0</v>
      </c>
      <c r="F223" s="390">
        <v>0</v>
      </c>
      <c r="H223" s="390">
        <v>0</v>
      </c>
      <c r="J223" s="390">
        <v>0</v>
      </c>
    </row>
    <row r="224" spans="2:10">
      <c r="B224" s="354" t="s">
        <v>190</v>
      </c>
      <c r="C224" s="326"/>
      <c r="D224" s="384">
        <f>SUM(D217:D223)</f>
        <v>7511.4796014081712</v>
      </c>
      <c r="F224" s="384">
        <f>SUM(F217:F223)</f>
        <v>7538.2508737603548</v>
      </c>
      <c r="H224" s="384">
        <f>SUM(H217:H223)</f>
        <v>9014.662855096034</v>
      </c>
      <c r="J224" s="384">
        <f>SUM(J217:J223)</f>
        <v>6610.8656081621575</v>
      </c>
    </row>
    <row r="225" spans="4:10">
      <c r="D225" s="391"/>
      <c r="F225" s="391"/>
      <c r="H225" s="391"/>
      <c r="J225" s="391"/>
    </row>
  </sheetData>
  <mergeCells count="6">
    <mergeCell ref="K89:K90"/>
    <mergeCell ref="B180:C180"/>
    <mergeCell ref="B204:C204"/>
    <mergeCell ref="E89:E90"/>
    <mergeCell ref="G89:G90"/>
    <mergeCell ref="I89:I9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EF618-5EC4-4D67-8562-95314135C527}">
  <dimension ref="A2:IG280"/>
  <sheetViews>
    <sheetView tabSelected="1" topLeftCell="A125" zoomScale="90" zoomScaleNormal="90" workbookViewId="0">
      <selection activeCell="E142" sqref="E142"/>
    </sheetView>
  </sheetViews>
  <sheetFormatPr defaultColWidth="11.42578125" defaultRowHeight="12.75"/>
  <cols>
    <col min="1" max="1" width="1.5703125" style="187" customWidth="1"/>
    <col min="2" max="2" width="89.5703125" style="187" customWidth="1"/>
    <col min="3" max="3" width="37.140625" style="434" customWidth="1"/>
    <col min="4" max="4" width="23.5703125" style="187" customWidth="1"/>
    <col min="5" max="8" width="14.5703125" style="429" bestFit="1" customWidth="1"/>
    <col min="9" max="9" width="22.42578125" style="187" customWidth="1"/>
    <col min="10" max="16384" width="11.42578125" style="187"/>
  </cols>
  <sheetData>
    <row r="2" spans="2:8" ht="23.25">
      <c r="B2" s="1" t="s">
        <v>249</v>
      </c>
      <c r="C2" s="428"/>
    </row>
    <row r="5" spans="2:8" ht="18.75">
      <c r="B5" s="430"/>
      <c r="C5" s="431"/>
      <c r="D5" s="432"/>
    </row>
    <row r="8" spans="2:8">
      <c r="B8" s="433" t="s">
        <v>1</v>
      </c>
      <c r="C8" s="259" t="s">
        <v>2</v>
      </c>
    </row>
    <row r="9" spans="2:8">
      <c r="B9" s="433" t="s">
        <v>3</v>
      </c>
      <c r="C9" s="259" t="s">
        <v>4</v>
      </c>
    </row>
    <row r="10" spans="2:8">
      <c r="D10" s="187" t="s">
        <v>250</v>
      </c>
    </row>
    <row r="12" spans="2:8" ht="14.25">
      <c r="B12" s="435" t="s">
        <v>251</v>
      </c>
      <c r="C12" s="428"/>
      <c r="E12" s="436"/>
      <c r="F12" s="436"/>
      <c r="G12" s="436"/>
      <c r="H12" s="436"/>
    </row>
    <row r="13" spans="2:8">
      <c r="E13" s="437">
        <v>2020</v>
      </c>
      <c r="F13" s="437">
        <v>2019</v>
      </c>
      <c r="G13" s="437">
        <v>2018</v>
      </c>
      <c r="H13" s="437">
        <v>2017</v>
      </c>
    </row>
    <row r="14" spans="2:8">
      <c r="B14" s="270" t="s">
        <v>252</v>
      </c>
      <c r="C14" s="438"/>
      <c r="D14" s="275" t="s">
        <v>253</v>
      </c>
      <c r="E14" s="439">
        <v>365</v>
      </c>
      <c r="F14" s="439">
        <v>365</v>
      </c>
      <c r="G14" s="439">
        <v>365</v>
      </c>
      <c r="H14" s="439">
        <v>365</v>
      </c>
    </row>
    <row r="15" spans="2:8">
      <c r="B15" s="271" t="s">
        <v>254</v>
      </c>
      <c r="C15" s="440"/>
      <c r="D15" s="277" t="s">
        <v>253</v>
      </c>
      <c r="E15" s="441">
        <v>15.520833333333334</v>
      </c>
      <c r="F15" s="441">
        <v>11</v>
      </c>
      <c r="G15" s="441">
        <v>10</v>
      </c>
      <c r="H15" s="441">
        <v>9</v>
      </c>
    </row>
    <row r="16" spans="2:8">
      <c r="B16" s="272" t="s">
        <v>255</v>
      </c>
      <c r="C16" s="442"/>
      <c r="D16" s="279" t="s">
        <v>256</v>
      </c>
      <c r="E16" s="443">
        <f>(E14-E15)*24</f>
        <v>8387.5</v>
      </c>
      <c r="F16" s="443">
        <f>(F14-F15)*24</f>
        <v>8496</v>
      </c>
      <c r="G16" s="443">
        <f>(G14-G15)*24</f>
        <v>8520</v>
      </c>
      <c r="H16" s="443">
        <f>(H14-H15)*24</f>
        <v>8544</v>
      </c>
    </row>
    <row r="18" spans="1:8" ht="14.25">
      <c r="B18" s="270" t="s">
        <v>257</v>
      </c>
      <c r="C18" s="275" t="s">
        <v>258</v>
      </c>
      <c r="D18" s="444" t="s">
        <v>259</v>
      </c>
      <c r="E18" s="648">
        <f>EF!C8</f>
        <v>0.79239999999999999</v>
      </c>
      <c r="F18" s="648">
        <f>EF!C7</f>
        <v>0.75900000000000001</v>
      </c>
      <c r="G18" s="648">
        <f>EF!C6</f>
        <v>0.84699999999999998</v>
      </c>
      <c r="H18" s="648">
        <f>EF!C5</f>
        <v>0.71686000000000005</v>
      </c>
    </row>
    <row r="19" spans="1:8" ht="14.25">
      <c r="B19" s="271" t="s">
        <v>260</v>
      </c>
      <c r="C19" s="277" t="s">
        <v>261</v>
      </c>
      <c r="D19" s="445" t="s">
        <v>259</v>
      </c>
      <c r="E19" s="649">
        <f>EF!D8</f>
        <v>0.38074000000000002</v>
      </c>
      <c r="F19" s="649">
        <f>EF!D7</f>
        <v>0.28911999999999999</v>
      </c>
      <c r="G19" s="649">
        <f>EF!D6</f>
        <v>0.23413</v>
      </c>
      <c r="H19" s="649">
        <f>EF!D5</f>
        <v>0.57887999999999995</v>
      </c>
    </row>
    <row r="20" spans="1:8" ht="14.25">
      <c r="B20" s="272" t="s">
        <v>262</v>
      </c>
      <c r="C20" s="279" t="s">
        <v>263</v>
      </c>
      <c r="D20" s="447" t="s">
        <v>259</v>
      </c>
      <c r="E20" s="670">
        <f>+(E18*$D$21+E19*$D$22)</f>
        <v>0.58657000000000004</v>
      </c>
      <c r="F20" s="670">
        <f t="shared" ref="F20:H20" si="0">+(F18*$D$21+F19*$D$22)</f>
        <v>0.52405999999999997</v>
      </c>
      <c r="G20" s="670">
        <f t="shared" si="0"/>
        <v>0.54056499999999996</v>
      </c>
      <c r="H20" s="670">
        <f t="shared" si="0"/>
        <v>0.64786999999999995</v>
      </c>
    </row>
    <row r="21" spans="1:8" ht="15.75">
      <c r="B21" s="232" t="s">
        <v>75</v>
      </c>
      <c r="C21" s="627" t="s">
        <v>76</v>
      </c>
      <c r="D21" s="249">
        <v>0.5</v>
      </c>
      <c r="E21" s="651"/>
      <c r="F21" s="651"/>
      <c r="G21" s="651"/>
      <c r="H21" s="651"/>
    </row>
    <row r="22" spans="1:8" ht="15.75">
      <c r="B22" s="235" t="s">
        <v>77</v>
      </c>
      <c r="C22" s="250" t="s">
        <v>78</v>
      </c>
      <c r="D22" s="251">
        <v>0.5</v>
      </c>
      <c r="E22" s="651"/>
      <c r="F22" s="651"/>
      <c r="G22" s="651"/>
      <c r="H22" s="651"/>
    </row>
    <row r="23" spans="1:8">
      <c r="C23" s="429"/>
      <c r="D23" s="650"/>
      <c r="E23" s="651"/>
      <c r="F23" s="651"/>
      <c r="G23" s="651"/>
      <c r="H23" s="651"/>
    </row>
    <row r="24" spans="1:8">
      <c r="C24" s="429"/>
      <c r="D24" s="650"/>
      <c r="E24" s="651"/>
      <c r="F24" s="651"/>
      <c r="G24" s="651"/>
      <c r="H24" s="651"/>
    </row>
    <row r="25" spans="1:8">
      <c r="B25" s="8" t="s">
        <v>264</v>
      </c>
      <c r="C25" s="428"/>
    </row>
    <row r="28" spans="1:8">
      <c r="B28" s="448" t="s">
        <v>265</v>
      </c>
    </row>
    <row r="29" spans="1:8">
      <c r="E29" s="187"/>
      <c r="F29" s="187"/>
      <c r="G29" s="187"/>
      <c r="H29" s="187"/>
    </row>
    <row r="30" spans="1:8">
      <c r="B30" s="449" t="s">
        <v>266</v>
      </c>
      <c r="C30" s="450"/>
      <c r="D30" s="451"/>
      <c r="E30" s="437">
        <v>2020</v>
      </c>
      <c r="F30" s="437">
        <v>2019</v>
      </c>
      <c r="G30" s="437">
        <v>2018</v>
      </c>
      <c r="H30" s="437">
        <v>2017</v>
      </c>
    </row>
    <row r="31" spans="1:8">
      <c r="A31" s="452"/>
      <c r="B31" s="449" t="s">
        <v>267</v>
      </c>
      <c r="C31" s="450"/>
      <c r="D31" s="451" t="s">
        <v>268</v>
      </c>
      <c r="E31" s="453">
        <f>AVERAGE('2020 Data'!E66:F66)</f>
        <v>18.657978808158056</v>
      </c>
      <c r="F31" s="453">
        <f>AVERAGE('2019 Data'!E65:F65)</f>
        <v>18.055161666666663</v>
      </c>
      <c r="G31" s="453">
        <f>AVERAGE('2018 Data'!E61:F61)</f>
        <v>18.092085000000001</v>
      </c>
      <c r="H31" s="453">
        <f>AVERAGE('2017 Data '!E61:F61)</f>
        <v>18.610056666666665</v>
      </c>
    </row>
    <row r="32" spans="1:8">
      <c r="A32" s="452"/>
      <c r="B32" s="454" t="s">
        <v>269</v>
      </c>
      <c r="C32" s="455"/>
      <c r="D32" s="456" t="s">
        <v>268</v>
      </c>
      <c r="E32" s="457">
        <f>AVERAGE('2020 Data'!E68:F68)</f>
        <v>18.455089627151047</v>
      </c>
      <c r="F32" s="457">
        <f>AVERAGE('2019 Data'!E67:F67)</f>
        <v>18.107411666666664</v>
      </c>
      <c r="G32" s="457">
        <f>AVERAGE('2018 Data'!E63:F63)</f>
        <v>18.129704999999998</v>
      </c>
      <c r="H32" s="457">
        <f>AVERAGE('2017 Data '!E63:F63)</f>
        <v>18.093826666666665</v>
      </c>
    </row>
    <row r="33" spans="1:8" ht="14.25">
      <c r="A33" s="452"/>
      <c r="B33" s="458" t="s">
        <v>270</v>
      </c>
      <c r="C33" s="459"/>
      <c r="D33" s="460" t="s">
        <v>271</v>
      </c>
      <c r="E33" s="461">
        <v>26</v>
      </c>
      <c r="F33" s="461">
        <v>26</v>
      </c>
      <c r="G33" s="461">
        <v>26</v>
      </c>
      <c r="H33" s="461">
        <v>26</v>
      </c>
    </row>
    <row r="34" spans="1:8">
      <c r="A34" s="452"/>
      <c r="B34" s="463" t="s">
        <v>272</v>
      </c>
      <c r="C34" s="464"/>
      <c r="D34" s="465"/>
      <c r="E34" s="466"/>
      <c r="F34" s="466"/>
      <c r="G34" s="466"/>
      <c r="H34" s="466"/>
    </row>
    <row r="35" spans="1:8" ht="14.25">
      <c r="A35" s="467"/>
      <c r="B35" s="468" t="s">
        <v>273</v>
      </c>
      <c r="C35" s="464" t="s">
        <v>274</v>
      </c>
      <c r="D35" s="469" t="s">
        <v>275</v>
      </c>
      <c r="E35" s="470">
        <v>30</v>
      </c>
      <c r="F35" s="470">
        <v>30</v>
      </c>
      <c r="G35" s="470">
        <v>30</v>
      </c>
      <c r="H35" s="470">
        <v>30</v>
      </c>
    </row>
    <row r="36" spans="1:8">
      <c r="A36" s="471"/>
      <c r="B36" s="472" t="s">
        <v>276</v>
      </c>
      <c r="C36" s="473"/>
      <c r="D36" s="456" t="s">
        <v>135</v>
      </c>
      <c r="E36" s="474">
        <v>1.37</v>
      </c>
      <c r="F36" s="474">
        <v>1.37</v>
      </c>
      <c r="G36" s="474">
        <v>1.37</v>
      </c>
      <c r="H36" s="474">
        <v>1.37</v>
      </c>
    </row>
    <row r="37" spans="1:8" ht="14.25">
      <c r="A37" s="471"/>
      <c r="B37" s="475" t="s">
        <v>277</v>
      </c>
      <c r="C37" s="476"/>
      <c r="D37" s="469" t="s">
        <v>275</v>
      </c>
      <c r="E37" s="477">
        <f>E35*E36</f>
        <v>41.1</v>
      </c>
      <c r="F37" s="477">
        <f>F35*F36</f>
        <v>41.1</v>
      </c>
      <c r="G37" s="477">
        <f>G35*G36</f>
        <v>41.1</v>
      </c>
      <c r="H37" s="477">
        <f>H35*H36</f>
        <v>41.1</v>
      </c>
    </row>
    <row r="38" spans="1:8" ht="14.25">
      <c r="B38" s="478" t="s">
        <v>278</v>
      </c>
      <c r="C38" s="479"/>
      <c r="D38" s="480" t="s">
        <v>279</v>
      </c>
      <c r="E38" s="481">
        <v>19.221676953352365</v>
      </c>
      <c r="F38" s="481">
        <f>E38</f>
        <v>19.221676953352365</v>
      </c>
      <c r="G38" s="481">
        <f t="shared" ref="G38:H38" si="1">F38</f>
        <v>19.221676953352365</v>
      </c>
      <c r="H38" s="481">
        <f t="shared" si="1"/>
        <v>19.221676953352365</v>
      </c>
    </row>
    <row r="39" spans="1:8">
      <c r="A39" s="482"/>
      <c r="B39" s="483"/>
      <c r="C39" s="484"/>
      <c r="D39" s="485"/>
      <c r="E39" s="486"/>
      <c r="F39" s="486"/>
      <c r="G39" s="486"/>
      <c r="H39" s="486"/>
    </row>
    <row r="40" spans="1:8">
      <c r="A40" s="482"/>
      <c r="B40" s="487"/>
      <c r="C40" s="484"/>
      <c r="D40" s="456"/>
      <c r="E40" s="487"/>
      <c r="F40" s="487"/>
      <c r="G40" s="487"/>
      <c r="H40" s="487"/>
    </row>
    <row r="41" spans="1:8">
      <c r="A41" s="482"/>
      <c r="B41" s="488" t="s">
        <v>280</v>
      </c>
      <c r="C41" s="479"/>
      <c r="D41" s="489"/>
      <c r="E41" s="437">
        <v>2020</v>
      </c>
      <c r="F41" s="437">
        <v>2019</v>
      </c>
      <c r="G41" s="437">
        <v>2018</v>
      </c>
      <c r="H41" s="437">
        <v>2017</v>
      </c>
    </row>
    <row r="42" spans="1:8">
      <c r="A42" s="490"/>
      <c r="B42" s="491" t="s">
        <v>281</v>
      </c>
      <c r="C42" s="476"/>
      <c r="D42" s="456"/>
      <c r="E42" s="492"/>
      <c r="F42" s="492"/>
      <c r="G42" s="492"/>
      <c r="H42" s="492"/>
    </row>
    <row r="43" spans="1:8" ht="14.25">
      <c r="B43" s="454" t="s">
        <v>282</v>
      </c>
      <c r="C43" s="476"/>
      <c r="D43" s="456" t="s">
        <v>275</v>
      </c>
      <c r="E43" s="446">
        <v>874.2</v>
      </c>
      <c r="F43" s="446">
        <v>874.2</v>
      </c>
      <c r="G43" s="446">
        <v>874.2</v>
      </c>
      <c r="H43" s="446">
        <v>874.2</v>
      </c>
    </row>
    <row r="44" spans="1:8">
      <c r="A44" s="471"/>
      <c r="B44" s="454" t="s">
        <v>283</v>
      </c>
      <c r="C44" s="476"/>
      <c r="D44" s="456" t="s">
        <v>284</v>
      </c>
      <c r="E44" s="474">
        <v>0.94</v>
      </c>
      <c r="F44" s="474">
        <v>0.94</v>
      </c>
      <c r="G44" s="474">
        <v>0.94</v>
      </c>
      <c r="H44" s="474">
        <v>0.94</v>
      </c>
    </row>
    <row r="45" spans="1:8" ht="14.25">
      <c r="A45" s="494"/>
      <c r="B45" s="454" t="s">
        <v>285</v>
      </c>
      <c r="C45" s="495"/>
      <c r="D45" s="460" t="s">
        <v>275</v>
      </c>
      <c r="E45" s="496">
        <f>E43*E44</f>
        <v>821.74800000000005</v>
      </c>
      <c r="F45" s="496">
        <f>F43*F44</f>
        <v>821.74800000000005</v>
      </c>
      <c r="G45" s="496">
        <f>G43*G44</f>
        <v>821.74800000000005</v>
      </c>
      <c r="H45" s="496">
        <f>H43*H44</f>
        <v>821.74800000000005</v>
      </c>
    </row>
    <row r="46" spans="1:8" ht="14.25">
      <c r="A46" s="497"/>
      <c r="B46" s="463" t="s">
        <v>286</v>
      </c>
      <c r="C46" s="464" t="s">
        <v>287</v>
      </c>
      <c r="D46" s="498" t="s">
        <v>279</v>
      </c>
      <c r="E46" s="499">
        <f>E31*E33*E45/1000</f>
        <v>398.63607601080292</v>
      </c>
      <c r="F46" s="499">
        <f>F31*F33*F45/1000</f>
        <v>385.75661772075995</v>
      </c>
      <c r="G46" s="499">
        <f>G31*G33*G45/1000</f>
        <v>386.54550127908004</v>
      </c>
      <c r="H46" s="499">
        <f>H31*H33*H45/1000</f>
        <v>397.61219798871997</v>
      </c>
    </row>
    <row r="47" spans="1:8" ht="14.25">
      <c r="A47" s="497"/>
      <c r="B47" s="463" t="s">
        <v>288</v>
      </c>
      <c r="C47" s="464" t="s">
        <v>289</v>
      </c>
      <c r="D47" s="498" t="s">
        <v>279</v>
      </c>
      <c r="E47" s="499">
        <f>E32*E33*E45/1000</f>
        <v>394.30125776423506</v>
      </c>
      <c r="F47" s="499">
        <f>F32*F33*F45/1000</f>
        <v>386.87296237876001</v>
      </c>
      <c r="G47" s="499">
        <f>G32*G33*G45/1000</f>
        <v>387.34926943283995</v>
      </c>
      <c r="H47" s="499">
        <f>H32*H33*H45/1000</f>
        <v>386.58271276767999</v>
      </c>
    </row>
    <row r="48" spans="1:8">
      <c r="A48" s="500"/>
      <c r="B48" s="501"/>
      <c r="C48" s="502"/>
      <c r="D48" s="489"/>
      <c r="E48" s="503"/>
      <c r="F48" s="503"/>
      <c r="G48" s="503"/>
      <c r="H48" s="503"/>
    </row>
    <row r="49" spans="1:8">
      <c r="A49" s="500"/>
      <c r="B49" s="504" t="s">
        <v>290</v>
      </c>
      <c r="C49" s="476"/>
      <c r="D49" s="469"/>
      <c r="E49" s="505"/>
      <c r="F49" s="505"/>
      <c r="G49" s="505"/>
      <c r="H49" s="505"/>
    </row>
    <row r="50" spans="1:8">
      <c r="A50" s="500"/>
      <c r="B50" s="491"/>
      <c r="C50" s="476"/>
      <c r="D50" s="469"/>
      <c r="E50" s="492"/>
      <c r="F50" s="492"/>
      <c r="G50" s="492"/>
      <c r="H50" s="492"/>
    </row>
    <row r="51" spans="1:8">
      <c r="A51" s="500"/>
      <c r="B51" s="454" t="s">
        <v>291</v>
      </c>
      <c r="C51" s="476"/>
      <c r="D51" s="456" t="s">
        <v>268</v>
      </c>
      <c r="E51" s="492" t="s">
        <v>250</v>
      </c>
      <c r="F51" s="492" t="s">
        <v>250</v>
      </c>
      <c r="G51" s="492" t="s">
        <v>250</v>
      </c>
      <c r="H51" s="492" t="s">
        <v>250</v>
      </c>
    </row>
    <row r="52" spans="1:8" ht="14.25">
      <c r="A52" s="500"/>
      <c r="B52" s="454" t="s">
        <v>270</v>
      </c>
      <c r="C52" s="476"/>
      <c r="D52" s="506" t="s">
        <v>271</v>
      </c>
      <c r="E52" s="492">
        <v>25</v>
      </c>
      <c r="F52" s="492">
        <v>25</v>
      </c>
      <c r="G52" s="492">
        <v>25</v>
      </c>
      <c r="H52" s="492">
        <v>25</v>
      </c>
    </row>
    <row r="53" spans="1:8">
      <c r="A53" s="500"/>
      <c r="B53" s="454"/>
      <c r="C53" s="476"/>
      <c r="D53" s="469"/>
      <c r="E53" s="492"/>
      <c r="F53" s="492"/>
      <c r="G53" s="492"/>
      <c r="H53" s="492"/>
    </row>
    <row r="54" spans="1:8">
      <c r="B54" s="491" t="s">
        <v>292</v>
      </c>
      <c r="C54" s="507"/>
      <c r="D54" s="469"/>
      <c r="E54" s="492"/>
      <c r="F54" s="492"/>
      <c r="G54" s="492"/>
      <c r="H54" s="492"/>
    </row>
    <row r="55" spans="1:8" ht="14.25">
      <c r="B55" s="454" t="s">
        <v>293</v>
      </c>
      <c r="C55" s="476"/>
      <c r="D55" s="469" t="s">
        <v>275</v>
      </c>
      <c r="E55" s="474">
        <v>101.46</v>
      </c>
      <c r="F55" s="474">
        <v>101.46</v>
      </c>
      <c r="G55" s="474">
        <v>101.46</v>
      </c>
      <c r="H55" s="474">
        <v>101.46</v>
      </c>
    </row>
    <row r="56" spans="1:8">
      <c r="B56" s="454" t="s">
        <v>294</v>
      </c>
      <c r="C56" s="476"/>
      <c r="D56" s="469" t="s">
        <v>284</v>
      </c>
      <c r="E56" s="474">
        <v>0.89</v>
      </c>
      <c r="F56" s="474">
        <v>0.89</v>
      </c>
      <c r="G56" s="474">
        <v>0.89</v>
      </c>
      <c r="H56" s="474">
        <v>0.89</v>
      </c>
    </row>
    <row r="57" spans="1:8" ht="14.25">
      <c r="B57" s="454" t="s">
        <v>295</v>
      </c>
      <c r="C57" s="495"/>
      <c r="D57" s="508" t="s">
        <v>275</v>
      </c>
      <c r="E57" s="492">
        <f>E55*E56</f>
        <v>90.299399999999991</v>
      </c>
      <c r="F57" s="492">
        <f>F55*F56</f>
        <v>90.299399999999991</v>
      </c>
      <c r="G57" s="492">
        <f>G55*G56</f>
        <v>90.299399999999991</v>
      </c>
      <c r="H57" s="492">
        <f>H55*H56</f>
        <v>90.299399999999991</v>
      </c>
    </row>
    <row r="58" spans="1:8" ht="14.25">
      <c r="B58" s="478" t="s">
        <v>296</v>
      </c>
      <c r="C58" s="479" t="s">
        <v>297</v>
      </c>
      <c r="D58" s="509" t="s">
        <v>279</v>
      </c>
      <c r="E58" s="499">
        <v>0</v>
      </c>
      <c r="F58" s="499">
        <v>0</v>
      </c>
      <c r="G58" s="499">
        <v>0</v>
      </c>
      <c r="H58" s="499">
        <v>0</v>
      </c>
    </row>
    <row r="59" spans="1:8">
      <c r="B59" s="510" t="s">
        <v>298</v>
      </c>
      <c r="C59" s="484"/>
      <c r="D59" s="456"/>
      <c r="E59" s="487"/>
      <c r="F59" s="487"/>
      <c r="G59" s="487"/>
      <c r="H59" s="487"/>
    </row>
    <row r="60" spans="1:8">
      <c r="B60" s="511" t="s">
        <v>299</v>
      </c>
      <c r="C60" s="484"/>
      <c r="D60" s="456"/>
      <c r="E60" s="487"/>
      <c r="F60" s="487"/>
      <c r="G60" s="487"/>
      <c r="H60" s="487"/>
    </row>
    <row r="61" spans="1:8">
      <c r="B61" s="511" t="s">
        <v>300</v>
      </c>
      <c r="C61" s="484"/>
      <c r="D61" s="456"/>
      <c r="E61" s="487"/>
      <c r="F61" s="487"/>
      <c r="G61" s="487"/>
      <c r="H61" s="487"/>
    </row>
    <row r="62" spans="1:8">
      <c r="B62" s="511" t="s">
        <v>301</v>
      </c>
      <c r="C62" s="484"/>
      <c r="D62" s="456"/>
      <c r="E62" s="487"/>
      <c r="F62" s="487"/>
      <c r="G62" s="487"/>
      <c r="H62" s="487"/>
    </row>
    <row r="63" spans="1:8">
      <c r="B63" s="511" t="s">
        <v>302</v>
      </c>
    </row>
    <row r="64" spans="1:8">
      <c r="B64" s="511"/>
    </row>
    <row r="65" spans="2:8">
      <c r="B65" s="511"/>
    </row>
    <row r="66" spans="2:8">
      <c r="B66" s="8" t="s">
        <v>303</v>
      </c>
      <c r="C66" s="428"/>
    </row>
    <row r="68" spans="2:8">
      <c r="B68" s="512" t="s">
        <v>27</v>
      </c>
      <c r="E68" s="437">
        <v>2020</v>
      </c>
      <c r="F68" s="437">
        <v>2019</v>
      </c>
      <c r="G68" s="437">
        <v>2018</v>
      </c>
      <c r="H68" s="437">
        <v>2017</v>
      </c>
    </row>
    <row r="69" spans="2:8" ht="14.25">
      <c r="B69" s="513" t="s">
        <v>304</v>
      </c>
      <c r="C69" s="514" t="s">
        <v>305</v>
      </c>
      <c r="D69" s="515" t="s">
        <v>306</v>
      </c>
      <c r="E69" s="516">
        <v>43.3</v>
      </c>
      <c r="F69" s="516">
        <f>E69</f>
        <v>43.3</v>
      </c>
      <c r="G69" s="516">
        <f t="shared" ref="G69:H69" si="2">F69</f>
        <v>43.3</v>
      </c>
      <c r="H69" s="516">
        <f t="shared" si="2"/>
        <v>43.3</v>
      </c>
    </row>
    <row r="70" spans="2:8">
      <c r="B70" s="517" t="s">
        <v>307</v>
      </c>
      <c r="C70" s="271"/>
      <c r="D70" s="462" t="s">
        <v>308</v>
      </c>
      <c r="E70" s="446">
        <v>20.399999999999999</v>
      </c>
      <c r="F70" s="446">
        <v>20.399999999999999</v>
      </c>
      <c r="G70" s="446">
        <v>20.399999999999999</v>
      </c>
      <c r="H70" s="446">
        <v>20.399999999999999</v>
      </c>
    </row>
    <row r="71" spans="2:8">
      <c r="B71" s="517" t="s">
        <v>309</v>
      </c>
      <c r="C71" s="271"/>
      <c r="D71" s="462" t="s">
        <v>284</v>
      </c>
      <c r="E71" s="518">
        <v>1</v>
      </c>
      <c r="F71" s="518">
        <v>1</v>
      </c>
      <c r="G71" s="518">
        <v>1</v>
      </c>
      <c r="H71" s="518">
        <v>1</v>
      </c>
    </row>
    <row r="72" spans="2:8" ht="15.75">
      <c r="B72" s="517" t="s">
        <v>310</v>
      </c>
      <c r="C72" s="271"/>
      <c r="D72" s="462" t="s">
        <v>311</v>
      </c>
      <c r="E72" s="446">
        <f>44/12</f>
        <v>3.6666666666666665</v>
      </c>
      <c r="F72" s="446">
        <f>44/12</f>
        <v>3.6666666666666665</v>
      </c>
      <c r="G72" s="446">
        <f>44/12</f>
        <v>3.6666666666666665</v>
      </c>
      <c r="H72" s="446">
        <f>44/12</f>
        <v>3.6666666666666665</v>
      </c>
    </row>
    <row r="73" spans="2:8" ht="14.25">
      <c r="B73" s="519" t="s">
        <v>312</v>
      </c>
      <c r="C73" s="520" t="s">
        <v>313</v>
      </c>
      <c r="D73" s="521" t="s">
        <v>314</v>
      </c>
      <c r="E73" s="522">
        <f>E70*E71*E72</f>
        <v>74.8</v>
      </c>
      <c r="F73" s="522">
        <f>F70*F71*F72</f>
        <v>74.8</v>
      </c>
      <c r="G73" s="522">
        <f>G70*G71*G72</f>
        <v>74.8</v>
      </c>
      <c r="H73" s="522">
        <f>H70*H71*H72</f>
        <v>74.8</v>
      </c>
    </row>
    <row r="74" spans="2:8">
      <c r="B74" s="523"/>
      <c r="C74" s="524"/>
      <c r="D74" s="521"/>
      <c r="E74" s="525"/>
      <c r="F74" s="525"/>
      <c r="G74" s="525"/>
      <c r="H74" s="525"/>
    </row>
    <row r="75" spans="2:8">
      <c r="B75" s="523" t="s">
        <v>315</v>
      </c>
      <c r="C75" s="526"/>
      <c r="D75" s="521" t="s">
        <v>316</v>
      </c>
      <c r="E75" s="516">
        <v>0.84</v>
      </c>
      <c r="F75" s="516">
        <f>E75</f>
        <v>0.84</v>
      </c>
      <c r="G75" s="516">
        <f t="shared" ref="G75:H75" si="3">F75</f>
        <v>0.84</v>
      </c>
      <c r="H75" s="516">
        <f t="shared" si="3"/>
        <v>0.84</v>
      </c>
    </row>
    <row r="76" spans="2:8" ht="14.25">
      <c r="B76" s="527" t="s">
        <v>317</v>
      </c>
      <c r="C76" s="528"/>
      <c r="D76" s="529" t="s">
        <v>318</v>
      </c>
      <c r="E76" s="530">
        <f>E69*E73/1000</f>
        <v>3.2388399999999997</v>
      </c>
      <c r="F76" s="530">
        <f>F69*F73/1000</f>
        <v>3.2388399999999997</v>
      </c>
      <c r="G76" s="530">
        <f>G69*G73/1000</f>
        <v>3.2388399999999997</v>
      </c>
      <c r="H76" s="530">
        <f>H69*H73/1000</f>
        <v>3.2388399999999997</v>
      </c>
    </row>
    <row r="77" spans="2:8">
      <c r="B77" s="531"/>
      <c r="C77" s="532"/>
      <c r="D77" s="531"/>
      <c r="E77" s="533"/>
      <c r="F77" s="533"/>
      <c r="G77" s="533"/>
      <c r="H77" s="533"/>
    </row>
    <row r="78" spans="2:8">
      <c r="B78" s="534" t="s">
        <v>319</v>
      </c>
      <c r="C78" s="532"/>
      <c r="D78" s="531"/>
      <c r="E78" s="533"/>
      <c r="F78" s="533"/>
      <c r="G78" s="533"/>
      <c r="H78" s="533"/>
    </row>
    <row r="79" spans="2:8" ht="14.25">
      <c r="B79" s="535" t="s">
        <v>320</v>
      </c>
      <c r="C79" s="536" t="s">
        <v>321</v>
      </c>
      <c r="D79" s="515" t="s">
        <v>306</v>
      </c>
      <c r="E79" s="537">
        <v>41.7</v>
      </c>
      <c r="F79" s="537">
        <f>E79</f>
        <v>41.7</v>
      </c>
      <c r="G79" s="537">
        <f t="shared" ref="G79:H79" si="4">F79</f>
        <v>41.7</v>
      </c>
      <c r="H79" s="537">
        <f t="shared" si="4"/>
        <v>41.7</v>
      </c>
    </row>
    <row r="80" spans="2:8">
      <c r="B80" s="517" t="s">
        <v>307</v>
      </c>
      <c r="C80" s="538"/>
      <c r="D80" s="462" t="s">
        <v>308</v>
      </c>
      <c r="E80" s="446">
        <v>21.5</v>
      </c>
      <c r="F80" s="446">
        <v>21.5</v>
      </c>
      <c r="G80" s="446">
        <v>21.5</v>
      </c>
      <c r="H80" s="446">
        <v>21.5</v>
      </c>
    </row>
    <row r="81" spans="2:8">
      <c r="B81" s="517" t="s">
        <v>309</v>
      </c>
      <c r="C81" s="538"/>
      <c r="D81" s="462" t="s">
        <v>284</v>
      </c>
      <c r="E81" s="518">
        <v>1</v>
      </c>
      <c r="F81" s="518">
        <v>1</v>
      </c>
      <c r="G81" s="518">
        <v>1</v>
      </c>
      <c r="H81" s="518">
        <v>1</v>
      </c>
    </row>
    <row r="82" spans="2:8" ht="15.75">
      <c r="B82" s="517" t="s">
        <v>310</v>
      </c>
      <c r="C82" s="538"/>
      <c r="D82" s="462" t="s">
        <v>311</v>
      </c>
      <c r="E82" s="446">
        <v>3.6666666666666665</v>
      </c>
      <c r="F82" s="446">
        <v>3.6666666666666665</v>
      </c>
      <c r="G82" s="446">
        <v>3.6666666666666665</v>
      </c>
      <c r="H82" s="446">
        <v>3.6666666666666665</v>
      </c>
    </row>
    <row r="83" spans="2:8" ht="14.25">
      <c r="B83" s="519" t="s">
        <v>322</v>
      </c>
      <c r="C83" s="538" t="s">
        <v>313</v>
      </c>
      <c r="D83" s="521" t="s">
        <v>314</v>
      </c>
      <c r="E83" s="522">
        <f>E80*E81*E82</f>
        <v>78.833333333333329</v>
      </c>
      <c r="F83" s="522">
        <f>F80*F81*F82</f>
        <v>78.833333333333329</v>
      </c>
      <c r="G83" s="522">
        <f>G80*G81*G82</f>
        <v>78.833333333333329</v>
      </c>
      <c r="H83" s="522">
        <f>H80*H81*H82</f>
        <v>78.833333333333329</v>
      </c>
    </row>
    <row r="84" spans="2:8">
      <c r="B84" s="523"/>
      <c r="C84" s="539"/>
      <c r="D84" s="521"/>
      <c r="E84" s="525"/>
      <c r="F84" s="525"/>
      <c r="G84" s="525"/>
      <c r="H84" s="525"/>
    </row>
    <row r="85" spans="2:8">
      <c r="B85" s="523" t="s">
        <v>323</v>
      </c>
      <c r="C85" s="539"/>
      <c r="D85" s="521" t="s">
        <v>316</v>
      </c>
      <c r="E85" s="540">
        <v>0.98</v>
      </c>
      <c r="F85" s="540">
        <f>E85</f>
        <v>0.98</v>
      </c>
      <c r="G85" s="540">
        <f t="shared" ref="G85:H85" si="5">F85</f>
        <v>0.98</v>
      </c>
      <c r="H85" s="540">
        <f t="shared" si="5"/>
        <v>0.98</v>
      </c>
    </row>
    <row r="86" spans="2:8" ht="14.25">
      <c r="B86" s="527" t="s">
        <v>324</v>
      </c>
      <c r="C86" s="528"/>
      <c r="D86" s="529" t="s">
        <v>318</v>
      </c>
      <c r="E86" s="530">
        <f>E79*E83/1000</f>
        <v>3.28735</v>
      </c>
      <c r="F86" s="530">
        <f>F79*F83/1000</f>
        <v>3.28735</v>
      </c>
      <c r="G86" s="530">
        <f>G79*G83/1000</f>
        <v>3.28735</v>
      </c>
      <c r="H86" s="530">
        <f>H79*H83/1000</f>
        <v>3.28735</v>
      </c>
    </row>
    <row r="87" spans="2:8">
      <c r="B87" s="531"/>
      <c r="C87" s="532"/>
      <c r="D87" s="531"/>
      <c r="E87" s="533"/>
      <c r="F87" s="533"/>
      <c r="G87" s="533"/>
      <c r="H87" s="533"/>
    </row>
    <row r="88" spans="2:8">
      <c r="B88" s="534" t="s">
        <v>325</v>
      </c>
      <c r="C88" s="532"/>
      <c r="D88" s="531"/>
      <c r="E88" s="533"/>
      <c r="F88" s="533"/>
      <c r="G88" s="533"/>
      <c r="H88" s="533"/>
    </row>
    <row r="89" spans="2:8" ht="14.25">
      <c r="B89" s="535" t="s">
        <v>320</v>
      </c>
      <c r="C89" s="536" t="s">
        <v>326</v>
      </c>
      <c r="D89" s="515" t="s">
        <v>306</v>
      </c>
      <c r="E89" s="537">
        <v>52.2</v>
      </c>
      <c r="F89" s="537">
        <f>E89</f>
        <v>52.2</v>
      </c>
      <c r="G89" s="537">
        <f>F89</f>
        <v>52.2</v>
      </c>
      <c r="H89" s="537">
        <f>G89</f>
        <v>52.2</v>
      </c>
    </row>
    <row r="90" spans="2:8">
      <c r="B90" s="517" t="s">
        <v>307</v>
      </c>
      <c r="C90" s="538"/>
      <c r="D90" s="462" t="s">
        <v>308</v>
      </c>
      <c r="E90" s="446">
        <v>17.899999999999999</v>
      </c>
      <c r="F90" s="446">
        <v>17.899999999999999</v>
      </c>
      <c r="G90" s="446">
        <v>17.899999999999999</v>
      </c>
      <c r="H90" s="446">
        <v>17.899999999999999</v>
      </c>
    </row>
    <row r="91" spans="2:8">
      <c r="B91" s="517" t="s">
        <v>309</v>
      </c>
      <c r="C91" s="538"/>
      <c r="D91" s="462" t="s">
        <v>284</v>
      </c>
      <c r="E91" s="518">
        <v>1</v>
      </c>
      <c r="F91" s="518">
        <v>1</v>
      </c>
      <c r="G91" s="518">
        <v>1</v>
      </c>
      <c r="H91" s="518">
        <v>1</v>
      </c>
    </row>
    <row r="92" spans="2:8" ht="15.75">
      <c r="B92" s="517" t="s">
        <v>310</v>
      </c>
      <c r="C92" s="538"/>
      <c r="D92" s="462" t="s">
        <v>311</v>
      </c>
      <c r="E92" s="446">
        <v>3.6666666666666665</v>
      </c>
      <c r="F92" s="446">
        <v>3.6666666666666665</v>
      </c>
      <c r="G92" s="446">
        <v>3.6666666666666665</v>
      </c>
      <c r="H92" s="446">
        <v>3.6666666666666665</v>
      </c>
    </row>
    <row r="93" spans="2:8" ht="14.25">
      <c r="B93" s="519" t="s">
        <v>327</v>
      </c>
      <c r="C93" s="538" t="s">
        <v>328</v>
      </c>
      <c r="D93" s="521" t="s">
        <v>314</v>
      </c>
      <c r="E93" s="522">
        <f>E90*E91*E92</f>
        <v>65.633333333333326</v>
      </c>
      <c r="F93" s="522">
        <f>F90*F91*F92</f>
        <v>65.633333333333326</v>
      </c>
      <c r="G93" s="522">
        <f>G90*G91*G92</f>
        <v>65.633333333333326</v>
      </c>
      <c r="H93" s="522">
        <f>H90*H91*H92</f>
        <v>65.633333333333326</v>
      </c>
    </row>
    <row r="94" spans="2:8">
      <c r="B94" s="523"/>
      <c r="C94" s="539"/>
      <c r="D94" s="521"/>
      <c r="E94" s="525"/>
      <c r="F94" s="525"/>
      <c r="G94" s="525"/>
      <c r="H94" s="525"/>
    </row>
    <row r="95" spans="2:8">
      <c r="B95" s="523" t="s">
        <v>329</v>
      </c>
      <c r="C95" s="539"/>
      <c r="D95" s="521" t="s">
        <v>316</v>
      </c>
      <c r="E95" s="540">
        <v>0.55000000000000004</v>
      </c>
      <c r="F95" s="540">
        <f>E95</f>
        <v>0.55000000000000004</v>
      </c>
      <c r="G95" s="540">
        <f t="shared" ref="G95:H95" si="6">F95</f>
        <v>0.55000000000000004</v>
      </c>
      <c r="H95" s="540">
        <f t="shared" si="6"/>
        <v>0.55000000000000004</v>
      </c>
    </row>
    <row r="96" spans="2:8" ht="14.25">
      <c r="B96" s="433" t="s">
        <v>324</v>
      </c>
      <c r="C96" s="541"/>
      <c r="D96" s="542" t="s">
        <v>330</v>
      </c>
      <c r="E96" s="543">
        <f>E89*E93/1000</f>
        <v>3.4260600000000001</v>
      </c>
      <c r="F96" s="543">
        <f t="shared" ref="F96:H96" si="7">F89*F93/1000</f>
        <v>3.4260600000000001</v>
      </c>
      <c r="G96" s="543">
        <f t="shared" si="7"/>
        <v>3.4260600000000001</v>
      </c>
      <c r="H96" s="543">
        <f t="shared" si="7"/>
        <v>3.4260600000000001</v>
      </c>
    </row>
    <row r="97" spans="2:8">
      <c r="B97" s="544" t="s">
        <v>298</v>
      </c>
      <c r="C97" s="428"/>
    </row>
    <row r="98" spans="2:8">
      <c r="B98" s="545" t="s">
        <v>331</v>
      </c>
    </row>
    <row r="99" spans="2:8">
      <c r="B99" s="545" t="s">
        <v>332</v>
      </c>
    </row>
    <row r="100" spans="2:8">
      <c r="B100" s="545" t="s">
        <v>333</v>
      </c>
    </row>
    <row r="101" spans="2:8">
      <c r="B101" s="545" t="s">
        <v>334</v>
      </c>
    </row>
    <row r="103" spans="2:8" ht="14.25">
      <c r="B103" s="435" t="s">
        <v>335</v>
      </c>
      <c r="C103" s="428"/>
      <c r="E103" s="546"/>
      <c r="F103" s="546"/>
      <c r="G103" s="546"/>
      <c r="H103" s="546"/>
    </row>
    <row r="104" spans="2:8">
      <c r="B104" s="512"/>
    </row>
    <row r="105" spans="2:8">
      <c r="B105" s="512"/>
    </row>
    <row r="106" spans="2:8">
      <c r="B106" s="8" t="s">
        <v>336</v>
      </c>
      <c r="C106" s="428"/>
    </row>
    <row r="107" spans="2:8">
      <c r="B107" s="433"/>
      <c r="C107" s="541"/>
      <c r="D107" s="466"/>
      <c r="E107" s="437">
        <v>2020</v>
      </c>
      <c r="F107" s="437">
        <v>2019</v>
      </c>
      <c r="G107" s="437">
        <v>2018</v>
      </c>
      <c r="H107" s="437">
        <v>2017</v>
      </c>
    </row>
    <row r="108" spans="2:8" ht="14.25">
      <c r="B108" s="493" t="s">
        <v>337</v>
      </c>
      <c r="C108" s="547" t="s">
        <v>338</v>
      </c>
      <c r="D108" s="462" t="s">
        <v>339</v>
      </c>
      <c r="E108" s="277">
        <f>'2020 Data'!Q12+'2020 Data'!Q13-'2020 Data'!Q14</f>
        <v>251349.01210226267</v>
      </c>
      <c r="F108" s="277">
        <f>'2019 Data'!Q12+'2019 Data'!Q13-'2019 Data'!Q14</f>
        <v>263847.81126962893</v>
      </c>
      <c r="G108" s="277">
        <f>'2018 Data'!Q12+'2018 Data'!Q13-'2018 Data'!Q14</f>
        <v>268424.09591372404</v>
      </c>
      <c r="H108" s="277">
        <f>'2017 Data '!Q12+'2017 Data '!Q13-'2017 Data '!Q14</f>
        <v>243787.33624242112</v>
      </c>
    </row>
    <row r="109" spans="2:8" ht="14.25">
      <c r="B109" s="493" t="s">
        <v>340</v>
      </c>
      <c r="C109" s="547" t="s">
        <v>341</v>
      </c>
      <c r="D109" s="462" t="s">
        <v>339</v>
      </c>
      <c r="E109" s="446">
        <v>0</v>
      </c>
      <c r="F109" s="446">
        <v>0</v>
      </c>
      <c r="G109" s="446">
        <v>0</v>
      </c>
      <c r="H109" s="446">
        <v>0</v>
      </c>
    </row>
    <row r="110" spans="2:8">
      <c r="B110" s="493"/>
      <c r="C110" s="440"/>
      <c r="D110" s="462"/>
      <c r="E110" s="522"/>
      <c r="F110" s="522"/>
      <c r="G110" s="522"/>
      <c r="H110" s="522"/>
    </row>
    <row r="111" spans="2:8" ht="14.25">
      <c r="B111" s="466" t="s">
        <v>14</v>
      </c>
      <c r="C111" s="548" t="s">
        <v>342</v>
      </c>
      <c r="D111" s="549" t="s">
        <v>343</v>
      </c>
      <c r="E111" s="550">
        <f>MAX(0,(E108-E109))</f>
        <v>251349.01210226267</v>
      </c>
      <c r="F111" s="550">
        <f>MAX(0,(F108-F109))</f>
        <v>263847.81126962893</v>
      </c>
      <c r="G111" s="550">
        <f>MAX(0,(G108-G109))</f>
        <v>268424.09591372404</v>
      </c>
      <c r="H111" s="550">
        <f>MAX(0,(H108-H109))</f>
        <v>243787.33624242112</v>
      </c>
    </row>
    <row r="112" spans="2:8">
      <c r="B112" s="512"/>
    </row>
    <row r="113" spans="1:8" ht="14.25">
      <c r="B113" s="551" t="s">
        <v>190</v>
      </c>
      <c r="C113" s="552" t="s">
        <v>344</v>
      </c>
      <c r="D113" s="553" t="s">
        <v>345</v>
      </c>
      <c r="E113" s="542">
        <f>E111*E20</f>
        <v>147433.79002882421</v>
      </c>
      <c r="F113" s="542">
        <f>F111*F20</f>
        <v>138272.08397396174</v>
      </c>
      <c r="G113" s="542">
        <f>G111*G20</f>
        <v>145100.67140760223</v>
      </c>
      <c r="H113" s="542">
        <f>H111*H20</f>
        <v>157942.50153137735</v>
      </c>
    </row>
    <row r="114" spans="1:8">
      <c r="A114" s="554"/>
      <c r="B114" s="554"/>
      <c r="C114" s="555"/>
      <c r="D114" s="554"/>
    </row>
    <row r="116" spans="1:8">
      <c r="B116" s="8" t="s">
        <v>346</v>
      </c>
      <c r="C116" s="428"/>
    </row>
    <row r="117" spans="1:8">
      <c r="B117" s="466" t="s">
        <v>347</v>
      </c>
      <c r="C117" s="556"/>
      <c r="D117" s="466"/>
      <c r="E117" s="437"/>
      <c r="F117" s="437"/>
      <c r="G117" s="437"/>
      <c r="H117" s="437"/>
    </row>
    <row r="118" spans="1:8" ht="14.25">
      <c r="B118" s="271" t="s">
        <v>348</v>
      </c>
      <c r="C118" s="557" t="s">
        <v>349</v>
      </c>
      <c r="D118" s="277" t="s">
        <v>350</v>
      </c>
      <c r="E118" s="558">
        <v>3352.9</v>
      </c>
      <c r="F118" s="558">
        <v>3352.9</v>
      </c>
      <c r="G118" s="558">
        <v>3352.9</v>
      </c>
      <c r="H118" s="558">
        <v>3352.9</v>
      </c>
    </row>
    <row r="119" spans="1:8">
      <c r="B119" s="272" t="s">
        <v>351</v>
      </c>
      <c r="C119" s="557"/>
      <c r="D119" s="277" t="s">
        <v>350</v>
      </c>
      <c r="E119" s="558">
        <v>1160</v>
      </c>
      <c r="F119" s="558">
        <v>1160</v>
      </c>
      <c r="G119" s="558">
        <v>1160</v>
      </c>
      <c r="H119" s="558">
        <v>1160</v>
      </c>
    </row>
    <row r="120" spans="1:8">
      <c r="B120" s="559" t="s">
        <v>352</v>
      </c>
      <c r="C120" s="560"/>
      <c r="D120" s="542" t="s">
        <v>353</v>
      </c>
      <c r="E120" s="542">
        <f>((E118-E119)*1000)*'2020 Data'!Q25/1000000</f>
        <v>3324314.4897078648</v>
      </c>
      <c r="F120" s="542">
        <f>((F118-F119)*1000)*'2019 Data'!Q25/1000000</f>
        <v>3112690.9572849884</v>
      </c>
      <c r="G120" s="542">
        <f>((G118-G119)*1000)*'2018 Data'!Q25/1000000</f>
        <v>3141796.4780637859</v>
      </c>
      <c r="H120" s="542">
        <f>((H118-H119)*1000)*'2017 Data '!Q25/1000000</f>
        <v>2933184.8796439534</v>
      </c>
    </row>
    <row r="121" spans="1:8">
      <c r="B121" s="466" t="s">
        <v>354</v>
      </c>
      <c r="C121" s="541"/>
      <c r="D121" s="466"/>
      <c r="E121" s="542"/>
      <c r="F121" s="542"/>
      <c r="G121" s="542"/>
      <c r="H121" s="542"/>
    </row>
    <row r="122" spans="1:8" ht="14.25">
      <c r="B122" s="271" t="s">
        <v>355</v>
      </c>
      <c r="C122" s="561" t="s">
        <v>356</v>
      </c>
      <c r="D122" s="277" t="s">
        <v>350</v>
      </c>
      <c r="E122" s="558">
        <v>2758.8599504604299</v>
      </c>
      <c r="F122" s="558">
        <v>2758.8599504604299</v>
      </c>
      <c r="G122" s="558">
        <v>2758.8599504604299</v>
      </c>
      <c r="H122" s="558">
        <v>2758.8599504604299</v>
      </c>
    </row>
    <row r="123" spans="1:8">
      <c r="B123" s="272" t="s">
        <v>351</v>
      </c>
      <c r="C123" s="561"/>
      <c r="D123" s="277" t="s">
        <v>350</v>
      </c>
      <c r="E123" s="558">
        <v>1160</v>
      </c>
      <c r="F123" s="558">
        <v>1160</v>
      </c>
      <c r="G123" s="558">
        <v>1160</v>
      </c>
      <c r="H123" s="558">
        <v>1160</v>
      </c>
    </row>
    <row r="124" spans="1:8">
      <c r="B124" s="433" t="s">
        <v>357</v>
      </c>
      <c r="C124" s="541"/>
      <c r="D124" s="562" t="s">
        <v>353</v>
      </c>
      <c r="E124" s="542">
        <f>((E122-E123)*1000)*'2020 Data'!Q26/1000000</f>
        <v>158572.99359649495</v>
      </c>
      <c r="F124" s="542">
        <f>((F122-F123)*1000)*'2019 Data'!Q26/1000000</f>
        <v>147906.58710094853</v>
      </c>
      <c r="G124" s="542">
        <f>((G122-G123)*1000)*'2018 Data'!Q26/1000000</f>
        <v>138688.89621628952</v>
      </c>
      <c r="H124" s="542">
        <f>((H122-H123)*1000)*'2017 Data '!Q26/1000000</f>
        <v>130385.08958221464</v>
      </c>
    </row>
    <row r="125" spans="1:8">
      <c r="B125" s="271" t="s">
        <v>358</v>
      </c>
      <c r="C125" s="561"/>
      <c r="D125" s="277"/>
      <c r="E125" s="563"/>
      <c r="F125" s="563"/>
      <c r="G125" s="563"/>
      <c r="H125" s="563"/>
    </row>
    <row r="126" spans="1:8" ht="14.25">
      <c r="B126" s="271" t="s">
        <v>355</v>
      </c>
      <c r="C126" s="561" t="s">
        <v>359</v>
      </c>
      <c r="D126" s="277" t="s">
        <v>350</v>
      </c>
      <c r="E126" s="558">
        <v>2747.5323153154004</v>
      </c>
      <c r="F126" s="558">
        <v>2747.5323153154004</v>
      </c>
      <c r="G126" s="558">
        <v>2747.5323153154004</v>
      </c>
      <c r="H126" s="558">
        <v>2747.5323153154004</v>
      </c>
    </row>
    <row r="127" spans="1:8">
      <c r="B127" s="272" t="s">
        <v>351</v>
      </c>
      <c r="C127" s="561"/>
      <c r="D127" s="277" t="s">
        <v>350</v>
      </c>
      <c r="E127" s="558">
        <v>1160</v>
      </c>
      <c r="F127" s="558">
        <v>1160</v>
      </c>
      <c r="G127" s="558">
        <v>1160</v>
      </c>
      <c r="H127" s="558">
        <v>1160</v>
      </c>
    </row>
    <row r="128" spans="1:8">
      <c r="B128" s="433" t="s">
        <v>360</v>
      </c>
      <c r="C128" s="541"/>
      <c r="D128" s="562" t="s">
        <v>353</v>
      </c>
      <c r="E128" s="542">
        <f>((E126-E127)*1000)*'2020 Data'!Q27/1000000</f>
        <v>213494.46650376695</v>
      </c>
      <c r="F128" s="542">
        <f>((F126-F127)*1000)*'2019 Data'!Q27/1000000</f>
        <v>255231.93904909992</v>
      </c>
      <c r="G128" s="542">
        <f>((G126-G127)*1000)*'2018 Data'!Q27/1000000</f>
        <v>268870.07002415828</v>
      </c>
      <c r="H128" s="542">
        <f>((H126-H127)*1000)*'2017 Data '!Q27/1000000</f>
        <v>260666.78522325153</v>
      </c>
    </row>
    <row r="129" spans="2:9" ht="14.25">
      <c r="B129" s="433" t="s">
        <v>361</v>
      </c>
      <c r="C129" s="541" t="s">
        <v>613</v>
      </c>
      <c r="D129" s="542" t="s">
        <v>362</v>
      </c>
      <c r="E129" s="734">
        <f>E124+E128</f>
        <v>372067.4601002619</v>
      </c>
      <c r="F129" s="734">
        <f t="shared" ref="F129:H129" si="8">F124+F128</f>
        <v>403138.52615004848</v>
      </c>
      <c r="G129" s="734">
        <f t="shared" si="8"/>
        <v>407558.96624044783</v>
      </c>
      <c r="H129" s="734">
        <f t="shared" si="8"/>
        <v>391051.87480546616</v>
      </c>
    </row>
    <row r="130" spans="2:9">
      <c r="D130" s="564"/>
      <c r="E130" s="569"/>
      <c r="F130" s="569"/>
      <c r="G130" s="569"/>
      <c r="H130" s="569"/>
    </row>
    <row r="131" spans="2:9">
      <c r="B131" s="8" t="s">
        <v>363</v>
      </c>
      <c r="D131" s="564"/>
      <c r="E131" s="652"/>
      <c r="F131" s="652"/>
      <c r="G131" s="652"/>
      <c r="H131" s="652"/>
    </row>
    <row r="132" spans="2:9">
      <c r="B132" s="565"/>
      <c r="D132" s="564"/>
      <c r="E132" s="437">
        <v>2020</v>
      </c>
      <c r="F132" s="437">
        <v>2019</v>
      </c>
      <c r="G132" s="437">
        <v>2018</v>
      </c>
      <c r="H132" s="437">
        <v>2017</v>
      </c>
    </row>
    <row r="133" spans="2:9" ht="14.25">
      <c r="B133" s="566" t="s">
        <v>16</v>
      </c>
      <c r="C133" s="567" t="s">
        <v>364</v>
      </c>
      <c r="D133" s="568" t="s">
        <v>105</v>
      </c>
      <c r="E133" s="718" cm="1">
        <f t="array" ref="E133">SUMPRODUCT('2020 Data'!E34:P34,(1-'2020 Data'!E56:P56))</f>
        <v>101890.77365824956</v>
      </c>
      <c r="F133" s="718" cm="1">
        <f t="array" ref="F133">SUMPRODUCT('2019 Data'!E34:P34,(1-'2019 Data'!E57:P57))</f>
        <v>100507.4260002033</v>
      </c>
      <c r="G133" s="718" cm="1">
        <f t="array" ref="G133">SUMPRODUCT('2018 Data'!E34:P34,(1-'2018 Data'!E53:P53))</f>
        <v>99640.897137342807</v>
      </c>
      <c r="H133" s="718" cm="1">
        <f t="array" ref="H133">SUMPRODUCT('2017 Data '!E34:P34,(1-'2017 Data '!E53:P53))</f>
        <v>67461.343476874565</v>
      </c>
      <c r="I133" s="187" t="s">
        <v>620</v>
      </c>
    </row>
    <row r="134" spans="2:9" ht="14.25">
      <c r="B134" s="570" t="s">
        <v>365</v>
      </c>
      <c r="C134" s="571" t="s">
        <v>366</v>
      </c>
      <c r="D134" s="572" t="s">
        <v>268</v>
      </c>
      <c r="E134" s="474">
        <f>AVERAGE('2020 Data'!E66:F66)</f>
        <v>18.657978808158056</v>
      </c>
      <c r="F134" s="474">
        <f>AVERAGE('2019 Data'!E65:F65)</f>
        <v>18.055161666666663</v>
      </c>
      <c r="G134" s="474">
        <f>AVERAGE('2018 Data'!E61:F61)</f>
        <v>18.092085000000001</v>
      </c>
      <c r="H134" s="474">
        <f>AVERAGE('2017 Data '!E61:F61)</f>
        <v>18.610056666666665</v>
      </c>
    </row>
    <row r="135" spans="2:9" ht="14.25">
      <c r="B135" s="566" t="s">
        <v>367</v>
      </c>
      <c r="C135" s="567" t="s">
        <v>119</v>
      </c>
      <c r="D135" s="568" t="s">
        <v>105</v>
      </c>
      <c r="E135" s="718" cm="1">
        <f t="array" ref="E135">SUMPRODUCT('2020 Data'!E42:P42,(1-'2020 Data'!E58:P58))</f>
        <v>145354.06934302067</v>
      </c>
      <c r="F135" s="718" cm="1">
        <f t="array" ref="F135">SUMPRODUCT('2019 Data'!E42:P42,(1-'2019 Data'!E58:P58))</f>
        <v>163095.26877959431</v>
      </c>
      <c r="G135" s="718" cm="1">
        <f t="array" ref="G135">SUMPRODUCT('2018 Data'!E42:P42,(1-'2018 Data'!E54:P54))</f>
        <v>185538.43943295605</v>
      </c>
      <c r="H135" s="718" cm="1">
        <f t="array" ref="H135">SUMPRODUCT('2017 Data '!E42:P42,(1-'2017 Data '!E54:P54))</f>
        <v>140672.0559593901</v>
      </c>
      <c r="I135" s="187" t="s">
        <v>620</v>
      </c>
    </row>
    <row r="136" spans="2:9" ht="14.25">
      <c r="B136" s="570" t="s">
        <v>368</v>
      </c>
      <c r="C136" s="571" t="s">
        <v>369</v>
      </c>
      <c r="D136" s="572" t="s">
        <v>268</v>
      </c>
      <c r="E136" s="474">
        <f>AVERAGE('2020 Data'!E68:F68)</f>
        <v>18.455089627151047</v>
      </c>
      <c r="F136" s="474">
        <f>AVERAGE('2019 Data'!E67:F67)</f>
        <v>18.107411666666664</v>
      </c>
      <c r="G136" s="474">
        <f>AVERAGE('2018 Data'!E63:F63)</f>
        <v>18.129704999999998</v>
      </c>
      <c r="H136" s="474">
        <f>AVERAGE('2017 Data '!E63:F63)</f>
        <v>18.093826666666665</v>
      </c>
    </row>
    <row r="137" spans="2:9" ht="14.25">
      <c r="B137" s="493" t="s">
        <v>370</v>
      </c>
      <c r="C137" s="567" t="s">
        <v>121</v>
      </c>
      <c r="D137" s="568" t="s">
        <v>105</v>
      </c>
      <c r="E137" s="714">
        <v>0</v>
      </c>
      <c r="F137" s="714">
        <v>0</v>
      </c>
      <c r="G137" s="714">
        <v>0</v>
      </c>
      <c r="H137" s="714">
        <v>0</v>
      </c>
    </row>
    <row r="138" spans="2:9" ht="14.25">
      <c r="B138" s="570" t="s">
        <v>368</v>
      </c>
      <c r="C138" s="571" t="s">
        <v>371</v>
      </c>
      <c r="D138" s="572" t="s">
        <v>268</v>
      </c>
      <c r="E138" s="573">
        <v>0</v>
      </c>
      <c r="F138" s="573">
        <v>0</v>
      </c>
      <c r="G138" s="573">
        <v>0</v>
      </c>
      <c r="H138" s="573">
        <v>0</v>
      </c>
    </row>
    <row r="139" spans="2:9" ht="14.25">
      <c r="B139" s="570" t="s">
        <v>112</v>
      </c>
      <c r="C139" s="541" t="s">
        <v>372</v>
      </c>
      <c r="D139" s="574"/>
      <c r="E139" s="575">
        <v>0.85</v>
      </c>
      <c r="F139" s="575">
        <v>0.85</v>
      </c>
      <c r="G139" s="575">
        <v>0.85</v>
      </c>
      <c r="H139" s="575">
        <v>0.85</v>
      </c>
    </row>
    <row r="140" spans="2:9">
      <c r="B140" s="551" t="s">
        <v>373</v>
      </c>
      <c r="C140" s="576"/>
      <c r="D140" s="577" t="s">
        <v>374</v>
      </c>
      <c r="E140" s="578">
        <f>E133+E135</f>
        <v>247244.84300127023</v>
      </c>
      <c r="F140" s="578">
        <f>F133+F135</f>
        <v>263602.69477979757</v>
      </c>
      <c r="G140" s="578">
        <f>G133+G135</f>
        <v>285179.33657029888</v>
      </c>
      <c r="H140" s="578">
        <f>H133+H135</f>
        <v>208133.39943626465</v>
      </c>
    </row>
    <row r="141" spans="2:9">
      <c r="B141" s="551"/>
      <c r="C141" s="576"/>
      <c r="D141" s="577"/>
      <c r="E141" s="578"/>
      <c r="F141" s="578"/>
      <c r="G141" s="578"/>
      <c r="H141" s="578"/>
    </row>
    <row r="142" spans="2:9">
      <c r="B142" s="551" t="s">
        <v>375</v>
      </c>
      <c r="C142" s="575" t="s">
        <v>611</v>
      </c>
      <c r="D142" s="577" t="s">
        <v>98</v>
      </c>
      <c r="E142" s="578">
        <f>(E133*E134+E135*E136+E137*E138)*E139</f>
        <v>3896058.5321001699</v>
      </c>
      <c r="F142" s="578">
        <f t="shared" ref="F142" si="9">(F133*F134+F135*F136+F137*F138)*F139</f>
        <v>4052724.3481401731</v>
      </c>
      <c r="G142" s="578">
        <f>(G133*G134+G135*G136+G137*G138)*G139</f>
        <v>4391498.4405301847</v>
      </c>
      <c r="H142" s="578">
        <f>(H133*H134+H135*H136+H137*H138)*H139</f>
        <v>3230641.9389438964</v>
      </c>
    </row>
    <row r="143" spans="2:9">
      <c r="C143" s="667" t="s">
        <v>564</v>
      </c>
      <c r="D143" s="568" t="s">
        <v>563</v>
      </c>
      <c r="E143" s="668">
        <f>E16</f>
        <v>8387.5</v>
      </c>
      <c r="F143" s="668">
        <f>F16</f>
        <v>8496</v>
      </c>
      <c r="G143" s="668">
        <f>G16</f>
        <v>8520</v>
      </c>
      <c r="H143" s="668">
        <f>H16</f>
        <v>8544</v>
      </c>
    </row>
    <row r="144" spans="2:9">
      <c r="C144" s="561" t="s">
        <v>565</v>
      </c>
      <c r="D144" s="277" t="s">
        <v>568</v>
      </c>
      <c r="E144" s="277">
        <v>210</v>
      </c>
      <c r="F144" s="277">
        <v>210</v>
      </c>
      <c r="G144" s="277">
        <f t="shared" ref="G144:H144" si="10">F144</f>
        <v>210</v>
      </c>
      <c r="H144" s="277">
        <f t="shared" si="10"/>
        <v>210</v>
      </c>
    </row>
    <row r="145" spans="2:16">
      <c r="C145" s="561" t="s">
        <v>567</v>
      </c>
      <c r="D145" s="277" t="s">
        <v>114</v>
      </c>
      <c r="E145" s="669">
        <v>0.9</v>
      </c>
      <c r="F145" s="669">
        <f>E145</f>
        <v>0.9</v>
      </c>
      <c r="G145" s="669">
        <f t="shared" ref="G145:H145" si="11">F145</f>
        <v>0.9</v>
      </c>
      <c r="H145" s="669">
        <f t="shared" si="11"/>
        <v>0.9</v>
      </c>
    </row>
    <row r="146" spans="2:16">
      <c r="C146" s="561" t="s">
        <v>569</v>
      </c>
      <c r="D146" s="277" t="s">
        <v>566</v>
      </c>
      <c r="E146" s="700">
        <f>E143*E144*E145</f>
        <v>1585237.5</v>
      </c>
      <c r="F146" s="700">
        <f>F143*F144*F145</f>
        <v>1605744</v>
      </c>
      <c r="G146" s="701">
        <f t="shared" ref="G146" si="12">G143*G144*G145</f>
        <v>1610280</v>
      </c>
      <c r="H146" s="700">
        <f>H143*H144*H145</f>
        <v>1614816</v>
      </c>
    </row>
    <row r="147" spans="2:16">
      <c r="C147" s="442"/>
      <c r="D147" s="279"/>
      <c r="E147" s="279" t="str">
        <f>IF(E150&lt;E146,"ok","error")</f>
        <v>ok</v>
      </c>
      <c r="F147" s="279" t="str">
        <f t="shared" ref="F147:H147" si="13">IF(F150&lt;F146,"ok","error")</f>
        <v>ok</v>
      </c>
      <c r="G147" s="279" t="str">
        <f t="shared" si="13"/>
        <v>ok</v>
      </c>
      <c r="H147" s="279" t="str">
        <f t="shared" si="13"/>
        <v>ok</v>
      </c>
    </row>
    <row r="148" spans="2:16">
      <c r="B148" s="8" t="s">
        <v>95</v>
      </c>
      <c r="E148" s="659"/>
      <c r="F148" s="659"/>
      <c r="G148" s="659"/>
      <c r="H148" s="659"/>
    </row>
    <row r="149" spans="2:16">
      <c r="B149" s="8"/>
      <c r="E149" s="437">
        <v>2020</v>
      </c>
      <c r="F149" s="437">
        <v>2019</v>
      </c>
      <c r="G149" s="437">
        <v>2018</v>
      </c>
      <c r="H149" s="437">
        <v>2017</v>
      </c>
    </row>
    <row r="150" spans="2:16" ht="28.35" customHeight="1">
      <c r="B150" s="579" t="s">
        <v>376</v>
      </c>
      <c r="C150" s="541" t="s">
        <v>377</v>
      </c>
      <c r="D150" s="542" t="s">
        <v>98</v>
      </c>
      <c r="E150" s="542">
        <f>E129</f>
        <v>372067.4601002619</v>
      </c>
      <c r="F150" s="542">
        <f>F129</f>
        <v>403138.52615004848</v>
      </c>
      <c r="G150" s="542">
        <f>G129</f>
        <v>407558.96624044783</v>
      </c>
      <c r="H150" s="542">
        <f>H129</f>
        <v>391051.87480546616</v>
      </c>
    </row>
    <row r="151" spans="2:16">
      <c r="B151" s="580" t="s">
        <v>378</v>
      </c>
      <c r="C151" s="541"/>
      <c r="D151" s="542"/>
      <c r="E151" s="542"/>
      <c r="F151" s="542"/>
      <c r="G151" s="542"/>
      <c r="H151" s="542"/>
    </row>
    <row r="152" spans="2:16" ht="14.25">
      <c r="B152" s="270" t="s">
        <v>16</v>
      </c>
      <c r="C152" s="581" t="s">
        <v>104</v>
      </c>
      <c r="D152" s="275" t="s">
        <v>98</v>
      </c>
      <c r="E152" s="275">
        <f>IF((E133*E134*E139)&lt;E150,E133*E134*E139,E150)</f>
        <v>372067.4601002619</v>
      </c>
      <c r="F152" s="275">
        <f>IF((F133*F134*F139)&lt;F150,F133*F134*F139,F150)</f>
        <v>403138.52615004848</v>
      </c>
      <c r="G152" s="275">
        <f>IF((G133*G134*G139)&lt;G150,G133*G134*G139,G150)</f>
        <v>407558.96624044783</v>
      </c>
      <c r="H152" s="275">
        <f>IF((H133*H134*H139)&lt;H150,H133*H134*H139,H150)</f>
        <v>391051.87480546616</v>
      </c>
      <c r="M152" s="735"/>
      <c r="N152" s="735"/>
      <c r="O152" s="735"/>
      <c r="P152" s="735"/>
    </row>
    <row r="153" spans="2:16" ht="14.25">
      <c r="B153" s="271" t="s">
        <v>367</v>
      </c>
      <c r="C153" s="561" t="s">
        <v>379</v>
      </c>
      <c r="D153" s="277" t="s">
        <v>98</v>
      </c>
      <c r="E153" s="277">
        <f>IF((E150-E152)&lt;E135*E136*E139,(E150-E152),E135*E136*E139)</f>
        <v>0</v>
      </c>
      <c r="F153" s="277">
        <f>IF((F150-F152)&lt;F135*F136*F139,(F150-F152),F135*F136*F139)</f>
        <v>0</v>
      </c>
      <c r="G153" s="277">
        <f>IF((G150-G152)&lt;G135*G136*G139,(G150-G152),G135*G136*G139)</f>
        <v>0</v>
      </c>
      <c r="H153" s="277">
        <f>IF((H150-H152)&lt;H135*H136*H139,(H150-H152),H135*H136*H139)</f>
        <v>0</v>
      </c>
    </row>
    <row r="154" spans="2:16" ht="14.25">
      <c r="B154" s="272" t="s">
        <v>370</v>
      </c>
      <c r="C154" s="582" t="s">
        <v>109</v>
      </c>
      <c r="D154" s="279" t="s">
        <v>98</v>
      </c>
      <c r="E154" s="279">
        <f>IF((E150-E152-E153)&lt;E137*E138*E139,(E150-E152-E153),E137*E138*E139)</f>
        <v>0</v>
      </c>
      <c r="F154" s="279">
        <f>IF((F150-F152-F153)&lt;F137*F138*F139,(F150-F152-F153),F137*F138*F139)</f>
        <v>0</v>
      </c>
      <c r="G154" s="279">
        <f>IF((G150-G152-G153)&lt;G137*G138*G139,(G150-G152-G153),G137*G138*G139)</f>
        <v>0</v>
      </c>
      <c r="H154" s="279">
        <f>IF((H150-H152-H153)&lt;H137*H138*H139,(H150-H152-H153),H137*H138*H139)</f>
        <v>0</v>
      </c>
    </row>
    <row r="155" spans="2:16" ht="15.75">
      <c r="B155" s="583" t="s">
        <v>20</v>
      </c>
      <c r="C155" s="541"/>
      <c r="D155" s="542" t="s">
        <v>105</v>
      </c>
      <c r="E155" s="750">
        <f>SUM(E156:E158)</f>
        <v>23460.548870168856</v>
      </c>
      <c r="F155" s="750">
        <f>SUM(F156:F158)</f>
        <v>26268.422723440424</v>
      </c>
      <c r="G155" s="750">
        <f>SUM(G156:G158)</f>
        <v>26502.259786722647</v>
      </c>
      <c r="H155" s="750">
        <f>SUM(H156:H158)</f>
        <v>24721.097706646859</v>
      </c>
      <c r="I155" s="727" t="s">
        <v>608</v>
      </c>
    </row>
    <row r="156" spans="2:16" ht="14.25">
      <c r="B156" s="270" t="s">
        <v>16</v>
      </c>
      <c r="C156" s="581" t="s">
        <v>104</v>
      </c>
      <c r="D156" s="275" t="s">
        <v>105</v>
      </c>
      <c r="E156" s="275">
        <f>E152/(E134*E139)</f>
        <v>23460.548870168856</v>
      </c>
      <c r="F156" s="275">
        <f>F152/(F134*F139)</f>
        <v>26268.422723440424</v>
      </c>
      <c r="G156" s="275">
        <f>G152/(G134*G139)</f>
        <v>26502.259786722647</v>
      </c>
      <c r="H156" s="275">
        <f>H152/(H134*H139)</f>
        <v>24721.097706646859</v>
      </c>
      <c r="I156" s="187" t="s">
        <v>597</v>
      </c>
    </row>
    <row r="157" spans="2:16" ht="14.25">
      <c r="B157" s="271" t="s">
        <v>18</v>
      </c>
      <c r="C157" s="561" t="s">
        <v>107</v>
      </c>
      <c r="D157" s="277" t="s">
        <v>105</v>
      </c>
      <c r="E157" s="277">
        <f>E153/(E136*E139)</f>
        <v>0</v>
      </c>
      <c r="F157" s="277">
        <f>F153/(F136*F139)</f>
        <v>0</v>
      </c>
      <c r="G157" s="277">
        <f>G153/(G136*G139)</f>
        <v>0</v>
      </c>
      <c r="H157" s="277">
        <f>H153/(H136*H139)</f>
        <v>0</v>
      </c>
    </row>
    <row r="158" spans="2:16" ht="14.25">
      <c r="B158" s="272" t="s">
        <v>19</v>
      </c>
      <c r="C158" s="582" t="s">
        <v>109</v>
      </c>
      <c r="D158" s="279" t="s">
        <v>105</v>
      </c>
      <c r="E158" s="279">
        <v>0</v>
      </c>
      <c r="F158" s="279">
        <v>0</v>
      </c>
      <c r="G158" s="279">
        <v>0</v>
      </c>
      <c r="H158" s="279">
        <v>0</v>
      </c>
    </row>
    <row r="159" spans="2:16">
      <c r="C159" s="187"/>
      <c r="E159" s="187"/>
      <c r="F159" s="187"/>
      <c r="G159" s="187"/>
      <c r="H159" s="187"/>
    </row>
    <row r="160" spans="2:16">
      <c r="B160" s="583" t="s">
        <v>380</v>
      </c>
      <c r="C160" s="562" t="s">
        <v>612</v>
      </c>
      <c r="D160" s="542" t="s">
        <v>98</v>
      </c>
      <c r="E160" s="751">
        <f>IF(E142-E150&gt;0,E142-E150,0)</f>
        <v>3523991.071999908</v>
      </c>
      <c r="F160" s="751">
        <f>IF(F142-F150&gt;0,F142-F150,0)</f>
        <v>3649585.8219901249</v>
      </c>
      <c r="G160" s="751">
        <f>IF(G142-G150&gt;0,G142-G150,0)</f>
        <v>3983939.4742897367</v>
      </c>
      <c r="H160" s="751">
        <f>IF(H142-H150&gt;0,H142-H150,0)</f>
        <v>2839590.0641384302</v>
      </c>
    </row>
    <row r="161" spans="2:241">
      <c r="B161" s="678"/>
      <c r="C161" s="581"/>
      <c r="D161" s="679"/>
      <c r="E161" s="275"/>
      <c r="F161" s="275"/>
      <c r="G161" s="702"/>
      <c r="H161" s="275"/>
    </row>
    <row r="162" spans="2:241" ht="14.25">
      <c r="B162" s="270" t="s">
        <v>381</v>
      </c>
      <c r="C162" s="581" t="s">
        <v>117</v>
      </c>
      <c r="D162" s="275" t="s">
        <v>98</v>
      </c>
      <c r="E162" s="275">
        <f>IF((E133-E156)&gt;0,(E133-E156)*E134*E139,0)</f>
        <v>1243847.05121282</v>
      </c>
      <c r="F162" s="275">
        <f>IF((F133-F156)&gt;0,(F133-F156)*F134*F139,0)</f>
        <v>1139337.6252140272</v>
      </c>
      <c r="G162" s="275">
        <f>IF((G133-G156)&gt;0,(G133-G156)*G134*G139,0)</f>
        <v>1124745.8771718557</v>
      </c>
      <c r="H162" s="275">
        <f>IF((H133-H156)&gt;0,(H133-H156)*H134*H139,0)</f>
        <v>676088.63637151814</v>
      </c>
    </row>
    <row r="163" spans="2:241" ht="14.25">
      <c r="B163" s="271" t="s">
        <v>382</v>
      </c>
      <c r="C163" s="561" t="s">
        <v>119</v>
      </c>
      <c r="D163" s="277" t="s">
        <v>98</v>
      </c>
      <c r="E163" s="671">
        <f>(E135-E157)*E136*E139</f>
        <v>2280144.0207870887</v>
      </c>
      <c r="F163" s="671">
        <f>(F135-F157)*F136*F139</f>
        <v>2510248.1967760972</v>
      </c>
      <c r="G163" s="671">
        <f>(G135-G157)*G136*G139</f>
        <v>2859193.5971178808</v>
      </c>
      <c r="H163" s="671">
        <f>(H135-H157)*H136*H139</f>
        <v>2163501.4277669122</v>
      </c>
    </row>
    <row r="164" spans="2:241" ht="14.25">
      <c r="B164" s="272" t="s">
        <v>370</v>
      </c>
      <c r="C164" s="582" t="s">
        <v>121</v>
      </c>
      <c r="D164" s="279" t="s">
        <v>98</v>
      </c>
      <c r="E164" s="279">
        <f>(E138-E158)*E137*E139</f>
        <v>0</v>
      </c>
      <c r="F164" s="279">
        <f>IF((F160-F162-F163)&lt;F137*F138*F139,(F160-F162-F163),F137*F138*F139)</f>
        <v>0</v>
      </c>
      <c r="G164" s="279">
        <f>IF((G160-G162-G163)&lt;G137*G138*G139,(G160-G162-G163),G137*G138*G139)</f>
        <v>0</v>
      </c>
      <c r="H164" s="279">
        <f>IF((H160-H162-H163)&lt;H137*H138*H139,(H160-H162-H163),H137*H138*H139)</f>
        <v>0</v>
      </c>
    </row>
    <row r="165" spans="2:241">
      <c r="B165" s="583" t="s">
        <v>21</v>
      </c>
      <c r="C165" s="541"/>
      <c r="D165" s="542" t="s">
        <v>111</v>
      </c>
      <c r="E165" s="562">
        <f>E166+E168</f>
        <v>216516.59066395034</v>
      </c>
      <c r="F165" s="562">
        <f>F166+F168</f>
        <v>229179.50861737746</v>
      </c>
      <c r="G165" s="562">
        <f t="shared" ref="G165:H165" si="14">G166+G168</f>
        <v>249400.1548119284</v>
      </c>
      <c r="H165" s="562">
        <f t="shared" si="14"/>
        <v>176378.69893164831</v>
      </c>
      <c r="K165" s="434"/>
      <c r="M165" s="429"/>
      <c r="O165" s="434"/>
      <c r="Q165" s="429"/>
      <c r="S165" s="434"/>
      <c r="U165" s="429"/>
      <c r="W165" s="434"/>
      <c r="Y165" s="429"/>
      <c r="AA165" s="434"/>
      <c r="AC165" s="429"/>
      <c r="AE165" s="434"/>
      <c r="AG165" s="429"/>
      <c r="AI165" s="434"/>
      <c r="AK165" s="429"/>
      <c r="AM165" s="434"/>
      <c r="AO165" s="429"/>
      <c r="AQ165" s="434"/>
      <c r="AS165" s="429"/>
      <c r="AU165" s="434"/>
      <c r="AW165" s="429"/>
      <c r="AY165" s="434"/>
      <c r="BA165" s="429"/>
      <c r="BC165" s="434"/>
      <c r="BE165" s="429"/>
      <c r="BG165" s="434"/>
      <c r="BI165" s="429"/>
      <c r="BK165" s="434"/>
      <c r="BM165" s="429"/>
      <c r="BO165" s="434"/>
      <c r="BQ165" s="429"/>
      <c r="BS165" s="434"/>
      <c r="BU165" s="429"/>
      <c r="BW165" s="434"/>
      <c r="BY165" s="429"/>
      <c r="CA165" s="434"/>
      <c r="CC165" s="429"/>
      <c r="CE165" s="434"/>
      <c r="CG165" s="429"/>
      <c r="CI165" s="434"/>
      <c r="CK165" s="429"/>
      <c r="CM165" s="434"/>
      <c r="CO165" s="429"/>
      <c r="CQ165" s="434"/>
      <c r="CS165" s="429"/>
      <c r="CU165" s="434"/>
      <c r="CW165" s="429"/>
      <c r="CY165" s="434"/>
      <c r="DA165" s="429"/>
      <c r="DC165" s="434"/>
      <c r="DE165" s="429"/>
      <c r="DG165" s="434"/>
      <c r="DI165" s="429"/>
      <c r="DK165" s="434"/>
      <c r="DM165" s="429"/>
      <c r="DO165" s="434"/>
      <c r="DQ165" s="429"/>
      <c r="DS165" s="434"/>
      <c r="DU165" s="429"/>
      <c r="DW165" s="434"/>
      <c r="DY165" s="429"/>
      <c r="EA165" s="434"/>
      <c r="EC165" s="429"/>
      <c r="EE165" s="434"/>
      <c r="EG165" s="429"/>
      <c r="EI165" s="434"/>
      <c r="EK165" s="429"/>
      <c r="EM165" s="434"/>
      <c r="EO165" s="429"/>
      <c r="EQ165" s="434"/>
      <c r="ES165" s="429"/>
      <c r="EU165" s="434"/>
      <c r="EW165" s="429"/>
      <c r="EY165" s="434"/>
      <c r="FA165" s="429"/>
      <c r="FC165" s="434"/>
      <c r="FE165" s="429"/>
      <c r="FG165" s="434"/>
      <c r="FI165" s="429"/>
      <c r="FK165" s="434"/>
      <c r="FM165" s="429"/>
      <c r="FO165" s="434"/>
      <c r="FQ165" s="429"/>
      <c r="FS165" s="434"/>
      <c r="FU165" s="429"/>
      <c r="FW165" s="434"/>
      <c r="FY165" s="429"/>
      <c r="GA165" s="434"/>
      <c r="GC165" s="429"/>
      <c r="GE165" s="434"/>
      <c r="GG165" s="429"/>
      <c r="GI165" s="434"/>
      <c r="GK165" s="429"/>
      <c r="GM165" s="434"/>
      <c r="GO165" s="429"/>
      <c r="GQ165" s="434"/>
      <c r="GS165" s="429"/>
      <c r="GU165" s="434"/>
      <c r="GW165" s="429"/>
      <c r="GY165" s="434"/>
      <c r="HA165" s="429"/>
      <c r="HC165" s="434"/>
      <c r="HE165" s="429"/>
      <c r="HG165" s="434"/>
      <c r="HI165" s="429"/>
      <c r="HK165" s="434"/>
      <c r="HM165" s="429"/>
      <c r="HO165" s="434"/>
      <c r="HQ165" s="429"/>
      <c r="HS165" s="434"/>
      <c r="HU165" s="429"/>
      <c r="HW165" s="434"/>
      <c r="HY165" s="429"/>
      <c r="IA165" s="434"/>
      <c r="IC165" s="429"/>
      <c r="IE165" s="434"/>
      <c r="IG165" s="429"/>
    </row>
    <row r="166" spans="2:241" ht="15.75">
      <c r="B166" s="270" t="s">
        <v>381</v>
      </c>
      <c r="C166" s="581" t="s">
        <v>614</v>
      </c>
      <c r="D166" s="275" t="s">
        <v>105</v>
      </c>
      <c r="E166" s="275">
        <f>E162/(E134*E139)</f>
        <v>78430.224788080697</v>
      </c>
      <c r="F166" s="275">
        <f>F162/(F134*F139)</f>
        <v>74239.003276762873</v>
      </c>
      <c r="G166" s="275">
        <f>G162/(G134*G139)</f>
        <v>73138.637350620163</v>
      </c>
      <c r="H166" s="275">
        <f>H162/(H134*H139)</f>
        <v>42740.24577022771</v>
      </c>
      <c r="I166" s="727" t="s">
        <v>608</v>
      </c>
      <c r="K166" s="434"/>
      <c r="M166" s="429"/>
      <c r="O166" s="434"/>
      <c r="Q166" s="429"/>
      <c r="S166" s="434"/>
      <c r="U166" s="429"/>
      <c r="W166" s="434"/>
      <c r="Y166" s="429"/>
      <c r="AA166" s="434"/>
      <c r="AC166" s="429"/>
      <c r="AE166" s="434"/>
      <c r="AG166" s="429"/>
      <c r="AI166" s="434"/>
      <c r="AK166" s="429"/>
      <c r="AM166" s="434"/>
      <c r="AO166" s="429"/>
      <c r="AQ166" s="434"/>
      <c r="AS166" s="429"/>
      <c r="AU166" s="434"/>
      <c r="AW166" s="429"/>
      <c r="AY166" s="434"/>
      <c r="BA166" s="429"/>
      <c r="BC166" s="434"/>
      <c r="BE166" s="429"/>
      <c r="BG166" s="434"/>
      <c r="BI166" s="429"/>
      <c r="BK166" s="434"/>
      <c r="BM166" s="429"/>
      <c r="BO166" s="434"/>
      <c r="BQ166" s="429"/>
      <c r="BS166" s="434"/>
      <c r="BU166" s="429"/>
      <c r="BW166" s="434"/>
      <c r="BY166" s="429"/>
      <c r="CA166" s="434"/>
      <c r="CC166" s="429"/>
      <c r="CE166" s="434"/>
      <c r="CG166" s="429"/>
      <c r="CI166" s="434"/>
      <c r="CK166" s="429"/>
      <c r="CM166" s="434"/>
      <c r="CO166" s="429"/>
      <c r="CQ166" s="434"/>
      <c r="CS166" s="429"/>
      <c r="CU166" s="434"/>
      <c r="CW166" s="429"/>
      <c r="CY166" s="434"/>
      <c r="DA166" s="429"/>
      <c r="DC166" s="434"/>
      <c r="DE166" s="429"/>
      <c r="DG166" s="434"/>
      <c r="DI166" s="429"/>
      <c r="DK166" s="434"/>
      <c r="DM166" s="429"/>
      <c r="DO166" s="434"/>
      <c r="DQ166" s="429"/>
      <c r="DS166" s="434"/>
      <c r="DU166" s="429"/>
      <c r="DW166" s="434"/>
      <c r="DY166" s="429"/>
      <c r="EA166" s="434"/>
      <c r="EC166" s="429"/>
      <c r="EE166" s="434"/>
      <c r="EG166" s="429"/>
      <c r="EI166" s="434"/>
      <c r="EK166" s="429"/>
      <c r="EM166" s="434"/>
      <c r="EO166" s="429"/>
      <c r="EQ166" s="434"/>
      <c r="ES166" s="429"/>
      <c r="EU166" s="434"/>
      <c r="EW166" s="429"/>
      <c r="EY166" s="434"/>
      <c r="FA166" s="429"/>
      <c r="FC166" s="434"/>
      <c r="FE166" s="429"/>
      <c r="FG166" s="434"/>
      <c r="FI166" s="429"/>
      <c r="FK166" s="434"/>
      <c r="FM166" s="429"/>
      <c r="FO166" s="434"/>
      <c r="FQ166" s="429"/>
      <c r="FS166" s="434"/>
      <c r="FU166" s="429"/>
      <c r="FW166" s="434"/>
      <c r="FY166" s="429"/>
      <c r="GA166" s="434"/>
      <c r="GC166" s="429"/>
      <c r="GE166" s="434"/>
      <c r="GG166" s="429"/>
      <c r="GI166" s="434"/>
      <c r="GK166" s="429"/>
      <c r="GM166" s="434"/>
      <c r="GO166" s="429"/>
      <c r="GQ166" s="434"/>
      <c r="GS166" s="429"/>
      <c r="GU166" s="434"/>
      <c r="GW166" s="429"/>
      <c r="GY166" s="434"/>
      <c r="HA166" s="429"/>
      <c r="HC166" s="434"/>
      <c r="HE166" s="429"/>
      <c r="HG166" s="434"/>
      <c r="HI166" s="429"/>
      <c r="HK166" s="434"/>
      <c r="HM166" s="429"/>
      <c r="HO166" s="434"/>
      <c r="HQ166" s="429"/>
      <c r="HS166" s="434"/>
      <c r="HU166" s="429"/>
      <c r="HW166" s="434"/>
      <c r="HY166" s="429"/>
      <c r="IA166" s="434"/>
      <c r="IC166" s="429"/>
      <c r="IE166" s="434"/>
      <c r="IG166" s="429"/>
    </row>
    <row r="167" spans="2:241" ht="15.75">
      <c r="B167" s="271" t="s">
        <v>382</v>
      </c>
      <c r="C167" s="561" t="s">
        <v>119</v>
      </c>
      <c r="D167" s="277" t="s">
        <v>105</v>
      </c>
      <c r="E167" s="277">
        <f>E163/(E136*E139)</f>
        <v>145354.06934302067</v>
      </c>
      <c r="F167" s="277">
        <f>F163/(F136*F139)</f>
        <v>163095.26877959431</v>
      </c>
      <c r="G167" s="277">
        <f>G163/(G136*G139)</f>
        <v>185538.43943295605</v>
      </c>
      <c r="H167" s="277">
        <f>H163/(H136*H139)</f>
        <v>140672.0559593901</v>
      </c>
      <c r="I167" s="727" t="s">
        <v>608</v>
      </c>
      <c r="K167" s="434"/>
      <c r="M167" s="429"/>
      <c r="O167" s="434"/>
      <c r="Q167" s="429"/>
      <c r="S167" s="434"/>
      <c r="U167" s="429"/>
      <c r="W167" s="434"/>
      <c r="Y167" s="429"/>
      <c r="AA167" s="434"/>
      <c r="AC167" s="429"/>
      <c r="AE167" s="434"/>
      <c r="AG167" s="429"/>
      <c r="AI167" s="434"/>
      <c r="AK167" s="429"/>
      <c r="AM167" s="434"/>
      <c r="AO167" s="429"/>
      <c r="AQ167" s="434"/>
      <c r="AS167" s="429"/>
      <c r="AU167" s="434"/>
      <c r="AW167" s="429"/>
      <c r="AY167" s="434"/>
      <c r="BA167" s="429"/>
      <c r="BC167" s="434"/>
      <c r="BE167" s="429"/>
      <c r="BG167" s="434"/>
      <c r="BI167" s="429"/>
      <c r="BK167" s="434"/>
      <c r="BM167" s="429"/>
      <c r="BO167" s="434"/>
      <c r="BQ167" s="429"/>
      <c r="BS167" s="434"/>
      <c r="BU167" s="429"/>
      <c r="BW167" s="434"/>
      <c r="BY167" s="429"/>
      <c r="CA167" s="434"/>
      <c r="CC167" s="429"/>
      <c r="CE167" s="434"/>
      <c r="CG167" s="429"/>
      <c r="CI167" s="434"/>
      <c r="CK167" s="429"/>
      <c r="CM167" s="434"/>
      <c r="CO167" s="429"/>
      <c r="CQ167" s="434"/>
      <c r="CS167" s="429"/>
      <c r="CU167" s="434"/>
      <c r="CW167" s="429"/>
      <c r="CY167" s="434"/>
      <c r="DA167" s="429"/>
      <c r="DC167" s="434"/>
      <c r="DE167" s="429"/>
      <c r="DG167" s="434"/>
      <c r="DI167" s="429"/>
      <c r="DK167" s="434"/>
      <c r="DM167" s="429"/>
      <c r="DO167" s="434"/>
      <c r="DQ167" s="429"/>
      <c r="DS167" s="434"/>
      <c r="DU167" s="429"/>
      <c r="DW167" s="434"/>
      <c r="DY167" s="429"/>
      <c r="EA167" s="434"/>
      <c r="EC167" s="429"/>
      <c r="EE167" s="434"/>
      <c r="EG167" s="429"/>
      <c r="EI167" s="434"/>
      <c r="EK167" s="429"/>
      <c r="EM167" s="434"/>
      <c r="EO167" s="429"/>
      <c r="EQ167" s="434"/>
      <c r="ES167" s="429"/>
      <c r="EU167" s="434"/>
      <c r="EW167" s="429"/>
      <c r="EY167" s="434"/>
      <c r="FA167" s="429"/>
      <c r="FC167" s="434"/>
      <c r="FE167" s="429"/>
      <c r="FG167" s="434"/>
      <c r="FI167" s="429"/>
      <c r="FK167" s="434"/>
      <c r="FM167" s="429"/>
      <c r="FO167" s="434"/>
      <c r="FQ167" s="429"/>
      <c r="FS167" s="434"/>
      <c r="FU167" s="429"/>
      <c r="FW167" s="434"/>
      <c r="FY167" s="429"/>
      <c r="GA167" s="434"/>
      <c r="GC167" s="429"/>
      <c r="GE167" s="434"/>
      <c r="GG167" s="429"/>
      <c r="GI167" s="434"/>
      <c r="GK167" s="429"/>
      <c r="GM167" s="434"/>
      <c r="GO167" s="429"/>
      <c r="GQ167" s="434"/>
      <c r="GS167" s="429"/>
      <c r="GU167" s="434"/>
      <c r="GW167" s="429"/>
      <c r="GY167" s="434"/>
      <c r="HA167" s="429"/>
      <c r="HC167" s="434"/>
      <c r="HE167" s="429"/>
      <c r="HG167" s="434"/>
      <c r="HI167" s="429"/>
      <c r="HK167" s="434"/>
      <c r="HM167" s="429"/>
      <c r="HO167" s="434"/>
      <c r="HQ167" s="429"/>
      <c r="HS167" s="434"/>
      <c r="HU167" s="429"/>
      <c r="HW167" s="434"/>
      <c r="HY167" s="429"/>
      <c r="IA167" s="434"/>
      <c r="IC167" s="429"/>
      <c r="IE167" s="434"/>
      <c r="IG167" s="429"/>
    </row>
    <row r="168" spans="2:241">
      <c r="B168" s="271"/>
      <c r="C168" s="561"/>
      <c r="D168" s="277" t="s">
        <v>105</v>
      </c>
      <c r="E168" s="706">
        <f>E167*(1-0.05)</f>
        <v>138086.36587586964</v>
      </c>
      <c r="F168" s="706">
        <f>F167*(1-0.05)</f>
        <v>154940.50534061459</v>
      </c>
      <c r="G168" s="706">
        <f>G167*(1-0.05)</f>
        <v>176261.51746130825</v>
      </c>
      <c r="H168" s="706">
        <f>H167*(1-0.05)</f>
        <v>133638.45316142059</v>
      </c>
      <c r="I168" s="727" t="s">
        <v>580</v>
      </c>
      <c r="K168" s="434"/>
      <c r="M168" s="429"/>
      <c r="O168" s="434"/>
      <c r="Q168" s="429"/>
      <c r="S168" s="434"/>
      <c r="U168" s="429"/>
      <c r="W168" s="434"/>
      <c r="Y168" s="429"/>
      <c r="AA168" s="434"/>
      <c r="AC168" s="429"/>
      <c r="AE168" s="434"/>
      <c r="AG168" s="429"/>
      <c r="AI168" s="434"/>
      <c r="AK168" s="429"/>
      <c r="AM168" s="434"/>
      <c r="AO168" s="429"/>
      <c r="AQ168" s="434"/>
      <c r="AS168" s="429"/>
      <c r="AU168" s="434"/>
      <c r="AW168" s="429"/>
      <c r="AY168" s="434"/>
      <c r="BA168" s="429"/>
      <c r="BC168" s="434"/>
      <c r="BE168" s="429"/>
      <c r="BG168" s="434"/>
      <c r="BI168" s="429"/>
      <c r="BK168" s="434"/>
      <c r="BM168" s="429"/>
      <c r="BO168" s="434"/>
      <c r="BQ168" s="429"/>
      <c r="BS168" s="434"/>
      <c r="BU168" s="429"/>
      <c r="BW168" s="434"/>
      <c r="BY168" s="429"/>
      <c r="CA168" s="434"/>
      <c r="CC168" s="429"/>
      <c r="CE168" s="434"/>
      <c r="CG168" s="429"/>
      <c r="CI168" s="434"/>
      <c r="CK168" s="429"/>
      <c r="CM168" s="434"/>
      <c r="CO168" s="429"/>
      <c r="CQ168" s="434"/>
      <c r="CS168" s="429"/>
      <c r="CU168" s="434"/>
      <c r="CW168" s="429"/>
      <c r="CY168" s="434"/>
      <c r="DA168" s="429"/>
      <c r="DC168" s="434"/>
      <c r="DE168" s="429"/>
      <c r="DG168" s="434"/>
      <c r="DI168" s="429"/>
      <c r="DK168" s="434"/>
      <c r="DM168" s="429"/>
      <c r="DO168" s="434"/>
      <c r="DQ168" s="429"/>
      <c r="DS168" s="434"/>
      <c r="DU168" s="429"/>
      <c r="DW168" s="434"/>
      <c r="DY168" s="429"/>
      <c r="EA168" s="434"/>
      <c r="EC168" s="429"/>
      <c r="EE168" s="434"/>
      <c r="EG168" s="429"/>
      <c r="EI168" s="434"/>
      <c r="EK168" s="429"/>
      <c r="EM168" s="434"/>
      <c r="EO168" s="429"/>
      <c r="EQ168" s="434"/>
      <c r="ES168" s="429"/>
      <c r="EU168" s="434"/>
      <c r="EW168" s="429"/>
      <c r="EY168" s="434"/>
      <c r="FA168" s="429"/>
      <c r="FC168" s="434"/>
      <c r="FE168" s="429"/>
      <c r="FG168" s="434"/>
      <c r="FI168" s="429"/>
      <c r="FK168" s="434"/>
      <c r="FM168" s="429"/>
      <c r="FO168" s="434"/>
      <c r="FQ168" s="429"/>
      <c r="FS168" s="434"/>
      <c r="FU168" s="429"/>
      <c r="FW168" s="434"/>
      <c r="FY168" s="429"/>
      <c r="GA168" s="434"/>
      <c r="GC168" s="429"/>
      <c r="GE168" s="434"/>
      <c r="GG168" s="429"/>
      <c r="GI168" s="434"/>
      <c r="GK168" s="429"/>
      <c r="GM168" s="434"/>
      <c r="GO168" s="429"/>
      <c r="GQ168" s="434"/>
      <c r="GS168" s="429"/>
      <c r="GU168" s="434"/>
      <c r="GW168" s="429"/>
      <c r="GY168" s="434"/>
      <c r="HA168" s="429"/>
      <c r="HC168" s="434"/>
      <c r="HE168" s="429"/>
      <c r="HG168" s="434"/>
      <c r="HI168" s="429"/>
      <c r="HK168" s="434"/>
      <c r="HM168" s="429"/>
      <c r="HO168" s="434"/>
      <c r="HQ168" s="429"/>
      <c r="HS168" s="434"/>
      <c r="HU168" s="429"/>
      <c r="HW168" s="434"/>
      <c r="HY168" s="429"/>
      <c r="IA168" s="434"/>
      <c r="IC168" s="429"/>
      <c r="IE168" s="434"/>
      <c r="IG168" s="429"/>
    </row>
    <row r="169" spans="2:241" ht="15.75">
      <c r="B169" s="272" t="s">
        <v>370</v>
      </c>
      <c r="C169" s="582" t="s">
        <v>121</v>
      </c>
      <c r="D169" s="279" t="s">
        <v>105</v>
      </c>
      <c r="E169" s="279">
        <v>0</v>
      </c>
      <c r="F169" s="279">
        <v>0</v>
      </c>
      <c r="G169" s="279">
        <v>0</v>
      </c>
      <c r="H169" s="279">
        <v>0</v>
      </c>
      <c r="I169" s="727" t="s">
        <v>608</v>
      </c>
      <c r="K169" s="434"/>
      <c r="M169" s="429"/>
      <c r="O169" s="434"/>
      <c r="Q169" s="429"/>
      <c r="S169" s="434"/>
      <c r="U169" s="429"/>
      <c r="W169" s="434"/>
      <c r="Y169" s="429"/>
      <c r="AA169" s="434"/>
      <c r="AC169" s="429"/>
      <c r="AE169" s="434"/>
      <c r="AG169" s="429"/>
      <c r="AI169" s="434"/>
      <c r="AK169" s="429"/>
      <c r="AM169" s="434"/>
      <c r="AO169" s="429"/>
      <c r="AQ169" s="434"/>
      <c r="AS169" s="429"/>
      <c r="AU169" s="434"/>
      <c r="AW169" s="429"/>
      <c r="AY169" s="434"/>
      <c r="BA169" s="429"/>
      <c r="BC169" s="434"/>
      <c r="BE169" s="429"/>
      <c r="BG169" s="434"/>
      <c r="BI169" s="429"/>
      <c r="BK169" s="434"/>
      <c r="BM169" s="429"/>
      <c r="BO169" s="434"/>
      <c r="BQ169" s="429"/>
      <c r="BS169" s="434"/>
      <c r="BU169" s="429"/>
      <c r="BW169" s="434"/>
      <c r="BY169" s="429"/>
      <c r="CA169" s="434"/>
      <c r="CC169" s="429"/>
      <c r="CE169" s="434"/>
      <c r="CG169" s="429"/>
      <c r="CI169" s="434"/>
      <c r="CK169" s="429"/>
      <c r="CM169" s="434"/>
      <c r="CO169" s="429"/>
      <c r="CQ169" s="434"/>
      <c r="CS169" s="429"/>
      <c r="CU169" s="434"/>
      <c r="CW169" s="429"/>
      <c r="CY169" s="434"/>
      <c r="DA169" s="429"/>
      <c r="DC169" s="434"/>
      <c r="DE169" s="429"/>
      <c r="DG169" s="434"/>
      <c r="DI169" s="429"/>
      <c r="DK169" s="434"/>
      <c r="DM169" s="429"/>
      <c r="DO169" s="434"/>
      <c r="DQ169" s="429"/>
      <c r="DS169" s="434"/>
      <c r="DU169" s="429"/>
      <c r="DW169" s="434"/>
      <c r="DY169" s="429"/>
      <c r="EA169" s="434"/>
      <c r="EC169" s="429"/>
      <c r="EE169" s="434"/>
      <c r="EG169" s="429"/>
      <c r="EI169" s="434"/>
      <c r="EK169" s="429"/>
      <c r="EM169" s="434"/>
      <c r="EO169" s="429"/>
      <c r="EQ169" s="434"/>
      <c r="ES169" s="429"/>
      <c r="EU169" s="434"/>
      <c r="EW169" s="429"/>
      <c r="EY169" s="434"/>
      <c r="FA169" s="429"/>
      <c r="FC169" s="434"/>
      <c r="FE169" s="429"/>
      <c r="FG169" s="434"/>
      <c r="FI169" s="429"/>
      <c r="FK169" s="434"/>
      <c r="FM169" s="429"/>
      <c r="FO169" s="434"/>
      <c r="FQ169" s="429"/>
      <c r="FS169" s="434"/>
      <c r="FU169" s="429"/>
      <c r="FW169" s="434"/>
      <c r="FY169" s="429"/>
      <c r="GA169" s="434"/>
      <c r="GC169" s="429"/>
      <c r="GE169" s="434"/>
      <c r="GG169" s="429"/>
      <c r="GI169" s="434"/>
      <c r="GK169" s="429"/>
      <c r="GM169" s="434"/>
      <c r="GO169" s="429"/>
      <c r="GQ169" s="434"/>
      <c r="GS169" s="429"/>
      <c r="GU169" s="434"/>
      <c r="GW169" s="429"/>
      <c r="GY169" s="434"/>
      <c r="HA169" s="429"/>
      <c r="HC169" s="434"/>
      <c r="HE169" s="429"/>
      <c r="HG169" s="434"/>
      <c r="HI169" s="429"/>
      <c r="HK169" s="434"/>
      <c r="HM169" s="429"/>
      <c r="HO169" s="434"/>
      <c r="HQ169" s="429"/>
      <c r="HS169" s="434"/>
      <c r="HU169" s="429"/>
      <c r="HW169" s="434"/>
      <c r="HY169" s="429"/>
      <c r="IA169" s="434"/>
      <c r="IC169" s="429"/>
      <c r="IE169" s="434"/>
      <c r="IG169" s="429"/>
    </row>
    <row r="170" spans="2:241" ht="14.25">
      <c r="B170" s="584"/>
      <c r="D170" s="546"/>
      <c r="E170" s="546"/>
      <c r="F170" s="546"/>
      <c r="H170" s="546"/>
      <c r="I170" s="429"/>
      <c r="K170" s="434"/>
      <c r="M170" s="429"/>
      <c r="O170" s="434"/>
      <c r="Q170" s="429"/>
      <c r="S170" s="434"/>
      <c r="U170" s="429"/>
      <c r="W170" s="434"/>
      <c r="Y170" s="429"/>
      <c r="AA170" s="434"/>
      <c r="AC170" s="429"/>
      <c r="AE170" s="434"/>
      <c r="AG170" s="429"/>
      <c r="AI170" s="434"/>
      <c r="AK170" s="429"/>
      <c r="AM170" s="434"/>
      <c r="AO170" s="429"/>
      <c r="AQ170" s="434"/>
      <c r="AS170" s="429"/>
      <c r="AU170" s="434"/>
      <c r="AW170" s="429"/>
      <c r="AY170" s="434"/>
      <c r="BA170" s="429"/>
      <c r="BC170" s="434"/>
      <c r="BE170" s="429"/>
      <c r="BG170" s="434"/>
      <c r="BI170" s="429"/>
      <c r="BK170" s="434"/>
      <c r="BM170" s="429"/>
      <c r="BO170" s="434"/>
      <c r="BQ170" s="429"/>
      <c r="BS170" s="434"/>
      <c r="BU170" s="429"/>
      <c r="BW170" s="434"/>
      <c r="BY170" s="429"/>
      <c r="CA170" s="434"/>
      <c r="CC170" s="429"/>
      <c r="CE170" s="434"/>
      <c r="CG170" s="429"/>
      <c r="CI170" s="434"/>
      <c r="CK170" s="429"/>
      <c r="CM170" s="434"/>
      <c r="CO170" s="429"/>
      <c r="CQ170" s="434"/>
      <c r="CS170" s="429"/>
      <c r="CU170" s="434"/>
      <c r="CW170" s="429"/>
      <c r="CY170" s="434"/>
      <c r="DA170" s="429"/>
      <c r="DC170" s="434"/>
      <c r="DE170" s="429"/>
      <c r="DG170" s="434"/>
      <c r="DI170" s="429"/>
      <c r="DK170" s="434"/>
      <c r="DM170" s="429"/>
      <c r="DO170" s="434"/>
      <c r="DQ170" s="429"/>
      <c r="DS170" s="434"/>
      <c r="DU170" s="429"/>
      <c r="DW170" s="434"/>
      <c r="DY170" s="429"/>
      <c r="EA170" s="434"/>
      <c r="EC170" s="429"/>
      <c r="EE170" s="434"/>
      <c r="EG170" s="429"/>
      <c r="EI170" s="434"/>
      <c r="EK170" s="429"/>
      <c r="EM170" s="434"/>
      <c r="EO170" s="429"/>
      <c r="EQ170" s="434"/>
      <c r="ES170" s="429"/>
      <c r="EU170" s="434"/>
      <c r="EW170" s="429"/>
      <c r="EY170" s="434"/>
      <c r="FA170" s="429"/>
      <c r="FC170" s="434"/>
      <c r="FE170" s="429"/>
      <c r="FG170" s="434"/>
      <c r="FI170" s="429"/>
      <c r="FK170" s="434"/>
      <c r="FM170" s="429"/>
      <c r="FO170" s="434"/>
      <c r="FQ170" s="429"/>
      <c r="FS170" s="434"/>
      <c r="FU170" s="429"/>
      <c r="FW170" s="434"/>
      <c r="FY170" s="429"/>
      <c r="GA170" s="434"/>
      <c r="GC170" s="429"/>
      <c r="GE170" s="434"/>
      <c r="GG170" s="429"/>
      <c r="GI170" s="434"/>
      <c r="GK170" s="429"/>
      <c r="GM170" s="434"/>
      <c r="GO170" s="429"/>
      <c r="GQ170" s="434"/>
      <c r="GS170" s="429"/>
      <c r="GU170" s="434"/>
      <c r="GW170" s="429"/>
      <c r="GY170" s="434"/>
      <c r="HA170" s="429"/>
      <c r="HC170" s="434"/>
      <c r="HE170" s="429"/>
      <c r="HG170" s="434"/>
      <c r="HI170" s="429"/>
      <c r="HK170" s="434"/>
      <c r="HM170" s="429"/>
      <c r="HO170" s="434"/>
      <c r="HQ170" s="429"/>
      <c r="HS170" s="434"/>
      <c r="HU170" s="429"/>
      <c r="HW170" s="434"/>
      <c r="HY170" s="429"/>
      <c r="IA170" s="434"/>
      <c r="IC170" s="429"/>
      <c r="IE170" s="434"/>
      <c r="IG170" s="429"/>
    </row>
    <row r="171" spans="2:241" ht="14.25">
      <c r="B171" s="551" t="s">
        <v>383</v>
      </c>
      <c r="C171" s="552" t="s">
        <v>384</v>
      </c>
      <c r="D171" s="553" t="s">
        <v>385</v>
      </c>
      <c r="E171" s="542">
        <f>(E166*E46/1000)+(E167*E46/1000)+(E169*E58/1000)</f>
        <v>89208.492885269603</v>
      </c>
      <c r="F171" s="542">
        <f>(F166*F46/1000)+(F167*F47/1000)+(F169*F58/1000)</f>
        <v>91735.336589726212</v>
      </c>
      <c r="G171" s="542">
        <f>(G166*G46/1000)+(G167*G47/1000)+(G169*G58/1000)</f>
        <v>100139.59020362906</v>
      </c>
      <c r="H171" s="542">
        <f>(H166*H46/1000)+(H167*H47/1000)+(H169*H58/1000)</f>
        <v>71375.428066666238</v>
      </c>
      <c r="I171" s="429"/>
      <c r="K171" s="434"/>
      <c r="M171" s="429"/>
      <c r="O171" s="434"/>
      <c r="Q171" s="429"/>
      <c r="S171" s="434"/>
      <c r="U171" s="429"/>
      <c r="W171" s="434"/>
      <c r="Y171" s="429"/>
      <c r="AA171" s="434"/>
      <c r="AC171" s="429"/>
      <c r="AE171" s="434"/>
      <c r="AG171" s="429"/>
      <c r="AI171" s="434"/>
      <c r="AK171" s="429"/>
      <c r="AM171" s="434"/>
      <c r="AO171" s="429"/>
      <c r="AQ171" s="434"/>
      <c r="AS171" s="429"/>
      <c r="AU171" s="434"/>
      <c r="AW171" s="429"/>
      <c r="AY171" s="434"/>
      <c r="BA171" s="429"/>
      <c r="BC171" s="434"/>
      <c r="BE171" s="429"/>
      <c r="BG171" s="434"/>
      <c r="BI171" s="429"/>
      <c r="BK171" s="434"/>
      <c r="BM171" s="429"/>
      <c r="BO171" s="434"/>
      <c r="BQ171" s="429"/>
      <c r="BS171" s="434"/>
      <c r="BU171" s="429"/>
      <c r="BW171" s="434"/>
      <c r="BY171" s="429"/>
      <c r="CA171" s="434"/>
      <c r="CC171" s="429"/>
      <c r="CE171" s="434"/>
      <c r="CG171" s="429"/>
      <c r="CI171" s="434"/>
      <c r="CK171" s="429"/>
      <c r="CM171" s="434"/>
      <c r="CO171" s="429"/>
      <c r="CQ171" s="434"/>
      <c r="CS171" s="429"/>
      <c r="CU171" s="434"/>
      <c r="CW171" s="429"/>
      <c r="CY171" s="434"/>
      <c r="DA171" s="429"/>
      <c r="DC171" s="434"/>
      <c r="DE171" s="429"/>
      <c r="DG171" s="434"/>
      <c r="DI171" s="429"/>
      <c r="DK171" s="434"/>
      <c r="DM171" s="429"/>
      <c r="DO171" s="434"/>
      <c r="DQ171" s="429"/>
      <c r="DS171" s="434"/>
      <c r="DU171" s="429"/>
      <c r="DW171" s="434"/>
      <c r="DY171" s="429"/>
      <c r="EA171" s="434"/>
      <c r="EC171" s="429"/>
      <c r="EE171" s="434"/>
      <c r="EG171" s="429"/>
      <c r="EI171" s="434"/>
      <c r="EK171" s="429"/>
      <c r="EM171" s="434"/>
      <c r="EO171" s="429"/>
      <c r="EQ171" s="434"/>
      <c r="ES171" s="429"/>
      <c r="EU171" s="434"/>
      <c r="EW171" s="429"/>
      <c r="EY171" s="434"/>
      <c r="FA171" s="429"/>
      <c r="FC171" s="434"/>
      <c r="FE171" s="429"/>
      <c r="FG171" s="434"/>
      <c r="FI171" s="429"/>
      <c r="FK171" s="434"/>
      <c r="FM171" s="429"/>
      <c r="FO171" s="434"/>
      <c r="FQ171" s="429"/>
      <c r="FS171" s="434"/>
      <c r="FU171" s="429"/>
      <c r="FW171" s="434"/>
      <c r="FY171" s="429"/>
      <c r="GA171" s="434"/>
      <c r="GC171" s="429"/>
      <c r="GE171" s="434"/>
      <c r="GG171" s="429"/>
      <c r="GI171" s="434"/>
      <c r="GK171" s="429"/>
      <c r="GM171" s="434"/>
      <c r="GO171" s="429"/>
      <c r="GQ171" s="434"/>
      <c r="GS171" s="429"/>
      <c r="GU171" s="434"/>
      <c r="GW171" s="429"/>
      <c r="GY171" s="434"/>
      <c r="HA171" s="429"/>
      <c r="HC171" s="434"/>
      <c r="HE171" s="429"/>
      <c r="HG171" s="434"/>
      <c r="HI171" s="429"/>
      <c r="HK171" s="434"/>
      <c r="HM171" s="429"/>
      <c r="HO171" s="434"/>
      <c r="HQ171" s="429"/>
      <c r="HS171" s="434"/>
      <c r="HU171" s="429"/>
      <c r="HW171" s="434"/>
      <c r="HY171" s="429"/>
      <c r="IA171" s="434"/>
      <c r="IC171" s="429"/>
      <c r="IE171" s="434"/>
      <c r="IG171" s="429"/>
    </row>
    <row r="172" spans="2:241">
      <c r="B172" s="434"/>
      <c r="D172" s="429"/>
      <c r="E172" s="680">
        <f>(E168+E166)*E47/1000</f>
        <v>85372.764025619661</v>
      </c>
      <c r="F172" s="680">
        <f>F168*F47/1000</f>
        <v>59942.292293585648</v>
      </c>
      <c r="G172" s="680">
        <f>G168*G47/1000</f>
        <v>68274.770017761519</v>
      </c>
      <c r="H172" s="680">
        <f>H168*H47/1000</f>
        <v>51662.315753218507</v>
      </c>
      <c r="I172" s="187" t="s">
        <v>583</v>
      </c>
      <c r="K172" s="434"/>
      <c r="M172" s="429"/>
      <c r="O172" s="434"/>
      <c r="Q172" s="429"/>
      <c r="S172" s="434"/>
      <c r="U172" s="429"/>
      <c r="W172" s="434"/>
      <c r="Y172" s="429"/>
      <c r="AA172" s="434"/>
      <c r="AC172" s="429"/>
      <c r="AE172" s="434"/>
      <c r="AG172" s="429"/>
      <c r="AI172" s="434"/>
      <c r="AK172" s="429"/>
      <c r="AM172" s="434"/>
      <c r="AO172" s="429"/>
      <c r="AQ172" s="434"/>
      <c r="AS172" s="429"/>
      <c r="AU172" s="434"/>
      <c r="AW172" s="429"/>
      <c r="AY172" s="434"/>
      <c r="BA172" s="429"/>
      <c r="BC172" s="434"/>
      <c r="BE172" s="429"/>
      <c r="BG172" s="434"/>
      <c r="BI172" s="429"/>
      <c r="BK172" s="434"/>
      <c r="BM172" s="429"/>
      <c r="BO172" s="434"/>
      <c r="BQ172" s="429"/>
      <c r="BS172" s="434"/>
      <c r="BU172" s="429"/>
      <c r="BW172" s="434"/>
      <c r="BY172" s="429"/>
      <c r="CA172" s="434"/>
      <c r="CC172" s="429"/>
      <c r="CE172" s="434"/>
      <c r="CG172" s="429"/>
      <c r="CI172" s="434"/>
      <c r="CK172" s="429"/>
      <c r="CM172" s="434"/>
      <c r="CO172" s="429"/>
      <c r="CQ172" s="434"/>
      <c r="CS172" s="429"/>
      <c r="CU172" s="434"/>
      <c r="CW172" s="429"/>
      <c r="CY172" s="434"/>
      <c r="DA172" s="429"/>
      <c r="DC172" s="434"/>
      <c r="DE172" s="429"/>
      <c r="DG172" s="434"/>
      <c r="DI172" s="429"/>
      <c r="DK172" s="434"/>
      <c r="DM172" s="429"/>
      <c r="DO172" s="434"/>
      <c r="DQ172" s="429"/>
      <c r="DS172" s="434"/>
      <c r="DU172" s="429"/>
      <c r="DW172" s="434"/>
      <c r="DY172" s="429"/>
      <c r="EA172" s="434"/>
      <c r="EC172" s="429"/>
      <c r="EE172" s="434"/>
      <c r="EG172" s="429"/>
      <c r="EI172" s="434"/>
      <c r="EK172" s="429"/>
      <c r="EM172" s="434"/>
      <c r="EO172" s="429"/>
      <c r="EQ172" s="434"/>
      <c r="ES172" s="429"/>
      <c r="EU172" s="434"/>
      <c r="EW172" s="429"/>
      <c r="EY172" s="434"/>
      <c r="FA172" s="429"/>
      <c r="FC172" s="434"/>
      <c r="FE172" s="429"/>
      <c r="FG172" s="434"/>
      <c r="FI172" s="429"/>
      <c r="FK172" s="434"/>
      <c r="FM172" s="429"/>
      <c r="FO172" s="434"/>
      <c r="FQ172" s="429"/>
      <c r="FS172" s="434"/>
      <c r="FU172" s="429"/>
      <c r="FW172" s="434"/>
      <c r="FY172" s="429"/>
      <c r="GA172" s="434"/>
      <c r="GC172" s="429"/>
      <c r="GE172" s="434"/>
      <c r="GG172" s="429"/>
      <c r="GI172" s="434"/>
      <c r="GK172" s="429"/>
      <c r="GM172" s="434"/>
      <c r="GO172" s="429"/>
      <c r="GQ172" s="434"/>
      <c r="GS172" s="429"/>
      <c r="GU172" s="434"/>
      <c r="GW172" s="429"/>
      <c r="GY172" s="434"/>
      <c r="HA172" s="429"/>
      <c r="HC172" s="434"/>
      <c r="HE172" s="429"/>
      <c r="HG172" s="434"/>
      <c r="HI172" s="429"/>
      <c r="HK172" s="434"/>
      <c r="HM172" s="429"/>
      <c r="HO172" s="434"/>
      <c r="HQ172" s="429"/>
      <c r="HS172" s="434"/>
      <c r="HU172" s="429"/>
      <c r="HW172" s="434"/>
      <c r="HY172" s="429"/>
      <c r="IA172" s="434"/>
      <c r="IC172" s="429"/>
      <c r="IE172" s="434"/>
      <c r="IG172" s="429"/>
    </row>
    <row r="173" spans="2:241">
      <c r="B173" s="434"/>
      <c r="D173" s="429"/>
      <c r="E173" s="187"/>
      <c r="F173" s="187"/>
      <c r="G173" s="187"/>
      <c r="H173" s="187"/>
      <c r="I173" s="429"/>
      <c r="K173" s="434"/>
      <c r="M173" s="429"/>
      <c r="O173" s="434"/>
      <c r="Q173" s="429"/>
      <c r="S173" s="434"/>
      <c r="U173" s="429"/>
      <c r="W173" s="434"/>
      <c r="Y173" s="429"/>
      <c r="AA173" s="434"/>
      <c r="AC173" s="429"/>
      <c r="AE173" s="434"/>
      <c r="AG173" s="429"/>
      <c r="AI173" s="434"/>
      <c r="AK173" s="429"/>
      <c r="AM173" s="434"/>
      <c r="AO173" s="429"/>
      <c r="AQ173" s="434"/>
      <c r="AS173" s="429"/>
      <c r="AU173" s="434"/>
      <c r="AW173" s="429"/>
      <c r="AY173" s="434"/>
      <c r="BA173" s="429"/>
      <c r="BC173" s="434"/>
      <c r="BE173" s="429"/>
      <c r="BG173" s="434"/>
      <c r="BI173" s="429"/>
      <c r="BK173" s="434"/>
      <c r="BM173" s="429"/>
      <c r="BO173" s="434"/>
      <c r="BQ173" s="429"/>
      <c r="BS173" s="434"/>
      <c r="BU173" s="429"/>
      <c r="BW173" s="434"/>
      <c r="BY173" s="429"/>
      <c r="CA173" s="434"/>
      <c r="CC173" s="429"/>
      <c r="CE173" s="434"/>
      <c r="CG173" s="429"/>
      <c r="CI173" s="434"/>
      <c r="CK173" s="429"/>
      <c r="CM173" s="434"/>
      <c r="CO173" s="429"/>
      <c r="CQ173" s="434"/>
      <c r="CS173" s="429"/>
      <c r="CU173" s="434"/>
      <c r="CW173" s="429"/>
      <c r="CY173" s="434"/>
      <c r="DA173" s="429"/>
      <c r="DC173" s="434"/>
      <c r="DE173" s="429"/>
      <c r="DG173" s="434"/>
      <c r="DI173" s="429"/>
      <c r="DK173" s="434"/>
      <c r="DM173" s="429"/>
      <c r="DO173" s="434"/>
      <c r="DQ173" s="429"/>
      <c r="DS173" s="434"/>
      <c r="DU173" s="429"/>
      <c r="DW173" s="434"/>
      <c r="DY173" s="429"/>
      <c r="EA173" s="434"/>
      <c r="EC173" s="429"/>
      <c r="EE173" s="434"/>
      <c r="EG173" s="429"/>
      <c r="EI173" s="434"/>
      <c r="EK173" s="429"/>
      <c r="EM173" s="434"/>
      <c r="EO173" s="429"/>
      <c r="EQ173" s="434"/>
      <c r="ES173" s="429"/>
      <c r="EU173" s="434"/>
      <c r="EW173" s="429"/>
      <c r="EY173" s="434"/>
      <c r="FA173" s="429"/>
      <c r="FC173" s="434"/>
      <c r="FE173" s="429"/>
      <c r="FG173" s="434"/>
      <c r="FI173" s="429"/>
      <c r="FK173" s="434"/>
      <c r="FM173" s="429"/>
      <c r="FO173" s="434"/>
      <c r="FQ173" s="429"/>
      <c r="FS173" s="434"/>
      <c r="FU173" s="429"/>
      <c r="FW173" s="434"/>
      <c r="FY173" s="429"/>
      <c r="GA173" s="434"/>
      <c r="GC173" s="429"/>
      <c r="GE173" s="434"/>
      <c r="GG173" s="429"/>
      <c r="GI173" s="434"/>
      <c r="GK173" s="429"/>
      <c r="GM173" s="434"/>
      <c r="GO173" s="429"/>
      <c r="GQ173" s="434"/>
      <c r="GS173" s="429"/>
      <c r="GU173" s="434"/>
      <c r="GW173" s="429"/>
      <c r="GY173" s="434"/>
      <c r="HA173" s="429"/>
      <c r="HC173" s="434"/>
      <c r="HE173" s="429"/>
      <c r="HG173" s="434"/>
      <c r="HI173" s="429"/>
      <c r="HK173" s="434"/>
      <c r="HM173" s="429"/>
      <c r="HO173" s="434"/>
      <c r="HQ173" s="429"/>
      <c r="HS173" s="434"/>
      <c r="HU173" s="429"/>
      <c r="HW173" s="434"/>
      <c r="HY173" s="429"/>
      <c r="IA173" s="434"/>
      <c r="IC173" s="429"/>
      <c r="IE173" s="434"/>
      <c r="IG173" s="429"/>
    </row>
    <row r="174" spans="2:241">
      <c r="B174" s="512" t="s">
        <v>386</v>
      </c>
      <c r="E174" s="437">
        <v>2020</v>
      </c>
      <c r="F174" s="437">
        <v>2019</v>
      </c>
      <c r="G174" s="437">
        <v>2018</v>
      </c>
      <c r="H174" s="437">
        <v>2017</v>
      </c>
    </row>
    <row r="175" spans="2:241">
      <c r="B175" s="585" t="s">
        <v>387</v>
      </c>
      <c r="C175" s="541"/>
      <c r="D175" s="566"/>
      <c r="E175" s="542" t="s">
        <v>388</v>
      </c>
      <c r="F175" s="542" t="s">
        <v>388</v>
      </c>
      <c r="G175" s="542" t="s">
        <v>388</v>
      </c>
      <c r="H175" s="542" t="s">
        <v>388</v>
      </c>
    </row>
    <row r="176" spans="2:241" ht="14.25">
      <c r="B176" s="493" t="s">
        <v>91</v>
      </c>
      <c r="C176" s="438" t="s">
        <v>389</v>
      </c>
      <c r="D176" s="444" t="s">
        <v>390</v>
      </c>
      <c r="E176" s="586">
        <f>E113</f>
        <v>147433.79002882421</v>
      </c>
      <c r="F176" s="586">
        <f>F113</f>
        <v>138272.08397396174</v>
      </c>
      <c r="G176" s="586">
        <f>G113</f>
        <v>145100.67140760223</v>
      </c>
      <c r="H176" s="586">
        <f>H113</f>
        <v>157942.50153137735</v>
      </c>
    </row>
    <row r="177" spans="2:9" ht="14.25">
      <c r="B177" s="493" t="s">
        <v>149</v>
      </c>
      <c r="C177" s="440" t="s">
        <v>391</v>
      </c>
      <c r="D177" s="445" t="s">
        <v>390</v>
      </c>
      <c r="E177" s="279">
        <f>E171</f>
        <v>89208.492885269603</v>
      </c>
      <c r="F177" s="587">
        <f t="shared" ref="E177:G178" si="15">F171</f>
        <v>91735.336589726212</v>
      </c>
      <c r="G177" s="587">
        <f t="shared" si="15"/>
        <v>100139.59020362906</v>
      </c>
      <c r="H177" s="587">
        <f>H171</f>
        <v>71375.428066666238</v>
      </c>
    </row>
    <row r="178" spans="2:9">
      <c r="B178" s="493"/>
      <c r="C178" s="440"/>
      <c r="D178" s="650"/>
      <c r="E178" s="681">
        <f t="shared" si="15"/>
        <v>85372.764025619661</v>
      </c>
      <c r="F178" s="681">
        <f t="shared" si="15"/>
        <v>59942.292293585648</v>
      </c>
      <c r="G178" s="681">
        <f>G172</f>
        <v>68274.770017761519</v>
      </c>
      <c r="H178" s="681">
        <f>H172</f>
        <v>51662.315753218507</v>
      </c>
      <c r="I178" s="187" t="s">
        <v>583</v>
      </c>
    </row>
    <row r="179" spans="2:9" ht="14.25">
      <c r="B179" s="551" t="s">
        <v>151</v>
      </c>
      <c r="C179" s="541"/>
      <c r="D179" s="542" t="s">
        <v>392</v>
      </c>
      <c r="E179" s="736">
        <f>E176+E178</f>
        <v>232806.55405444387</v>
      </c>
      <c r="F179" s="736">
        <f>F176+F178</f>
        <v>198214.37626754737</v>
      </c>
      <c r="G179" s="736">
        <f>G176+G178</f>
        <v>213375.44142536377</v>
      </c>
      <c r="H179" s="736">
        <f>H176+H178</f>
        <v>209604.81728459586</v>
      </c>
    </row>
    <row r="182" spans="2:9" ht="14.25">
      <c r="B182" s="435" t="s">
        <v>393</v>
      </c>
      <c r="C182" s="428"/>
    </row>
    <row r="184" spans="2:9" ht="14.25">
      <c r="B184" s="588" t="s">
        <v>394</v>
      </c>
      <c r="C184" s="484"/>
      <c r="D184" s="456"/>
      <c r="E184" s="589"/>
      <c r="F184" s="589"/>
      <c r="G184" s="589"/>
      <c r="H184" s="589"/>
    </row>
    <row r="185" spans="2:9">
      <c r="B185" s="487"/>
      <c r="C185" s="484"/>
      <c r="D185" s="456"/>
      <c r="E185" s="589"/>
      <c r="F185" s="589"/>
      <c r="G185" s="589"/>
      <c r="H185" s="589"/>
    </row>
    <row r="186" spans="2:9">
      <c r="B186" s="590" t="s">
        <v>395</v>
      </c>
      <c r="C186" s="484"/>
      <c r="D186" s="456"/>
      <c r="E186" s="487"/>
      <c r="F186" s="487"/>
      <c r="G186" s="487"/>
      <c r="H186" s="487"/>
    </row>
    <row r="187" spans="2:9">
      <c r="B187" s="449"/>
      <c r="C187" s="464"/>
      <c r="D187" s="591"/>
      <c r="E187" s="437">
        <v>2020</v>
      </c>
      <c r="F187" s="437">
        <v>2019</v>
      </c>
      <c r="G187" s="437">
        <v>2018</v>
      </c>
      <c r="H187" s="437">
        <v>2017</v>
      </c>
    </row>
    <row r="188" spans="2:9">
      <c r="B188" s="449" t="s">
        <v>27</v>
      </c>
      <c r="C188" s="592"/>
      <c r="D188" s="593" t="s">
        <v>396</v>
      </c>
      <c r="E188" s="619">
        <f>'2020 Data'!Q85*E75/1000</f>
        <v>28.127830959109136</v>
      </c>
      <c r="F188" s="619">
        <f>'2019 Data'!Q84*F75/1000</f>
        <v>39.96574597546153</v>
      </c>
      <c r="G188" s="619">
        <f>'2018 Data'!Q80*G75/1000</f>
        <v>26.220921026341085</v>
      </c>
      <c r="H188" s="619">
        <f>'2017 Data '!Q80*H75/1000</f>
        <v>72.34142511860901</v>
      </c>
    </row>
    <row r="189" spans="2:9">
      <c r="B189" s="476" t="s">
        <v>397</v>
      </c>
      <c r="C189" s="476"/>
      <c r="D189" s="506" t="s">
        <v>396</v>
      </c>
      <c r="E189" s="594">
        <v>0</v>
      </c>
      <c r="F189" s="594">
        <v>0</v>
      </c>
      <c r="G189" s="594">
        <v>0</v>
      </c>
      <c r="H189" s="594">
        <v>0</v>
      </c>
    </row>
    <row r="190" spans="2:9">
      <c r="B190" s="547" t="s">
        <v>319</v>
      </c>
      <c r="C190" s="476"/>
      <c r="D190" s="506" t="s">
        <v>396</v>
      </c>
      <c r="E190" s="594">
        <v>0</v>
      </c>
      <c r="F190" s="594">
        <v>0</v>
      </c>
      <c r="G190" s="594">
        <v>0</v>
      </c>
      <c r="H190" s="594">
        <v>0</v>
      </c>
    </row>
    <row r="191" spans="2:9">
      <c r="B191" s="547" t="s">
        <v>398</v>
      </c>
      <c r="C191" s="476"/>
      <c r="D191" s="506" t="s">
        <v>396</v>
      </c>
      <c r="E191" s="657">
        <f>'2020 Data'!Q87*E95/1000</f>
        <v>2.9467251480971478E-2</v>
      </c>
      <c r="F191" s="657">
        <f>'2019 Data'!Q86*F95/1000</f>
        <v>4.1868876736197803E-2</v>
      </c>
      <c r="G191" s="657">
        <f>'2018 Data'!Q82*G95/1000</f>
        <v>2.7469536313309714E-2</v>
      </c>
      <c r="H191" s="658">
        <f>'2017 Data '!Q82*H95/1000</f>
        <v>7.5786254886161822E-2</v>
      </c>
      <c r="I191" s="187" t="s">
        <v>581</v>
      </c>
    </row>
    <row r="192" spans="2:9" ht="14.25">
      <c r="B192" s="478" t="s">
        <v>190</v>
      </c>
      <c r="C192" s="479"/>
      <c r="D192" s="542" t="s">
        <v>392</v>
      </c>
      <c r="E192" s="595">
        <f>(E188+E189)*E76+E190*E86+E191*E96</f>
        <v>91.202500595209926</v>
      </c>
      <c r="F192" s="595">
        <f>(F188+F189)*F76+F190*F86+F191*F96</f>
        <v>129.58610197899463</v>
      </c>
      <c r="G192" s="595">
        <f>(G188+G189)*G76+G190*G86+G191*G96</f>
        <v>85.019480136536131</v>
      </c>
      <c r="H192" s="595">
        <f>(H188+H189)*H76+H190*H86+H191*H96</f>
        <v>234.56194958757087</v>
      </c>
    </row>
    <row r="193" spans="2:8">
      <c r="B193" s="483"/>
      <c r="C193" s="484"/>
      <c r="D193" s="485"/>
      <c r="E193" s="485"/>
      <c r="F193" s="485"/>
      <c r="G193" s="485"/>
      <c r="H193" s="485"/>
    </row>
    <row r="194" spans="2:8">
      <c r="B194" s="590" t="s">
        <v>399</v>
      </c>
      <c r="C194" s="484"/>
      <c r="D194" s="456"/>
      <c r="E194" s="456"/>
      <c r="F194" s="456"/>
      <c r="G194" s="456"/>
      <c r="H194" s="456"/>
    </row>
    <row r="195" spans="2:8">
      <c r="B195" s="478"/>
      <c r="C195" s="548"/>
      <c r="D195" s="596"/>
      <c r="E195" s="437">
        <v>2020</v>
      </c>
      <c r="F195" s="437">
        <v>2019</v>
      </c>
      <c r="G195" s="437">
        <v>2018</v>
      </c>
      <c r="H195" s="437">
        <v>2017</v>
      </c>
    </row>
    <row r="196" spans="2:8">
      <c r="B196" s="597" t="s">
        <v>400</v>
      </c>
      <c r="C196" s="547"/>
      <c r="D196" s="598" t="s">
        <v>17</v>
      </c>
      <c r="E196" s="593">
        <f>E140</f>
        <v>247244.84300127023</v>
      </c>
      <c r="F196" s="593">
        <f>F140</f>
        <v>263602.69477979757</v>
      </c>
      <c r="G196" s="593">
        <f>G140</f>
        <v>285179.33657029888</v>
      </c>
      <c r="H196" s="593">
        <f>H140</f>
        <v>208133.39943626465</v>
      </c>
    </row>
    <row r="197" spans="2:8">
      <c r="B197" s="597" t="s">
        <v>401</v>
      </c>
      <c r="C197" s="547"/>
      <c r="D197" s="469" t="s">
        <v>402</v>
      </c>
      <c r="E197" s="599">
        <f>'2020 Data'!Q116</f>
        <v>67046</v>
      </c>
      <c r="F197" s="599">
        <f>'2019 Data'!Q115</f>
        <v>74562</v>
      </c>
      <c r="G197" s="599">
        <f>'2018 Data'!Q111</f>
        <v>77858</v>
      </c>
      <c r="H197" s="599">
        <f>'2017 Data '!Q111</f>
        <v>69259</v>
      </c>
    </row>
    <row r="198" spans="2:8">
      <c r="B198" s="597" t="s">
        <v>403</v>
      </c>
      <c r="C198" s="547"/>
      <c r="D198" s="469" t="s">
        <v>404</v>
      </c>
      <c r="E198" s="477">
        <f>E197*E75/1000</f>
        <v>56.318640000000002</v>
      </c>
      <c r="F198" s="477">
        <f>F197*F75/1000</f>
        <v>62.632079999999995</v>
      </c>
      <c r="G198" s="477">
        <f>G197*G75/1000</f>
        <v>65.400720000000007</v>
      </c>
      <c r="H198" s="477">
        <f>H197*H75/1000</f>
        <v>58.17756</v>
      </c>
    </row>
    <row r="199" spans="2:8" ht="14.25">
      <c r="B199" s="478" t="s">
        <v>190</v>
      </c>
      <c r="C199" s="548"/>
      <c r="D199" s="542" t="s">
        <v>392</v>
      </c>
      <c r="E199" s="600">
        <f>E198*E76</f>
        <v>182.40706397759999</v>
      </c>
      <c r="F199" s="600">
        <f>F198*F76</f>
        <v>202.85528598719998</v>
      </c>
      <c r="G199" s="600">
        <f>G198*G76</f>
        <v>211.82246796480001</v>
      </c>
      <c r="H199" s="600">
        <f>H198*H76</f>
        <v>188.42780843039998</v>
      </c>
    </row>
    <row r="200" spans="2:8">
      <c r="B200" s="483"/>
      <c r="C200" s="484"/>
      <c r="D200" s="485"/>
      <c r="E200" s="485"/>
      <c r="F200" s="485"/>
      <c r="G200" s="485"/>
      <c r="H200" s="485"/>
    </row>
    <row r="201" spans="2:8">
      <c r="B201" s="590" t="s">
        <v>405</v>
      </c>
      <c r="C201" s="484"/>
      <c r="D201" s="456"/>
      <c r="E201" s="456"/>
      <c r="F201" s="456"/>
      <c r="G201" s="456"/>
      <c r="H201" s="456"/>
    </row>
    <row r="202" spans="2:8">
      <c r="B202" s="478"/>
      <c r="C202" s="548"/>
      <c r="D202" s="465"/>
      <c r="E202" s="437">
        <v>2020</v>
      </c>
      <c r="F202" s="437">
        <v>2019</v>
      </c>
      <c r="G202" s="437">
        <v>2018</v>
      </c>
      <c r="H202" s="437">
        <v>2017</v>
      </c>
    </row>
    <row r="203" spans="2:8">
      <c r="B203" s="454" t="s">
        <v>406</v>
      </c>
      <c r="C203" s="464"/>
      <c r="D203" s="593" t="s">
        <v>105</v>
      </c>
      <c r="E203" s="601">
        <f>E137</f>
        <v>0</v>
      </c>
      <c r="F203" s="601">
        <f>F137</f>
        <v>0</v>
      </c>
      <c r="G203" s="601">
        <f>G137</f>
        <v>0</v>
      </c>
      <c r="H203" s="601">
        <f>H137</f>
        <v>0</v>
      </c>
    </row>
    <row r="204" spans="2:8">
      <c r="B204" s="454" t="s">
        <v>407</v>
      </c>
      <c r="C204" s="476"/>
      <c r="D204" s="506" t="s">
        <v>408</v>
      </c>
      <c r="E204" s="602">
        <v>0</v>
      </c>
      <c r="F204" s="602">
        <v>0</v>
      </c>
      <c r="G204" s="602">
        <v>0</v>
      </c>
      <c r="H204" s="602">
        <v>0</v>
      </c>
    </row>
    <row r="205" spans="2:8">
      <c r="B205" s="454" t="s">
        <v>409</v>
      </c>
      <c r="C205" s="603" t="s">
        <v>410</v>
      </c>
      <c r="D205" s="506" t="s">
        <v>396</v>
      </c>
      <c r="E205" s="685">
        <v>0</v>
      </c>
      <c r="F205" s="685">
        <v>0</v>
      </c>
      <c r="G205" s="685">
        <v>0</v>
      </c>
      <c r="H205" s="685">
        <v>0</v>
      </c>
    </row>
    <row r="206" spans="2:8" ht="14.25">
      <c r="B206" s="488" t="s">
        <v>190</v>
      </c>
      <c r="C206" s="479"/>
      <c r="D206" s="542" t="s">
        <v>392</v>
      </c>
      <c r="E206" s="595">
        <f>E205*E76</f>
        <v>0</v>
      </c>
      <c r="F206" s="595">
        <f>F205*F76</f>
        <v>0</v>
      </c>
      <c r="G206" s="595">
        <f>G205*G76</f>
        <v>0</v>
      </c>
      <c r="H206" s="595">
        <f>H205*H76</f>
        <v>0</v>
      </c>
    </row>
    <row r="207" spans="2:8">
      <c r="B207" s="487"/>
      <c r="C207" s="484"/>
      <c r="D207" s="456"/>
      <c r="E207" s="604"/>
      <c r="F207" s="604"/>
      <c r="G207" s="604"/>
      <c r="H207" s="604"/>
    </row>
    <row r="208" spans="2:8">
      <c r="B208" s="605" t="s">
        <v>411</v>
      </c>
      <c r="C208" s="606"/>
      <c r="D208" s="456"/>
      <c r="E208" s="456"/>
      <c r="F208" s="456"/>
      <c r="G208" s="456"/>
      <c r="H208" s="456"/>
    </row>
    <row r="209" spans="2:8">
      <c r="B209" s="488"/>
      <c r="C209" s="464"/>
      <c r="D209" s="465"/>
      <c r="E209" s="437">
        <v>2020</v>
      </c>
      <c r="F209" s="437">
        <v>2019</v>
      </c>
      <c r="G209" s="437">
        <v>2018</v>
      </c>
      <c r="H209" s="437">
        <v>2017</v>
      </c>
    </row>
    <row r="210" spans="2:8" ht="14.25">
      <c r="B210" s="473" t="s">
        <v>412</v>
      </c>
      <c r="C210" s="695" t="s">
        <v>591</v>
      </c>
      <c r="D210" s="445" t="s">
        <v>390</v>
      </c>
      <c r="E210" s="607">
        <f>E192</f>
        <v>91.202500595209926</v>
      </c>
      <c r="F210" s="607">
        <f>F192</f>
        <v>129.58610197899463</v>
      </c>
      <c r="G210" s="607">
        <f>G192</f>
        <v>85.019480136536131</v>
      </c>
      <c r="H210" s="607">
        <f>H192</f>
        <v>234.56194958757087</v>
      </c>
    </row>
    <row r="211" spans="2:8" ht="14.25">
      <c r="B211" s="473" t="s">
        <v>413</v>
      </c>
      <c r="C211" s="696" t="s">
        <v>592</v>
      </c>
      <c r="D211" s="445" t="s">
        <v>390</v>
      </c>
      <c r="E211" s="607">
        <f>E199</f>
        <v>182.40706397759999</v>
      </c>
      <c r="F211" s="607">
        <f>F199</f>
        <v>202.85528598719998</v>
      </c>
      <c r="G211" s="607">
        <f>G199</f>
        <v>211.82246796480001</v>
      </c>
      <c r="H211" s="607">
        <f>H199</f>
        <v>188.42780843039998</v>
      </c>
    </row>
    <row r="212" spans="2:8" ht="14.25">
      <c r="B212" s="454" t="s">
        <v>414</v>
      </c>
      <c r="C212" s="696" t="s">
        <v>593</v>
      </c>
      <c r="D212" s="445" t="s">
        <v>390</v>
      </c>
      <c r="E212" s="607">
        <f>E206</f>
        <v>0</v>
      </c>
      <c r="F212" s="607">
        <f>F206</f>
        <v>0</v>
      </c>
      <c r="G212" s="607">
        <f>G206</f>
        <v>0</v>
      </c>
      <c r="H212" s="607">
        <f>H206</f>
        <v>0</v>
      </c>
    </row>
    <row r="213" spans="2:8" ht="14.25">
      <c r="B213" s="488" t="s">
        <v>415</v>
      </c>
      <c r="C213" s="479" t="s">
        <v>416</v>
      </c>
      <c r="D213" s="542" t="s">
        <v>392</v>
      </c>
      <c r="E213" s="595">
        <f>E210+E211+E212</f>
        <v>273.60956457280992</v>
      </c>
      <c r="F213" s="595">
        <f>F210+F211+F212</f>
        <v>332.44138796619461</v>
      </c>
      <c r="G213" s="595">
        <f>G210+G211+G212</f>
        <v>296.84194810133613</v>
      </c>
      <c r="H213" s="595">
        <f>H210+H211+H212</f>
        <v>422.98975801797087</v>
      </c>
    </row>
    <row r="214" spans="2:8">
      <c r="B214" s="605" t="s">
        <v>198</v>
      </c>
      <c r="C214" s="484"/>
      <c r="D214" s="456"/>
      <c r="E214" s="589"/>
      <c r="F214" s="589"/>
      <c r="G214" s="589"/>
      <c r="H214" s="589"/>
    </row>
    <row r="215" spans="2:8">
      <c r="B215" s="608" t="s">
        <v>417</v>
      </c>
      <c r="C215" s="484"/>
      <c r="D215" s="456"/>
      <c r="E215" s="589"/>
      <c r="F215" s="589"/>
      <c r="G215" s="589"/>
      <c r="H215" s="589"/>
    </row>
    <row r="216" spans="2:8">
      <c r="B216" s="487"/>
      <c r="C216" s="484"/>
      <c r="D216" s="456"/>
      <c r="E216" s="589"/>
      <c r="F216" s="589"/>
      <c r="G216" s="589"/>
      <c r="H216" s="589"/>
    </row>
    <row r="217" spans="2:8">
      <c r="B217" s="487"/>
      <c r="C217" s="484"/>
      <c r="D217" s="456"/>
      <c r="E217" s="589"/>
      <c r="F217" s="589"/>
      <c r="G217" s="589"/>
      <c r="H217" s="589"/>
    </row>
    <row r="218" spans="2:8">
      <c r="B218" s="588" t="s">
        <v>418</v>
      </c>
      <c r="C218" s="484"/>
      <c r="D218" s="456"/>
      <c r="E218" s="589"/>
      <c r="F218" s="589"/>
      <c r="G218" s="589"/>
      <c r="H218" s="589"/>
    </row>
    <row r="219" spans="2:8">
      <c r="B219" s="487"/>
      <c r="C219" s="484"/>
      <c r="D219" s="456"/>
      <c r="E219" s="589"/>
      <c r="F219" s="589"/>
      <c r="G219" s="589"/>
      <c r="H219" s="589"/>
    </row>
    <row r="220" spans="2:8">
      <c r="B220" s="605" t="s">
        <v>419</v>
      </c>
      <c r="C220" s="484"/>
      <c r="D220" s="456"/>
      <c r="E220" s="487"/>
      <c r="F220" s="487"/>
      <c r="G220" s="487"/>
      <c r="H220" s="487"/>
    </row>
    <row r="221" spans="2:8" ht="14.25">
      <c r="B221" s="488" t="s">
        <v>190</v>
      </c>
      <c r="C221" s="479" t="s">
        <v>420</v>
      </c>
      <c r="D221" s="542" t="s">
        <v>392</v>
      </c>
      <c r="E221" s="686">
        <f>E222*E223</f>
        <v>219.96375</v>
      </c>
      <c r="F221" s="686">
        <f t="shared" ref="F221:H221" si="16">F222*F223</f>
        <v>256.7894</v>
      </c>
      <c r="G221" s="686">
        <f t="shared" si="16"/>
        <v>290.28340499999996</v>
      </c>
      <c r="H221" s="686">
        <f t="shared" si="16"/>
        <v>290.24575999999996</v>
      </c>
    </row>
    <row r="222" spans="2:8">
      <c r="B222" s="487"/>
      <c r="C222" s="479" t="s">
        <v>589</v>
      </c>
      <c r="D222" s="465" t="s">
        <v>586</v>
      </c>
      <c r="E222" s="595">
        <v>375</v>
      </c>
      <c r="F222" s="595">
        <v>490</v>
      </c>
      <c r="G222" s="595">
        <v>537</v>
      </c>
      <c r="H222" s="595">
        <v>448</v>
      </c>
    </row>
    <row r="223" spans="2:8">
      <c r="B223" s="487"/>
      <c r="C223" s="479" t="s">
        <v>588</v>
      </c>
      <c r="D223" s="465" t="s">
        <v>587</v>
      </c>
      <c r="E223" s="694">
        <f>E20</f>
        <v>0.58657000000000004</v>
      </c>
      <c r="F223" s="694">
        <f t="shared" ref="F223:H223" si="17">F20</f>
        <v>0.52405999999999997</v>
      </c>
      <c r="G223" s="694">
        <f t="shared" si="17"/>
        <v>0.54056499999999996</v>
      </c>
      <c r="H223" s="694">
        <f t="shared" si="17"/>
        <v>0.64786999999999995</v>
      </c>
    </row>
    <row r="224" spans="2:8">
      <c r="B224" s="588" t="s">
        <v>421</v>
      </c>
      <c r="C224" s="484"/>
      <c r="D224" s="456"/>
      <c r="E224" s="589"/>
      <c r="F224" s="589"/>
      <c r="G224" s="589"/>
      <c r="H224" s="589"/>
    </row>
    <row r="225" spans="2:9">
      <c r="B225" s="487"/>
      <c r="C225" s="484"/>
      <c r="D225" s="456"/>
      <c r="E225" s="589"/>
      <c r="F225" s="589"/>
      <c r="G225" s="589"/>
      <c r="H225" s="589"/>
    </row>
    <row r="226" spans="2:9">
      <c r="B226" s="605" t="s">
        <v>422</v>
      </c>
      <c r="C226" s="484"/>
      <c r="D226" s="456"/>
      <c r="E226" s="487"/>
      <c r="F226" s="487"/>
      <c r="G226" s="487"/>
      <c r="H226" s="487"/>
    </row>
    <row r="227" spans="2:9">
      <c r="B227" s="609"/>
      <c r="C227" s="502"/>
      <c r="D227" s="489"/>
      <c r="E227" s="610"/>
      <c r="F227" s="610"/>
      <c r="G227" s="610"/>
      <c r="H227" s="610"/>
    </row>
    <row r="228" spans="2:9" ht="14.25">
      <c r="B228" s="488" t="s">
        <v>190</v>
      </c>
      <c r="C228" s="479" t="s">
        <v>423</v>
      </c>
      <c r="D228" s="542" t="s">
        <v>392</v>
      </c>
      <c r="E228" s="595">
        <v>0</v>
      </c>
      <c r="F228" s="595">
        <v>0</v>
      </c>
      <c r="G228" s="595">
        <v>0</v>
      </c>
      <c r="H228" s="595">
        <v>0</v>
      </c>
    </row>
    <row r="229" spans="2:9">
      <c r="B229" s="487"/>
      <c r="C229" s="484"/>
      <c r="D229" s="456"/>
      <c r="E229" s="589"/>
      <c r="F229" s="589"/>
      <c r="G229" s="589"/>
      <c r="H229" s="589"/>
    </row>
    <row r="230" spans="2:9">
      <c r="B230" s="487"/>
      <c r="C230" s="484"/>
      <c r="D230" s="456"/>
      <c r="E230" s="589"/>
      <c r="F230" s="589"/>
      <c r="G230" s="589"/>
      <c r="H230" s="589"/>
    </row>
    <row r="231" spans="2:9" ht="14.25">
      <c r="B231" s="588" t="s">
        <v>424</v>
      </c>
      <c r="C231" s="484"/>
      <c r="D231" s="456"/>
      <c r="E231" s="589"/>
      <c r="F231" s="589"/>
      <c r="G231" s="589"/>
      <c r="H231" s="589"/>
    </row>
    <row r="232" spans="2:9">
      <c r="B232" s="487"/>
      <c r="C232" s="484"/>
      <c r="D232" s="456"/>
      <c r="E232" s="589"/>
      <c r="F232" s="589"/>
      <c r="G232" s="589"/>
      <c r="H232" s="589"/>
    </row>
    <row r="233" spans="2:9">
      <c r="B233" s="588" t="s">
        <v>425</v>
      </c>
      <c r="C233" s="606"/>
      <c r="D233" s="456"/>
      <c r="E233" s="487"/>
      <c r="F233" s="487"/>
      <c r="G233" s="487"/>
      <c r="H233" s="487"/>
    </row>
    <row r="234" spans="2:9">
      <c r="B234" s="488"/>
      <c r="C234" s="479"/>
      <c r="D234" s="598"/>
      <c r="E234" s="437">
        <v>2020</v>
      </c>
      <c r="F234" s="437">
        <v>2019</v>
      </c>
      <c r="G234" s="437">
        <v>2018</v>
      </c>
      <c r="H234" s="437">
        <v>2017</v>
      </c>
    </row>
    <row r="235" spans="2:9" ht="14.25">
      <c r="B235" s="611" t="s">
        <v>426</v>
      </c>
      <c r="C235" s="464" t="s">
        <v>427</v>
      </c>
      <c r="D235" s="593" t="s">
        <v>428</v>
      </c>
      <c r="E235" s="621">
        <f>'2020 Data'!Q75</f>
        <v>415265.712</v>
      </c>
      <c r="F235" s="621">
        <f>'2019 Data'!Q74</f>
        <v>438844</v>
      </c>
      <c r="G235" s="621">
        <f>'2018 Data'!Q70</f>
        <v>461708</v>
      </c>
      <c r="H235" s="621">
        <f>'2017 Data '!Q70</f>
        <v>376775.85472468752</v>
      </c>
    </row>
    <row r="236" spans="2:9">
      <c r="B236" s="473"/>
      <c r="C236" s="547"/>
      <c r="D236" s="506"/>
      <c r="E236" s="661">
        <f>'2020 Data'!Q38+'2020 Data'!Q41</f>
        <v>420234.09950000001</v>
      </c>
      <c r="F236" s="661">
        <f>'2019 Data'!Q38+'2019 Data'!Q41</f>
        <v>440880.85</v>
      </c>
      <c r="G236" s="661">
        <f>'2018 Data'!Q38+'2018 Data'!Q41</f>
        <v>464164.4</v>
      </c>
      <c r="H236" s="661">
        <f>'2017 Data '!Q38+'2017 Data '!Q41</f>
        <v>379209.28064889065</v>
      </c>
      <c r="I236" s="187" t="s">
        <v>579</v>
      </c>
    </row>
    <row r="237" spans="2:9" ht="14.25">
      <c r="B237" s="597" t="s">
        <v>429</v>
      </c>
      <c r="C237" s="547" t="s">
        <v>430</v>
      </c>
      <c r="D237" s="506"/>
      <c r="E237" s="814">
        <v>38.04</v>
      </c>
      <c r="F237" s="814">
        <v>32.5</v>
      </c>
      <c r="G237" s="814">
        <v>46.9</v>
      </c>
      <c r="H237" s="814">
        <v>36.799999999999997</v>
      </c>
    </row>
    <row r="238" spans="2:9" ht="14.25">
      <c r="B238" s="597"/>
      <c r="C238" s="547" t="s">
        <v>430</v>
      </c>
      <c r="D238" s="506"/>
      <c r="E238" s="665">
        <f>'2020 wet tons '!G38</f>
        <v>39.103642720259181</v>
      </c>
      <c r="F238" s="665">
        <f>'2019 wet tons'!G45</f>
        <v>32.602964965313454</v>
      </c>
      <c r="G238" s="665">
        <f>'2018 wet tons..'!G51</f>
        <v>48.543491643069174</v>
      </c>
      <c r="H238" s="665">
        <f>'2017 wet tons'!G48</f>
        <v>37.536373276433835</v>
      </c>
      <c r="I238" s="187" t="s">
        <v>580</v>
      </c>
    </row>
    <row r="239" spans="2:9">
      <c r="B239" s="597"/>
      <c r="C239" s="547"/>
      <c r="D239" s="506"/>
      <c r="E239" s="506"/>
      <c r="F239" s="506"/>
      <c r="G239" s="506"/>
      <c r="H239" s="506"/>
    </row>
    <row r="240" spans="2:9" ht="15">
      <c r="B240" s="597" t="s">
        <v>431</v>
      </c>
      <c r="C240" s="547" t="s">
        <v>432</v>
      </c>
      <c r="D240" s="277" t="s">
        <v>433</v>
      </c>
      <c r="E240" s="707">
        <f>'2020 wet tons '!G39</f>
        <v>16432693.822915921</v>
      </c>
      <c r="F240" s="708">
        <f>'2019 wet tons'!G46</f>
        <v>14374040.97296942</v>
      </c>
      <c r="G240" s="707">
        <f>'2018 wet tons..'!G52</f>
        <v>22532154.619036809</v>
      </c>
      <c r="H240" s="707">
        <f>'2017 wet tons'!G49</f>
        <v>14234146.073460223</v>
      </c>
      <c r="I240" s="187" t="s">
        <v>696</v>
      </c>
    </row>
    <row r="241" spans="2:9" ht="14.25">
      <c r="B241" s="597" t="s">
        <v>434</v>
      </c>
      <c r="C241" s="547" t="s">
        <v>435</v>
      </c>
      <c r="D241" s="506" t="s">
        <v>436</v>
      </c>
      <c r="E241" s="506">
        <v>129</v>
      </c>
      <c r="F241" s="506">
        <v>129</v>
      </c>
      <c r="G241" s="506">
        <v>129</v>
      </c>
      <c r="H241" s="506">
        <f>G241</f>
        <v>129</v>
      </c>
    </row>
    <row r="242" spans="2:9" ht="14.25">
      <c r="B242" s="478" t="s">
        <v>190</v>
      </c>
      <c r="C242" s="479" t="s">
        <v>437</v>
      </c>
      <c r="D242" s="542" t="s">
        <v>392</v>
      </c>
      <c r="E242" s="666">
        <f>E240*E241/1000000</f>
        <v>2119.8175031561541</v>
      </c>
      <c r="F242" s="666">
        <f>F240*F241/1000000</f>
        <v>1854.2512855130553</v>
      </c>
      <c r="G242" s="666">
        <f>G240*G241/1000000</f>
        <v>2906.6479458557483</v>
      </c>
      <c r="H242" s="666">
        <f>H240*H241/1000000</f>
        <v>1836.204843476369</v>
      </c>
      <c r="I242" s="187" t="s">
        <v>580</v>
      </c>
    </row>
    <row r="243" spans="2:9">
      <c r="B243" s="487" t="s">
        <v>582</v>
      </c>
      <c r="C243" s="484"/>
      <c r="D243" s="546"/>
      <c r="E243" s="485"/>
      <c r="F243" s="485"/>
      <c r="G243" s="485"/>
      <c r="H243" s="485"/>
    </row>
    <row r="244" spans="2:9">
      <c r="B244" s="487" t="s">
        <v>575</v>
      </c>
      <c r="C244" s="484"/>
      <c r="D244" s="546"/>
      <c r="E244" s="485"/>
      <c r="F244" s="485"/>
      <c r="G244" s="485"/>
      <c r="H244" s="485"/>
    </row>
    <row r="245" spans="2:9">
      <c r="B245" s="605" t="s">
        <v>576</v>
      </c>
      <c r="C245" s="484"/>
      <c r="D245" s="456"/>
      <c r="E245" s="589"/>
      <c r="F245" s="589"/>
      <c r="G245" s="589"/>
      <c r="H245" s="589"/>
    </row>
    <row r="246" spans="2:9">
      <c r="B246" s="487"/>
      <c r="C246" s="612"/>
      <c r="D246" s="456"/>
      <c r="E246" s="589"/>
      <c r="F246" s="589"/>
      <c r="G246" s="589"/>
      <c r="H246" s="589"/>
    </row>
    <row r="247" spans="2:9" ht="14.25">
      <c r="B247" s="605" t="s">
        <v>438</v>
      </c>
      <c r="C247" s="484"/>
      <c r="D247" s="456"/>
      <c r="E247" s="589"/>
      <c r="F247" s="589"/>
      <c r="G247" s="589"/>
      <c r="H247" s="589"/>
    </row>
    <row r="248" spans="2:9">
      <c r="B248" s="487"/>
      <c r="C248" s="484"/>
      <c r="D248" s="456"/>
      <c r="E248" s="589"/>
      <c r="F248" s="589"/>
      <c r="G248" s="589"/>
      <c r="H248" s="589"/>
    </row>
    <row r="249" spans="2:9">
      <c r="B249" s="609" t="s">
        <v>439</v>
      </c>
      <c r="C249" s="613"/>
      <c r="D249" s="614"/>
      <c r="E249" s="437">
        <v>2020</v>
      </c>
      <c r="F249" s="437">
        <v>2019</v>
      </c>
      <c r="G249" s="437">
        <v>2018</v>
      </c>
      <c r="H249" s="437">
        <v>2017</v>
      </c>
    </row>
    <row r="250" spans="2:9" ht="14.25">
      <c r="B250" s="270" t="s">
        <v>381</v>
      </c>
      <c r="C250" s="615" t="s">
        <v>117</v>
      </c>
      <c r="D250" s="594" t="s">
        <v>17</v>
      </c>
      <c r="E250" s="506">
        <f>E133</f>
        <v>101890.77365824956</v>
      </c>
      <c r="F250" s="506">
        <f>F133</f>
        <v>100507.4260002033</v>
      </c>
      <c r="G250" s="506">
        <f>G133</f>
        <v>99640.897137342807</v>
      </c>
      <c r="H250" s="506">
        <f>H133</f>
        <v>67461.343476874565</v>
      </c>
    </row>
    <row r="251" spans="2:9" ht="14.25">
      <c r="B251" s="271" t="s">
        <v>382</v>
      </c>
      <c r="C251" s="615" t="s">
        <v>440</v>
      </c>
      <c r="D251" s="594" t="s">
        <v>17</v>
      </c>
      <c r="E251" s="506">
        <f>E135</f>
        <v>145354.06934302067</v>
      </c>
      <c r="F251" s="506">
        <f>F135</f>
        <v>163095.26877959431</v>
      </c>
      <c r="G251" s="506">
        <f>G135</f>
        <v>185538.43943295605</v>
      </c>
      <c r="H251" s="506">
        <f>H135</f>
        <v>140672.0559593901</v>
      </c>
    </row>
    <row r="252" spans="2:9" ht="14.25">
      <c r="B252" s="272" t="s">
        <v>370</v>
      </c>
      <c r="C252" s="615" t="s">
        <v>441</v>
      </c>
      <c r="D252" s="506" t="s">
        <v>17</v>
      </c>
      <c r="E252" s="506">
        <f>E137</f>
        <v>0</v>
      </c>
      <c r="F252" s="506">
        <f>F137</f>
        <v>0</v>
      </c>
      <c r="G252" s="506">
        <f>G137</f>
        <v>0</v>
      </c>
      <c r="H252" s="506">
        <f>H137</f>
        <v>0</v>
      </c>
    </row>
    <row r="253" spans="2:9" ht="28.5">
      <c r="B253" s="478" t="s">
        <v>442</v>
      </c>
      <c r="C253" s="616" t="s">
        <v>443</v>
      </c>
      <c r="D253" s="542" t="s">
        <v>444</v>
      </c>
      <c r="E253" s="617">
        <f>(E250*E134+E251*E136+E252*E138)*E33*(E37/1000000)</f>
        <v>4898.0331145908731</v>
      </c>
      <c r="F253" s="617">
        <f>(F250*F134+F251*F136+F252*F138)*F33*(F37/1000000)</f>
        <v>5094.98969226187</v>
      </c>
      <c r="G253" s="617">
        <f>(G250*G134+G251*G136+G252*G138)*G33*(G37/1000000)</f>
        <v>5520.8885100594771</v>
      </c>
      <c r="H253" s="617">
        <f>(H250*H134+H251*H136+H252*H138)*H33*(H37/1000000)</f>
        <v>4061.4870305358213</v>
      </c>
    </row>
    <row r="254" spans="2:9">
      <c r="B254" s="487"/>
      <c r="C254" s="484"/>
      <c r="D254" s="456"/>
      <c r="E254" s="487"/>
      <c r="F254" s="487"/>
      <c r="G254" s="487"/>
      <c r="H254" s="487"/>
    </row>
    <row r="255" spans="2:9">
      <c r="B255" s="487"/>
      <c r="C255" s="484"/>
      <c r="D255" s="456"/>
      <c r="E255" s="487"/>
      <c r="F255" s="487"/>
      <c r="G255" s="487"/>
      <c r="H255" s="487"/>
    </row>
    <row r="256" spans="2:9">
      <c r="B256" s="605" t="s">
        <v>445</v>
      </c>
      <c r="C256" s="484"/>
      <c r="D256" s="456"/>
      <c r="E256" s="487"/>
      <c r="F256" s="487"/>
      <c r="G256" s="487"/>
      <c r="H256" s="487"/>
    </row>
    <row r="257" spans="2:8">
      <c r="B257" s="487"/>
      <c r="C257" s="484"/>
      <c r="D257" s="456"/>
      <c r="E257" s="487"/>
      <c r="F257" s="487"/>
      <c r="G257" s="487"/>
      <c r="H257" s="487"/>
    </row>
    <row r="258" spans="2:8">
      <c r="B258" s="605" t="s">
        <v>446</v>
      </c>
      <c r="C258" s="484"/>
      <c r="D258" s="456"/>
      <c r="E258" s="487"/>
      <c r="F258" s="487"/>
      <c r="G258" s="487"/>
      <c r="H258" s="487"/>
    </row>
    <row r="259" spans="2:8">
      <c r="B259" s="488"/>
      <c r="C259" s="502"/>
      <c r="D259" s="489"/>
      <c r="E259" s="437">
        <v>2020</v>
      </c>
      <c r="F259" s="437">
        <v>2019</v>
      </c>
      <c r="G259" s="437">
        <v>2018</v>
      </c>
      <c r="H259" s="437">
        <v>2017</v>
      </c>
    </row>
    <row r="260" spans="2:8" ht="14.25">
      <c r="B260" s="478" t="s">
        <v>190</v>
      </c>
      <c r="C260" s="479" t="s">
        <v>447</v>
      </c>
      <c r="D260" s="542" t="s">
        <v>444</v>
      </c>
      <c r="E260" s="617">
        <v>0</v>
      </c>
      <c r="F260" s="617">
        <v>0</v>
      </c>
      <c r="G260" s="617">
        <v>0</v>
      </c>
      <c r="H260" s="617">
        <v>0</v>
      </c>
    </row>
    <row r="261" spans="2:8">
      <c r="B261" s="487"/>
      <c r="C261" s="484"/>
      <c r="D261" s="456"/>
      <c r="E261" s="487"/>
      <c r="F261" s="487"/>
      <c r="G261" s="487"/>
      <c r="H261" s="487"/>
    </row>
    <row r="262" spans="2:8">
      <c r="B262" s="487"/>
      <c r="C262" s="484"/>
      <c r="D262" s="456"/>
      <c r="E262" s="487"/>
      <c r="F262" s="487"/>
      <c r="G262" s="487"/>
      <c r="H262" s="487"/>
    </row>
    <row r="263" spans="2:8">
      <c r="B263" s="618" t="s">
        <v>448</v>
      </c>
      <c r="D263" s="429"/>
      <c r="E263" s="187"/>
      <c r="F263" s="187"/>
      <c r="G263" s="187"/>
      <c r="H263" s="187"/>
    </row>
    <row r="264" spans="2:8">
      <c r="B264" s="187" t="s">
        <v>449</v>
      </c>
      <c r="D264" s="429"/>
      <c r="E264" s="437">
        <v>2020</v>
      </c>
      <c r="F264" s="437">
        <v>2019</v>
      </c>
      <c r="G264" s="437">
        <v>2018</v>
      </c>
      <c r="H264" s="437">
        <v>2017</v>
      </c>
    </row>
    <row r="265" spans="2:8" ht="14.25">
      <c r="B265" s="468" t="s">
        <v>450</v>
      </c>
      <c r="C265" s="464" t="s">
        <v>416</v>
      </c>
      <c r="D265" s="593" t="s">
        <v>451</v>
      </c>
      <c r="E265" s="619">
        <f>E213</f>
        <v>273.60956457280992</v>
      </c>
      <c r="F265" s="619">
        <f>F213</f>
        <v>332.44138796619461</v>
      </c>
      <c r="G265" s="619">
        <f>G213</f>
        <v>296.84194810133613</v>
      </c>
      <c r="H265" s="619">
        <f>H213</f>
        <v>422.98975801797087</v>
      </c>
    </row>
    <row r="266" spans="2:8" ht="14.25">
      <c r="B266" s="597" t="s">
        <v>452</v>
      </c>
      <c r="C266" s="476" t="s">
        <v>453</v>
      </c>
      <c r="D266" s="506" t="s">
        <v>451</v>
      </c>
      <c r="E266" s="594">
        <f>E221</f>
        <v>219.96375</v>
      </c>
      <c r="F266" s="594">
        <f>F221</f>
        <v>256.7894</v>
      </c>
      <c r="G266" s="594">
        <f>G221</f>
        <v>290.28340499999996</v>
      </c>
      <c r="H266" s="594">
        <f>H221</f>
        <v>290.24575999999996</v>
      </c>
    </row>
    <row r="267" spans="2:8" ht="14.25">
      <c r="B267" s="597" t="s">
        <v>454</v>
      </c>
      <c r="C267" s="476" t="s">
        <v>455</v>
      </c>
      <c r="D267" s="506" t="s">
        <v>451</v>
      </c>
      <c r="E267" s="594">
        <f>E228</f>
        <v>0</v>
      </c>
      <c r="F267" s="594">
        <f>F228</f>
        <v>0</v>
      </c>
      <c r="G267" s="594">
        <f>G228</f>
        <v>0</v>
      </c>
      <c r="H267" s="594">
        <f>H228</f>
        <v>0</v>
      </c>
    </row>
    <row r="268" spans="2:8" ht="14.25">
      <c r="B268" s="597" t="s">
        <v>456</v>
      </c>
      <c r="C268" s="476" t="s">
        <v>437</v>
      </c>
      <c r="D268" s="506" t="s">
        <v>451</v>
      </c>
      <c r="E268" s="594">
        <f>E242</f>
        <v>2119.8175031561541</v>
      </c>
      <c r="F268" s="594">
        <f>F242</f>
        <v>1854.2512855130553</v>
      </c>
      <c r="G268" s="594">
        <f>G242</f>
        <v>2906.6479458557483</v>
      </c>
      <c r="H268" s="594">
        <f>H242</f>
        <v>1836.204843476369</v>
      </c>
    </row>
    <row r="269" spans="2:8" ht="14.25">
      <c r="B269" s="597" t="s">
        <v>457</v>
      </c>
      <c r="C269" s="476" t="s">
        <v>458</v>
      </c>
      <c r="D269" s="506" t="s">
        <v>451</v>
      </c>
      <c r="E269" s="594">
        <f>E253</f>
        <v>4898.0331145908731</v>
      </c>
      <c r="F269" s="594">
        <f>F253</f>
        <v>5094.98969226187</v>
      </c>
      <c r="G269" s="594">
        <f>G253</f>
        <v>5520.8885100594771</v>
      </c>
      <c r="H269" s="594">
        <f>H253</f>
        <v>4061.4870305358213</v>
      </c>
    </row>
    <row r="270" spans="2:8" ht="14.25">
      <c r="B270" s="475" t="s">
        <v>459</v>
      </c>
      <c r="C270" s="495" t="s">
        <v>460</v>
      </c>
      <c r="D270" s="506" t="s">
        <v>451</v>
      </c>
      <c r="E270" s="594">
        <f>E260</f>
        <v>0</v>
      </c>
      <c r="F270" s="594">
        <f>F260</f>
        <v>0</v>
      </c>
      <c r="G270" s="594">
        <f>G260</f>
        <v>0</v>
      </c>
      <c r="H270" s="594">
        <f>H260</f>
        <v>0</v>
      </c>
    </row>
    <row r="271" spans="2:8">
      <c r="B271" s="478" t="s">
        <v>461</v>
      </c>
      <c r="C271" s="548"/>
      <c r="D271" s="617" t="s">
        <v>462</v>
      </c>
      <c r="E271" s="617">
        <f>SUM(E265:E270)</f>
        <v>7511.4239323198371</v>
      </c>
      <c r="F271" s="617">
        <f>SUM(F265:F270)</f>
        <v>7538.4717657411202</v>
      </c>
      <c r="G271" s="617">
        <f>SUM(G265:G270)</f>
        <v>9014.6618090165612</v>
      </c>
      <c r="H271" s="617">
        <f>SUM(H265:H270)</f>
        <v>6610.9273920301612</v>
      </c>
    </row>
    <row r="272" spans="2:8">
      <c r="E272" s="187"/>
      <c r="F272" s="187"/>
      <c r="G272" s="187"/>
      <c r="H272" s="187"/>
    </row>
    <row r="273" spans="5:8">
      <c r="E273" s="187"/>
      <c r="F273" s="187"/>
      <c r="G273" s="187"/>
      <c r="H273" s="187"/>
    </row>
    <row r="274" spans="5:8">
      <c r="E274" s="187"/>
      <c r="F274" s="187"/>
      <c r="G274" s="187"/>
      <c r="H274" s="187"/>
    </row>
    <row r="275" spans="5:8">
      <c r="E275" s="187"/>
      <c r="F275" s="187"/>
      <c r="G275" s="187"/>
      <c r="H275" s="187"/>
    </row>
    <row r="276" spans="5:8">
      <c r="E276" s="187"/>
      <c r="F276" s="187"/>
      <c r="G276" s="187"/>
      <c r="H276" s="187"/>
    </row>
    <row r="277" spans="5:8">
      <c r="E277" s="187"/>
      <c r="F277" s="187"/>
      <c r="G277" s="187"/>
      <c r="H277" s="187"/>
    </row>
    <row r="278" spans="5:8">
      <c r="E278" s="187"/>
      <c r="F278" s="187"/>
      <c r="G278" s="187"/>
      <c r="H278" s="187"/>
    </row>
    <row r="279" spans="5:8">
      <c r="E279" s="187"/>
      <c r="F279" s="187"/>
      <c r="G279" s="187"/>
      <c r="H279" s="187"/>
    </row>
    <row r="280" spans="5:8">
      <c r="E280" s="187"/>
      <c r="F280" s="187"/>
      <c r="G280" s="187"/>
      <c r="H280" s="187"/>
    </row>
  </sheetData>
  <pageMargins left="0.7" right="0.7" top="0.75" bottom="0.75" header="0.3" footer="0.3"/>
  <pageSetup orientation="portrait" verticalDpi="598"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W132"/>
  <sheetViews>
    <sheetView topLeftCell="A40" zoomScale="60" zoomScaleNormal="60" workbookViewId="0">
      <selection activeCell="R42" sqref="R42"/>
    </sheetView>
  </sheetViews>
  <sheetFormatPr defaultColWidth="11.5703125" defaultRowHeight="12.75"/>
  <cols>
    <col min="1" max="1" width="2.140625" style="4" customWidth="1"/>
    <col min="2" max="2" width="65.5703125" style="4" customWidth="1"/>
    <col min="3" max="3" width="21.5703125" style="4" customWidth="1"/>
    <col min="4" max="4" width="17.85546875" style="4" customWidth="1"/>
    <col min="5" max="5" width="17.42578125" style="4" bestFit="1" customWidth="1"/>
    <col min="6" max="6" width="19.140625" style="4" bestFit="1" customWidth="1"/>
    <col min="7" max="7" width="9.5703125" style="4" bestFit="1" customWidth="1"/>
    <col min="8" max="11" width="12.5703125" style="4" customWidth="1"/>
    <col min="12" max="12" width="11.5703125" style="4" customWidth="1"/>
    <col min="13" max="16" width="12.5703125" style="4" customWidth="1"/>
    <col min="17" max="17" width="10.42578125" style="4" bestFit="1" customWidth="1"/>
    <col min="18" max="18" width="11.140625" style="4" bestFit="1" customWidth="1"/>
    <col min="19" max="22" width="9.140625" style="4" customWidth="1"/>
    <col min="23" max="23" width="8.85546875" style="4" customWidth="1"/>
    <col min="24" max="16384" width="11.5703125" style="4"/>
  </cols>
  <sheetData>
    <row r="2" spans="2:17" ht="23.25">
      <c r="B2" s="1" t="s">
        <v>249</v>
      </c>
      <c r="C2" s="2"/>
      <c r="D2" s="3"/>
      <c r="E2" s="3"/>
      <c r="F2" s="3"/>
      <c r="G2" s="3"/>
      <c r="H2" s="3"/>
      <c r="I2" s="3"/>
      <c r="J2" s="3"/>
    </row>
    <row r="4" spans="2:17" ht="18.75">
      <c r="B4" s="5" t="s">
        <v>463</v>
      </c>
      <c r="C4" s="6"/>
      <c r="D4" s="7"/>
      <c r="E4" s="7"/>
      <c r="F4" s="7"/>
      <c r="G4" s="7"/>
      <c r="H4" s="7"/>
      <c r="I4" s="7"/>
      <c r="J4" s="7"/>
    </row>
    <row r="9" spans="2:17">
      <c r="B9" s="8" t="s">
        <v>464</v>
      </c>
      <c r="C9" s="9"/>
      <c r="D9" s="10"/>
      <c r="E9" s="10"/>
      <c r="F9" s="10"/>
      <c r="G9" s="10"/>
      <c r="H9" s="10"/>
      <c r="I9" s="10"/>
      <c r="J9" s="10"/>
    </row>
    <row r="11" spans="2:17">
      <c r="B11" s="11"/>
      <c r="C11" s="12"/>
      <c r="D11" s="13"/>
      <c r="E11" s="14" t="s">
        <v>465</v>
      </c>
      <c r="F11" s="14" t="s">
        <v>466</v>
      </c>
      <c r="G11" s="14" t="s">
        <v>467</v>
      </c>
      <c r="H11" s="14" t="s">
        <v>468</v>
      </c>
      <c r="I11" s="14" t="s">
        <v>469</v>
      </c>
      <c r="J11" s="14" t="s">
        <v>470</v>
      </c>
      <c r="K11" s="14" t="s">
        <v>471</v>
      </c>
      <c r="L11" s="14" t="s">
        <v>472</v>
      </c>
      <c r="M11" s="14" t="s">
        <v>473</v>
      </c>
      <c r="N11" s="14" t="s">
        <v>474</v>
      </c>
      <c r="O11" s="14" t="s">
        <v>475</v>
      </c>
      <c r="P11" s="15" t="s">
        <v>476</v>
      </c>
      <c r="Q11" s="16" t="s">
        <v>388</v>
      </c>
    </row>
    <row r="12" spans="2:17" ht="16.5">
      <c r="B12" s="17" t="s">
        <v>477</v>
      </c>
      <c r="C12" s="18" t="s">
        <v>478</v>
      </c>
      <c r="D12" s="19" t="s">
        <v>479</v>
      </c>
      <c r="E12" s="20">
        <v>27318.145371711729</v>
      </c>
      <c r="F12" s="20">
        <v>24984.576445125578</v>
      </c>
      <c r="G12" s="20">
        <v>28018.34373376465</v>
      </c>
      <c r="H12" s="20">
        <v>26448.968272674083</v>
      </c>
      <c r="I12" s="20">
        <v>28214.643840698242</v>
      </c>
      <c r="J12" s="20">
        <v>23878.860437011717</v>
      </c>
      <c r="K12" s="20">
        <v>22048.206485290528</v>
      </c>
      <c r="L12" s="20">
        <v>22082.500220703125</v>
      </c>
      <c r="M12" s="20">
        <v>20861.066338867189</v>
      </c>
      <c r="N12" s="20">
        <v>24539.964623916625</v>
      </c>
      <c r="O12" s="20">
        <v>23813.683205215453</v>
      </c>
      <c r="P12" s="20">
        <v>19388.039760802269</v>
      </c>
      <c r="Q12" s="21">
        <f>SUM(E12:P12)</f>
        <v>291596.99873578124</v>
      </c>
    </row>
    <row r="13" spans="2:17" ht="16.5">
      <c r="B13" s="22" t="s">
        <v>480</v>
      </c>
      <c r="C13" s="23" t="s">
        <v>481</v>
      </c>
      <c r="D13" s="24" t="s">
        <v>479</v>
      </c>
      <c r="E13" s="20">
        <v>24.516369814872743</v>
      </c>
      <c r="F13" s="20">
        <v>30.303925530195237</v>
      </c>
      <c r="G13" s="20">
        <v>28.410316125750541</v>
      </c>
      <c r="H13" s="20">
        <v>4.6120235028266903</v>
      </c>
      <c r="I13" s="20">
        <v>0</v>
      </c>
      <c r="J13" s="20">
        <v>0</v>
      </c>
      <c r="K13" s="20">
        <v>68.041763270497327</v>
      </c>
      <c r="L13" s="20">
        <v>0</v>
      </c>
      <c r="M13" s="20">
        <v>0</v>
      </c>
      <c r="N13" s="20">
        <v>27.661421916723253</v>
      </c>
      <c r="O13" s="20">
        <v>43.541448606491088</v>
      </c>
      <c r="P13" s="20">
        <v>148.00763736206292</v>
      </c>
      <c r="Q13" s="21">
        <f>SUM(E13:P13)</f>
        <v>375.09490612941977</v>
      </c>
    </row>
    <row r="14" spans="2:17" ht="16.5">
      <c r="B14" s="25" t="s">
        <v>482</v>
      </c>
      <c r="C14" s="23" t="s">
        <v>483</v>
      </c>
      <c r="D14" s="24" t="s">
        <v>479</v>
      </c>
      <c r="E14" s="20">
        <v>3518.7225373787082</v>
      </c>
      <c r="F14" s="20">
        <v>3303.7759092338483</v>
      </c>
      <c r="G14" s="20">
        <v>3677.5533852511294</v>
      </c>
      <c r="H14" s="20">
        <v>3505.9282220220962</v>
      </c>
      <c r="I14" s="20">
        <v>3599.0194769509235</v>
      </c>
      <c r="J14" s="20">
        <v>3253.5149361870685</v>
      </c>
      <c r="K14" s="20">
        <v>3297.4991969459452</v>
      </c>
      <c r="L14" s="20">
        <v>3358.7505459711947</v>
      </c>
      <c r="M14" s="20">
        <v>3314.0651641784111</v>
      </c>
      <c r="N14" s="20">
        <v>3504.7204408477942</v>
      </c>
      <c r="O14" s="20">
        <v>3466.2565064079563</v>
      </c>
      <c r="P14" s="20">
        <v>2823.2752182729046</v>
      </c>
      <c r="Q14" s="21">
        <f>SUM(E14:P14)</f>
        <v>40623.081539647974</v>
      </c>
    </row>
    <row r="15" spans="2:17">
      <c r="B15" s="25" t="s">
        <v>484</v>
      </c>
      <c r="C15" s="23"/>
      <c r="D15" s="24" t="s">
        <v>479</v>
      </c>
      <c r="E15" s="20">
        <v>3264.5558707120417</v>
      </c>
      <c r="F15" s="20">
        <v>3049.6092425671818</v>
      </c>
      <c r="G15" s="20">
        <v>3423.3867185844629</v>
      </c>
      <c r="H15" s="20">
        <v>3251.7615553554297</v>
      </c>
      <c r="I15" s="20">
        <v>3344.852810284257</v>
      </c>
      <c r="J15" s="20">
        <v>2999.348269520402</v>
      </c>
      <c r="K15" s="20">
        <v>3043.3325302792787</v>
      </c>
      <c r="L15" s="20">
        <v>3104.5838793045282</v>
      </c>
      <c r="M15" s="20">
        <v>3059.8984975117446</v>
      </c>
      <c r="N15" s="20">
        <v>3250.5537741811277</v>
      </c>
      <c r="O15" s="20">
        <v>3212.0898397412898</v>
      </c>
      <c r="P15" s="20">
        <v>2569.1085516062381</v>
      </c>
      <c r="Q15" s="21">
        <f>SUM(E15:P15)</f>
        <v>37573.081539647988</v>
      </c>
    </row>
    <row r="16" spans="2:17">
      <c r="B16" s="26" t="s">
        <v>485</v>
      </c>
      <c r="C16" s="27"/>
      <c r="D16" s="24" t="s">
        <v>479</v>
      </c>
      <c r="E16" s="20">
        <f>3.05*1000/(12)</f>
        <v>254.16666666666666</v>
      </c>
      <c r="F16" s="20">
        <f t="shared" ref="F16:I16" si="0">3.05*1000/(12)</f>
        <v>254.16666666666666</v>
      </c>
      <c r="G16" s="20">
        <f t="shared" si="0"/>
        <v>254.16666666666666</v>
      </c>
      <c r="H16" s="20">
        <f t="shared" si="0"/>
        <v>254.16666666666666</v>
      </c>
      <c r="I16" s="20">
        <f t="shared" si="0"/>
        <v>254.16666666666666</v>
      </c>
      <c r="J16" s="20">
        <f>3.05*1000/(12)</f>
        <v>254.16666666666666</v>
      </c>
      <c r="K16" s="20">
        <f>3.05*1000/(12)</f>
        <v>254.16666666666666</v>
      </c>
      <c r="L16" s="20">
        <f t="shared" ref="L16:P16" si="1">3.05*1000/(12)</f>
        <v>254.16666666666666</v>
      </c>
      <c r="M16" s="20">
        <f t="shared" si="1"/>
        <v>254.16666666666666</v>
      </c>
      <c r="N16" s="20">
        <f t="shared" si="1"/>
        <v>254.16666666666666</v>
      </c>
      <c r="O16" s="20">
        <f t="shared" si="1"/>
        <v>254.16666666666666</v>
      </c>
      <c r="P16" s="20">
        <f t="shared" si="1"/>
        <v>254.16666666666666</v>
      </c>
      <c r="Q16" s="21">
        <f t="shared" ref="Q16" si="2">SUM(E16:P16)</f>
        <v>3049.9999999999995</v>
      </c>
    </row>
    <row r="17" spans="2:23">
      <c r="B17" s="28" t="s">
        <v>337</v>
      </c>
      <c r="C17" s="29"/>
      <c r="D17" s="30" t="s">
        <v>479</v>
      </c>
      <c r="E17" s="30">
        <f t="shared" ref="E17:J17" si="3">+E12+E13-E14</f>
        <v>23823.939204147893</v>
      </c>
      <c r="F17" s="30">
        <f t="shared" si="3"/>
        <v>21711.104461421924</v>
      </c>
      <c r="G17" s="30">
        <f t="shared" si="3"/>
        <v>24369.200664639273</v>
      </c>
      <c r="H17" s="30">
        <f t="shared" si="3"/>
        <v>22947.652074154816</v>
      </c>
      <c r="I17" s="30">
        <f t="shared" si="3"/>
        <v>24615.624363747316</v>
      </c>
      <c r="J17" s="30">
        <f t="shared" si="3"/>
        <v>20625.345500824649</v>
      </c>
      <c r="K17" s="30">
        <f>+K12+K13-K14</f>
        <v>18818.749051615079</v>
      </c>
      <c r="L17" s="30">
        <f t="shared" ref="L17:P17" si="4">+L12+L13-L14</f>
        <v>18723.749674731931</v>
      </c>
      <c r="M17" s="30">
        <f t="shared" si="4"/>
        <v>17547.001174688779</v>
      </c>
      <c r="N17" s="30">
        <f t="shared" si="4"/>
        <v>21062.905604985554</v>
      </c>
      <c r="O17" s="30">
        <f t="shared" si="4"/>
        <v>20390.968147413987</v>
      </c>
      <c r="P17" s="30">
        <f t="shared" si="4"/>
        <v>16712.772179891424</v>
      </c>
      <c r="Q17" s="31">
        <f>SUM(E17:P17)</f>
        <v>251349.01210226258</v>
      </c>
    </row>
    <row r="18" spans="2:23">
      <c r="B18" s="32"/>
    </row>
    <row r="19" spans="2:23">
      <c r="B19" s="11" t="s">
        <v>486</v>
      </c>
      <c r="C19" s="12"/>
      <c r="D19" s="33" t="s">
        <v>487</v>
      </c>
      <c r="E19" s="34">
        <v>6.65</v>
      </c>
      <c r="F19" s="34">
        <v>8.83</v>
      </c>
      <c r="G19" s="34">
        <v>7.39</v>
      </c>
      <c r="H19" s="34">
        <v>0.75</v>
      </c>
      <c r="I19" s="34">
        <v>0</v>
      </c>
      <c r="J19" s="34">
        <v>0</v>
      </c>
      <c r="K19" s="34">
        <v>20.7</v>
      </c>
      <c r="L19" s="34">
        <v>0</v>
      </c>
      <c r="M19" s="34">
        <v>0</v>
      </c>
      <c r="N19" s="34">
        <v>8.75</v>
      </c>
      <c r="O19" s="34">
        <f>24+3.7</f>
        <v>27.7</v>
      </c>
      <c r="P19" s="34">
        <f>216+8.15</f>
        <v>224.15</v>
      </c>
      <c r="Q19" s="35">
        <f>SUM(E19:P19)</f>
        <v>304.92</v>
      </c>
    </row>
    <row r="20" spans="2:23">
      <c r="B20" s="11" t="s">
        <v>488</v>
      </c>
      <c r="C20" s="12"/>
      <c r="D20" s="33" t="s">
        <v>489</v>
      </c>
      <c r="E20" s="36">
        <f t="shared" ref="E20:P20" si="5">E19/24</f>
        <v>0.27708333333333335</v>
      </c>
      <c r="F20" s="36">
        <f t="shared" si="5"/>
        <v>0.36791666666666667</v>
      </c>
      <c r="G20" s="36">
        <f t="shared" si="5"/>
        <v>0.30791666666666667</v>
      </c>
      <c r="H20" s="36">
        <f t="shared" si="5"/>
        <v>3.125E-2</v>
      </c>
      <c r="I20" s="36">
        <f t="shared" si="5"/>
        <v>0</v>
      </c>
      <c r="J20" s="36">
        <f t="shared" si="5"/>
        <v>0</v>
      </c>
      <c r="K20" s="36">
        <f t="shared" si="5"/>
        <v>0.86249999999999993</v>
      </c>
      <c r="L20" s="36">
        <f t="shared" si="5"/>
        <v>0</v>
      </c>
      <c r="M20" s="36">
        <f t="shared" si="5"/>
        <v>0</v>
      </c>
      <c r="N20" s="36">
        <f t="shared" si="5"/>
        <v>0.36458333333333331</v>
      </c>
      <c r="O20" s="36">
        <f t="shared" si="5"/>
        <v>1.1541666666666666</v>
      </c>
      <c r="P20" s="36">
        <f t="shared" si="5"/>
        <v>9.3395833333333336</v>
      </c>
      <c r="Q20" s="35">
        <f>SUM(E20:P20)</f>
        <v>12.705</v>
      </c>
    </row>
    <row r="22" spans="2:23">
      <c r="B22" s="8" t="s">
        <v>490</v>
      </c>
    </row>
    <row r="24" spans="2:23">
      <c r="B24" s="11"/>
      <c r="C24" s="37" t="s">
        <v>491</v>
      </c>
      <c r="D24" s="19"/>
      <c r="E24" s="14" t="s">
        <v>465</v>
      </c>
      <c r="F24" s="14" t="s">
        <v>466</v>
      </c>
      <c r="G24" s="14" t="s">
        <v>467</v>
      </c>
      <c r="H24" s="14" t="s">
        <v>468</v>
      </c>
      <c r="I24" s="14" t="s">
        <v>469</v>
      </c>
      <c r="J24" s="14" t="s">
        <v>470</v>
      </c>
      <c r="K24" s="14" t="s">
        <v>471</v>
      </c>
      <c r="L24" s="14" t="s">
        <v>472</v>
      </c>
      <c r="M24" s="14" t="s">
        <v>473</v>
      </c>
      <c r="N24" s="14" t="s">
        <v>474</v>
      </c>
      <c r="O24" s="14" t="s">
        <v>475</v>
      </c>
      <c r="P24" s="15" t="s">
        <v>476</v>
      </c>
      <c r="Q24" s="16" t="s">
        <v>388</v>
      </c>
    </row>
    <row r="25" spans="2:23">
      <c r="B25" s="17" t="s">
        <v>347</v>
      </c>
      <c r="C25" s="38" t="s">
        <v>492</v>
      </c>
      <c r="D25" s="19" t="s">
        <v>493</v>
      </c>
      <c r="E25" s="39">
        <v>135311.05777740479</v>
      </c>
      <c r="F25" s="39">
        <v>127114.37507629395</v>
      </c>
      <c r="G25" s="39">
        <v>135901.56538391113</v>
      </c>
      <c r="H25" s="39">
        <v>130234.54110717773</v>
      </c>
      <c r="I25" s="39">
        <v>134568.13488769531</v>
      </c>
      <c r="J25" s="39">
        <v>126406.17929077148</v>
      </c>
      <c r="K25" s="39">
        <v>130671.91416931152</v>
      </c>
      <c r="L25" s="39">
        <v>130591.17044067383</v>
      </c>
      <c r="M25" s="39">
        <v>126437.7816619873</v>
      </c>
      <c r="N25" s="39">
        <v>130472.04737854004</v>
      </c>
      <c r="O25" s="39">
        <v>121990.98557281494</v>
      </c>
      <c r="P25" s="39">
        <v>86244.654069900513</v>
      </c>
      <c r="Q25" s="40">
        <f>SUM(E25:P25)</f>
        <v>1515944.4068164825</v>
      </c>
    </row>
    <row r="26" spans="2:23">
      <c r="B26" s="22" t="s">
        <v>354</v>
      </c>
      <c r="C26" s="41" t="s">
        <v>494</v>
      </c>
      <c r="D26" s="24" t="s">
        <v>493</v>
      </c>
      <c r="E26" s="42">
        <v>4104.475028321147</v>
      </c>
      <c r="F26" s="42">
        <v>4575.0195340812206</v>
      </c>
      <c r="G26" s="42">
        <v>5095.7831753715873</v>
      </c>
      <c r="H26" s="42">
        <v>4729.0460465028882</v>
      </c>
      <c r="I26" s="42">
        <v>6017.4695891924202</v>
      </c>
      <c r="J26" s="42">
        <v>7357.8171869516373</v>
      </c>
      <c r="K26" s="42">
        <v>5825.9249078631401</v>
      </c>
      <c r="L26" s="42">
        <v>9186.5466849803925</v>
      </c>
      <c r="M26" s="42">
        <v>10518.699828147888</v>
      </c>
      <c r="N26" s="42">
        <v>16753.892040252686</v>
      </c>
      <c r="O26" s="42">
        <v>14277.971439704299</v>
      </c>
      <c r="P26" s="42">
        <v>10736.143494367599</v>
      </c>
      <c r="Q26" s="21">
        <f t="shared" ref="Q26:Q27" si="6">SUM(E26:P26)</f>
        <v>99178.788955736905</v>
      </c>
    </row>
    <row r="27" spans="2:23">
      <c r="B27" s="22" t="s">
        <v>495</v>
      </c>
      <c r="C27" s="41" t="s">
        <v>496</v>
      </c>
      <c r="D27" s="43" t="s">
        <v>493</v>
      </c>
      <c r="E27" s="42">
        <v>11244.777885258198</v>
      </c>
      <c r="F27" s="42">
        <v>8921.7489338219166</v>
      </c>
      <c r="G27" s="42">
        <v>11746.963804930449</v>
      </c>
      <c r="H27" s="42">
        <v>10612.01143425703</v>
      </c>
      <c r="I27" s="42">
        <v>12472.473185062408</v>
      </c>
      <c r="J27" s="42">
        <v>14503.877691626549</v>
      </c>
      <c r="K27" s="42">
        <v>15678.120985031128</v>
      </c>
      <c r="L27" s="42">
        <v>15446.899428546429</v>
      </c>
      <c r="M27" s="42">
        <v>12210.811324834824</v>
      </c>
      <c r="N27" s="42">
        <v>9470.5852926969528</v>
      </c>
      <c r="O27" s="42">
        <v>7847.5627629123628</v>
      </c>
      <c r="P27" s="42">
        <v>4326.1330515742302</v>
      </c>
      <c r="Q27" s="44">
        <f t="shared" si="6"/>
        <v>134481.96578055248</v>
      </c>
      <c r="R27" s="45"/>
    </row>
    <row r="28" spans="2:23">
      <c r="B28" s="12" t="s">
        <v>497</v>
      </c>
      <c r="C28" s="46" t="s">
        <v>498</v>
      </c>
      <c r="D28" s="47"/>
      <c r="E28" s="48"/>
      <c r="F28" s="48"/>
      <c r="G28" s="48"/>
      <c r="H28" s="48"/>
      <c r="I28" s="48"/>
      <c r="J28" s="48"/>
      <c r="K28" s="48"/>
      <c r="L28" s="48"/>
      <c r="M28" s="48"/>
      <c r="N28" s="48"/>
      <c r="O28" s="48"/>
      <c r="P28" s="48"/>
      <c r="Q28" s="48"/>
      <c r="R28" s="49"/>
      <c r="S28" s="49"/>
      <c r="T28" s="49"/>
      <c r="U28" s="49"/>
      <c r="V28" s="49"/>
      <c r="W28" s="47"/>
    </row>
    <row r="29" spans="2:23">
      <c r="T29" s="49"/>
      <c r="W29" s="50"/>
    </row>
    <row r="30" spans="2:23">
      <c r="B30" s="8" t="s">
        <v>499</v>
      </c>
      <c r="C30" s="9"/>
      <c r="D30" s="10"/>
      <c r="E30" s="10"/>
      <c r="F30" s="10"/>
      <c r="G30" s="10"/>
      <c r="H30" s="10"/>
      <c r="I30" s="10"/>
      <c r="J30" s="10"/>
      <c r="K30" s="10"/>
      <c r="L30" s="10"/>
      <c r="M30" s="10"/>
      <c r="N30" s="10"/>
      <c r="O30" s="10"/>
      <c r="P30" s="10"/>
      <c r="Q30" s="51"/>
      <c r="R30" s="51"/>
      <c r="S30" s="51"/>
      <c r="T30" s="49"/>
    </row>
    <row r="31" spans="2:23">
      <c r="K31" s="52"/>
      <c r="L31" s="52"/>
      <c r="M31" s="52"/>
      <c r="N31" s="52"/>
      <c r="O31" s="52"/>
      <c r="P31" s="52"/>
      <c r="T31" s="49"/>
    </row>
    <row r="32" spans="2:23">
      <c r="B32" s="11"/>
      <c r="C32" s="12"/>
      <c r="D32" s="53"/>
      <c r="E32" s="14" t="s">
        <v>465</v>
      </c>
      <c r="F32" s="14" t="s">
        <v>466</v>
      </c>
      <c r="G32" s="14" t="s">
        <v>467</v>
      </c>
      <c r="H32" s="14" t="s">
        <v>468</v>
      </c>
      <c r="I32" s="14" t="s">
        <v>469</v>
      </c>
      <c r="J32" s="14" t="s">
        <v>470</v>
      </c>
      <c r="K32" s="14" t="s">
        <v>471</v>
      </c>
      <c r="L32" s="14" t="s">
        <v>472</v>
      </c>
      <c r="M32" s="14" t="s">
        <v>473</v>
      </c>
      <c r="N32" s="14" t="s">
        <v>474</v>
      </c>
      <c r="O32" s="14" t="s">
        <v>475</v>
      </c>
      <c r="P32" s="15" t="s">
        <v>476</v>
      </c>
      <c r="Q32" s="54" t="s">
        <v>388</v>
      </c>
    </row>
    <row r="33" spans="2:23" ht="14.25">
      <c r="B33" s="55" t="s">
        <v>500</v>
      </c>
      <c r="C33" s="56" t="s">
        <v>501</v>
      </c>
      <c r="D33" s="57" t="s">
        <v>493</v>
      </c>
      <c r="E33" s="623">
        <f>E37+E36</f>
        <v>15646.01</v>
      </c>
      <c r="F33" s="623">
        <v>10554</v>
      </c>
      <c r="G33" s="623">
        <v>14705</v>
      </c>
      <c r="H33" s="623">
        <v>15300</v>
      </c>
      <c r="I33" s="623">
        <v>15972</v>
      </c>
      <c r="J33" s="623">
        <v>16207</v>
      </c>
      <c r="K33" s="623">
        <v>16129</v>
      </c>
      <c r="L33" s="623">
        <v>15443</v>
      </c>
      <c r="M33" s="623">
        <v>14455</v>
      </c>
      <c r="N33" s="623">
        <v>14941</v>
      </c>
      <c r="O33" s="623">
        <v>13425</v>
      </c>
      <c r="P33" s="623">
        <v>13619</v>
      </c>
      <c r="Q33" s="21">
        <f>SUM(E33:P33)</f>
        <v>176396.01</v>
      </c>
    </row>
    <row r="34" spans="2:23">
      <c r="B34" s="55"/>
      <c r="C34" s="56"/>
      <c r="D34" s="57"/>
      <c r="E34" s="753">
        <f>E36+E39</f>
        <v>15057.209499999999</v>
      </c>
      <c r="F34" s="753">
        <f t="shared" ref="F34:P34" si="7">F36+F39</f>
        <v>10102.6525</v>
      </c>
      <c r="G34" s="753">
        <f t="shared" si="7"/>
        <v>14704.77</v>
      </c>
      <c r="H34" s="753">
        <f t="shared" si="7"/>
        <v>15299.91</v>
      </c>
      <c r="I34" s="753">
        <f t="shared" si="7"/>
        <v>15971.800999999999</v>
      </c>
      <c r="J34" s="753">
        <f t="shared" si="7"/>
        <v>16207.2</v>
      </c>
      <c r="K34" s="753">
        <f t="shared" si="7"/>
        <v>16128.907999999999</v>
      </c>
      <c r="L34" s="753">
        <f t="shared" si="7"/>
        <v>15443.79</v>
      </c>
      <c r="M34" s="753">
        <f t="shared" si="7"/>
        <v>14454.15</v>
      </c>
      <c r="N34" s="753">
        <f t="shared" si="7"/>
        <v>14941.17</v>
      </c>
      <c r="O34" s="753">
        <f t="shared" si="7"/>
        <v>13425.02</v>
      </c>
      <c r="P34" s="753">
        <f t="shared" si="7"/>
        <v>13619.032999999999</v>
      </c>
      <c r="Q34" s="754">
        <f>SUM(E34:P34)</f>
        <v>175355.61399999997</v>
      </c>
      <c r="R34" s="4" t="s">
        <v>619</v>
      </c>
    </row>
    <row r="35" spans="2:23">
      <c r="B35" s="55"/>
      <c r="C35" s="56"/>
      <c r="D35" s="57"/>
      <c r="E35" s="715">
        <f>E38+E36</f>
        <v>16234.810500000001</v>
      </c>
      <c r="F35" s="715">
        <f t="shared" ref="F35:O35" si="8">F38+F36</f>
        <v>10955.247500000001</v>
      </c>
      <c r="G35" s="715">
        <f t="shared" si="8"/>
        <v>14704.77</v>
      </c>
      <c r="H35" s="715">
        <f t="shared" si="8"/>
        <v>15299.91</v>
      </c>
      <c r="I35" s="715">
        <f t="shared" si="8"/>
        <v>15971.800999999999</v>
      </c>
      <c r="J35" s="715">
        <f t="shared" si="8"/>
        <v>16207.2</v>
      </c>
      <c r="K35" s="715">
        <f t="shared" si="8"/>
        <v>16128.907999999999</v>
      </c>
      <c r="L35" s="715">
        <f t="shared" si="8"/>
        <v>16085.629500000001</v>
      </c>
      <c r="M35" s="715">
        <f t="shared" si="8"/>
        <v>14454.15</v>
      </c>
      <c r="N35" s="715">
        <f t="shared" si="8"/>
        <v>14941.17</v>
      </c>
      <c r="O35" s="715">
        <f t="shared" si="8"/>
        <v>13425.02</v>
      </c>
      <c r="P35" s="715">
        <f>P38+P36</f>
        <v>13619.032999999999</v>
      </c>
      <c r="Q35" s="716">
        <f>SUM(E35:P35)</f>
        <v>178027.6495</v>
      </c>
      <c r="R35" s="4" t="s">
        <v>617</v>
      </c>
    </row>
    <row r="36" spans="2:23">
      <c r="B36" s="55" t="s">
        <v>502</v>
      </c>
      <c r="C36" s="56"/>
      <c r="D36" s="57"/>
      <c r="E36" s="624">
        <v>3870</v>
      </c>
      <c r="F36" s="624">
        <v>2003</v>
      </c>
      <c r="G36" s="624">
        <v>2102</v>
      </c>
      <c r="H36" s="624">
        <v>1930</v>
      </c>
      <c r="I36" s="624">
        <v>2285</v>
      </c>
      <c r="J36" s="624">
        <v>2197</v>
      </c>
      <c r="K36" s="624">
        <v>3138</v>
      </c>
      <c r="L36" s="624">
        <v>2607</v>
      </c>
      <c r="M36" s="624">
        <v>2527</v>
      </c>
      <c r="N36" s="624">
        <v>2704</v>
      </c>
      <c r="O36" s="624">
        <v>2913</v>
      </c>
      <c r="P36" s="624">
        <v>2694</v>
      </c>
      <c r="Q36" s="21">
        <f t="shared" ref="Q36:Q43" si="9">SUM(E36:P36)</f>
        <v>30970</v>
      </c>
    </row>
    <row r="37" spans="2:23" ht="13.5" thickBot="1">
      <c r="B37" s="55" t="s">
        <v>503</v>
      </c>
      <c r="C37" s="56"/>
      <c r="D37" s="57"/>
      <c r="E37" s="660">
        <f>11776010/1000</f>
        <v>11776.01</v>
      </c>
      <c r="F37" s="660">
        <f>8525950/1000</f>
        <v>8525.9500000000007</v>
      </c>
      <c r="G37" s="624">
        <f>12602770/1000</f>
        <v>12602.77</v>
      </c>
      <c r="H37" s="624">
        <f>13369910/1000</f>
        <v>13369.91</v>
      </c>
      <c r="I37" s="624">
        <f>13686801/1000</f>
        <v>13686.800999999999</v>
      </c>
      <c r="J37" s="624">
        <f>14010200/1000</f>
        <v>14010.2</v>
      </c>
      <c r="K37" s="624">
        <f>12990908/1000</f>
        <v>12990.907999999999</v>
      </c>
      <c r="L37" s="660">
        <f>12836790/1000</f>
        <v>12836.79</v>
      </c>
      <c r="M37" s="624">
        <f>11927150/1000</f>
        <v>11927.15</v>
      </c>
      <c r="N37" s="624">
        <f>12237170/1000</f>
        <v>12237.17</v>
      </c>
      <c r="O37" s="624">
        <f>10512020/1000</f>
        <v>10512.02</v>
      </c>
      <c r="P37" s="624">
        <f>10925033/1000</f>
        <v>10925.032999999999</v>
      </c>
      <c r="Q37" s="662">
        <f t="shared" si="9"/>
        <v>145400.712</v>
      </c>
      <c r="R37" s="52" t="s">
        <v>615</v>
      </c>
      <c r="S37" s="52"/>
      <c r="T37" s="52"/>
      <c r="U37" s="52"/>
    </row>
    <row r="38" spans="2:23" ht="13.5" thickBot="1">
      <c r="B38" s="55"/>
      <c r="C38" s="56"/>
      <c r="D38" s="109" t="s">
        <v>578</v>
      </c>
      <c r="E38" s="738">
        <f>E37*(1+0.05)</f>
        <v>12364.810500000001</v>
      </c>
      <c r="F38" s="739">
        <f>F37*(1+0.05)</f>
        <v>8952.2475000000013</v>
      </c>
      <c r="G38" s="740">
        <f>G37</f>
        <v>12602.77</v>
      </c>
      <c r="H38" s="740">
        <f t="shared" ref="H38:K38" si="10">H37</f>
        <v>13369.91</v>
      </c>
      <c r="I38" s="740">
        <f t="shared" si="10"/>
        <v>13686.800999999999</v>
      </c>
      <c r="J38" s="740">
        <f t="shared" si="10"/>
        <v>14010.2</v>
      </c>
      <c r="K38" s="740">
        <f t="shared" si="10"/>
        <v>12990.907999999999</v>
      </c>
      <c r="L38" s="739">
        <f>L37*(1+0.05)</f>
        <v>13478.629500000001</v>
      </c>
      <c r="M38" s="740">
        <f>M37</f>
        <v>11927.15</v>
      </c>
      <c r="N38" s="740">
        <f t="shared" ref="N38:P38" si="11">N37</f>
        <v>12237.17</v>
      </c>
      <c r="O38" s="740">
        <f t="shared" si="11"/>
        <v>10512.02</v>
      </c>
      <c r="P38" s="740">
        <f t="shared" si="11"/>
        <v>10925.032999999999</v>
      </c>
      <c r="Q38" s="741">
        <f t="shared" si="9"/>
        <v>147057.6495</v>
      </c>
      <c r="R38" s="4" t="s">
        <v>616</v>
      </c>
      <c r="S38" s="4" t="s">
        <v>578</v>
      </c>
    </row>
    <row r="39" spans="2:23">
      <c r="B39" s="55"/>
      <c r="C39" s="56"/>
      <c r="D39" s="109" t="s">
        <v>618</v>
      </c>
      <c r="E39" s="752">
        <f>E37*(1-0.05)</f>
        <v>11187.209499999999</v>
      </c>
      <c r="F39" s="752">
        <f>F37*(1-0.05)</f>
        <v>8099.6525000000001</v>
      </c>
      <c r="G39" s="624">
        <f>G37</f>
        <v>12602.77</v>
      </c>
      <c r="H39" s="624">
        <f t="shared" ref="H39:P39" si="12">H37</f>
        <v>13369.91</v>
      </c>
      <c r="I39" s="624">
        <f t="shared" si="12"/>
        <v>13686.800999999999</v>
      </c>
      <c r="J39" s="624">
        <f t="shared" si="12"/>
        <v>14010.2</v>
      </c>
      <c r="K39" s="624">
        <f t="shared" si="12"/>
        <v>12990.907999999999</v>
      </c>
      <c r="L39" s="624">
        <f t="shared" si="12"/>
        <v>12836.79</v>
      </c>
      <c r="M39" s="624">
        <f t="shared" si="12"/>
        <v>11927.15</v>
      </c>
      <c r="N39" s="624">
        <f t="shared" si="12"/>
        <v>12237.17</v>
      </c>
      <c r="O39" s="624">
        <f t="shared" si="12"/>
        <v>10512.02</v>
      </c>
      <c r="P39" s="624">
        <f t="shared" si="12"/>
        <v>10925.032999999999</v>
      </c>
      <c r="Q39" s="662">
        <f t="shared" si="9"/>
        <v>144385.614</v>
      </c>
      <c r="R39" s="4" t="s">
        <v>619</v>
      </c>
    </row>
    <row r="40" spans="2:23" ht="28.5" customHeight="1" thickBot="1">
      <c r="B40" s="25" t="s">
        <v>504</v>
      </c>
      <c r="C40" s="56" t="s">
        <v>119</v>
      </c>
      <c r="D40" s="57" t="s">
        <v>493</v>
      </c>
      <c r="E40" s="655">
        <f>24625</f>
        <v>24625</v>
      </c>
      <c r="F40" s="655">
        <f>19709</f>
        <v>19709</v>
      </c>
      <c r="G40" s="623">
        <v>24904</v>
      </c>
      <c r="H40" s="623">
        <v>16211</v>
      </c>
      <c r="I40" s="623">
        <v>21531</v>
      </c>
      <c r="J40" s="623">
        <v>21132</v>
      </c>
      <c r="K40" s="623">
        <v>22996</v>
      </c>
      <c r="L40" s="655">
        <f>21895</f>
        <v>21895</v>
      </c>
      <c r="M40" s="623">
        <v>22213</v>
      </c>
      <c r="N40" s="623">
        <v>26116</v>
      </c>
      <c r="O40" s="623">
        <v>22672</v>
      </c>
      <c r="P40" s="623">
        <v>25861</v>
      </c>
      <c r="Q40" s="662">
        <f>SUM(E40:P40)</f>
        <v>269865</v>
      </c>
      <c r="S40" s="52"/>
    </row>
    <row r="41" spans="2:23" ht="22.5" customHeight="1" thickBot="1">
      <c r="B41" s="25"/>
      <c r="C41" s="56"/>
      <c r="D41" s="109" t="s">
        <v>578</v>
      </c>
      <c r="E41" s="742">
        <f>E40*(1+0.05)</f>
        <v>25856.25</v>
      </c>
      <c r="F41" s="743">
        <f>F40*(1+0.05)</f>
        <v>20694.45</v>
      </c>
      <c r="G41" s="744">
        <f>G40</f>
        <v>24904</v>
      </c>
      <c r="H41" s="744">
        <f t="shared" ref="H41:K41" si="13">H40</f>
        <v>16211</v>
      </c>
      <c r="I41" s="744">
        <f t="shared" si="13"/>
        <v>21531</v>
      </c>
      <c r="J41" s="744">
        <f t="shared" si="13"/>
        <v>21132</v>
      </c>
      <c r="K41" s="744">
        <f t="shared" si="13"/>
        <v>22996</v>
      </c>
      <c r="L41" s="743">
        <f>L40*(1+0.05)</f>
        <v>22989.75</v>
      </c>
      <c r="M41" s="744">
        <f>M40</f>
        <v>22213</v>
      </c>
      <c r="N41" s="744">
        <f t="shared" ref="N41:P41" si="14">N40</f>
        <v>26116</v>
      </c>
      <c r="O41" s="744">
        <f t="shared" si="14"/>
        <v>22672</v>
      </c>
      <c r="P41" s="744">
        <f t="shared" si="14"/>
        <v>25861</v>
      </c>
      <c r="Q41" s="745">
        <f t="shared" si="9"/>
        <v>273176.45</v>
      </c>
    </row>
    <row r="42" spans="2:23" ht="22.5" customHeight="1">
      <c r="B42" s="25"/>
      <c r="C42" s="56"/>
      <c r="D42" s="109" t="s">
        <v>618</v>
      </c>
      <c r="E42" s="756">
        <f>E40*(1-0.05)</f>
        <v>23393.75</v>
      </c>
      <c r="F42" s="756">
        <f>F40*(1-0.05)</f>
        <v>18723.55</v>
      </c>
      <c r="G42" s="753">
        <f>G40</f>
        <v>24904</v>
      </c>
      <c r="H42" s="753">
        <f t="shared" ref="H42:P42" si="15">H40</f>
        <v>16211</v>
      </c>
      <c r="I42" s="753">
        <f t="shared" si="15"/>
        <v>21531</v>
      </c>
      <c r="J42" s="753">
        <f t="shared" si="15"/>
        <v>21132</v>
      </c>
      <c r="K42" s="753">
        <f t="shared" si="15"/>
        <v>22996</v>
      </c>
      <c r="L42" s="753">
        <f t="shared" si="15"/>
        <v>21895</v>
      </c>
      <c r="M42" s="753">
        <f t="shared" si="15"/>
        <v>22213</v>
      </c>
      <c r="N42" s="753">
        <f t="shared" si="15"/>
        <v>26116</v>
      </c>
      <c r="O42" s="753">
        <f t="shared" si="15"/>
        <v>22672</v>
      </c>
      <c r="P42" s="753">
        <f t="shared" si="15"/>
        <v>25861</v>
      </c>
      <c r="Q42" s="757">
        <f>SUM(E42:P42)</f>
        <v>267648.3</v>
      </c>
      <c r="R42" s="4" t="s">
        <v>619</v>
      </c>
    </row>
    <row r="43" spans="2:23" ht="22.5" customHeight="1">
      <c r="B43" s="26" t="s">
        <v>505</v>
      </c>
      <c r="C43" s="59" t="s">
        <v>121</v>
      </c>
      <c r="D43" s="60" t="s">
        <v>493</v>
      </c>
      <c r="E43" s="625">
        <v>0</v>
      </c>
      <c r="F43" s="625">
        <v>0</v>
      </c>
      <c r="G43" s="625">
        <v>0</v>
      </c>
      <c r="H43" s="625">
        <v>0</v>
      </c>
      <c r="I43" s="625">
        <v>0</v>
      </c>
      <c r="J43" s="625">
        <v>0</v>
      </c>
      <c r="K43" s="625">
        <v>0</v>
      </c>
      <c r="L43" s="625">
        <v>0</v>
      </c>
      <c r="M43" s="625">
        <v>0</v>
      </c>
      <c r="N43" s="625">
        <v>0</v>
      </c>
      <c r="O43" s="625">
        <v>0</v>
      </c>
      <c r="P43" s="625">
        <v>0</v>
      </c>
      <c r="Q43" s="21">
        <f t="shared" si="9"/>
        <v>0</v>
      </c>
    </row>
    <row r="44" spans="2:23" ht="22.5" customHeight="1">
      <c r="B44" s="62" t="s">
        <v>388</v>
      </c>
      <c r="C44" s="63"/>
      <c r="D44" s="64" t="s">
        <v>493</v>
      </c>
      <c r="E44" s="64">
        <f>E33+E40+E43</f>
        <v>40271.01</v>
      </c>
      <c r="F44" s="65">
        <f>F33+F40+F43</f>
        <v>30263</v>
      </c>
      <c r="G44" s="65">
        <f t="shared" ref="G44:P44" si="16">G33+G40+G43</f>
        <v>39609</v>
      </c>
      <c r="H44" s="65">
        <f t="shared" si="16"/>
        <v>31511</v>
      </c>
      <c r="I44" s="65">
        <f t="shared" si="16"/>
        <v>37503</v>
      </c>
      <c r="J44" s="65">
        <f t="shared" si="16"/>
        <v>37339</v>
      </c>
      <c r="K44" s="65">
        <f t="shared" si="16"/>
        <v>39125</v>
      </c>
      <c r="L44" s="65">
        <f t="shared" si="16"/>
        <v>37338</v>
      </c>
      <c r="M44" s="65">
        <f t="shared" si="16"/>
        <v>36668</v>
      </c>
      <c r="N44" s="65">
        <f t="shared" si="16"/>
        <v>41057</v>
      </c>
      <c r="O44" s="65">
        <f t="shared" si="16"/>
        <v>36097</v>
      </c>
      <c r="P44" s="54">
        <f t="shared" si="16"/>
        <v>39480</v>
      </c>
      <c r="Q44" s="31">
        <f>SUM(E44:P44)</f>
        <v>446261.01</v>
      </c>
    </row>
    <row r="45" spans="2:23" ht="22.5" customHeight="1">
      <c r="B45" s="66"/>
      <c r="C45" s="67"/>
      <c r="D45" s="737"/>
      <c r="E45" s="737">
        <f>E35+E41+E43</f>
        <v>42091.0605</v>
      </c>
      <c r="F45" s="737">
        <f t="shared" ref="F45:P45" si="17">F35+F41+F43</f>
        <v>31649.697500000002</v>
      </c>
      <c r="G45" s="737">
        <f t="shared" si="17"/>
        <v>39608.770000000004</v>
      </c>
      <c r="H45" s="737">
        <f t="shared" si="17"/>
        <v>31510.91</v>
      </c>
      <c r="I45" s="737">
        <f t="shared" si="17"/>
        <v>37502.800999999999</v>
      </c>
      <c r="J45" s="737">
        <f t="shared" si="17"/>
        <v>37339.199999999997</v>
      </c>
      <c r="K45" s="737">
        <f t="shared" si="17"/>
        <v>39124.907999999996</v>
      </c>
      <c r="L45" s="737">
        <f t="shared" si="17"/>
        <v>39075.379500000003</v>
      </c>
      <c r="M45" s="737">
        <f t="shared" si="17"/>
        <v>36667.15</v>
      </c>
      <c r="N45" s="737">
        <f t="shared" si="17"/>
        <v>41057.17</v>
      </c>
      <c r="O45" s="737">
        <f t="shared" si="17"/>
        <v>36097.020000000004</v>
      </c>
      <c r="P45" s="737">
        <f t="shared" si="17"/>
        <v>39480.032999999996</v>
      </c>
      <c r="Q45" s="31">
        <f>SUM(E45:P45)</f>
        <v>451204.09950000001</v>
      </c>
      <c r="R45" s="4" t="s">
        <v>584</v>
      </c>
    </row>
    <row r="46" spans="2:23" ht="22.5" customHeight="1">
      <c r="B46" s="265" t="s">
        <v>577</v>
      </c>
      <c r="C46" s="66"/>
      <c r="D46" s="67"/>
      <c r="E46" s="67"/>
      <c r="F46" s="67"/>
      <c r="G46" s="67"/>
      <c r="H46" s="67"/>
      <c r="I46" s="67"/>
      <c r="J46" s="67"/>
      <c r="K46" s="68"/>
      <c r="L46" s="68"/>
      <c r="M46" s="68"/>
      <c r="N46" s="68"/>
      <c r="O46" s="68"/>
      <c r="P46" s="68"/>
      <c r="Q46" s="68"/>
      <c r="R46" s="68"/>
      <c r="S46" s="68"/>
      <c r="T46" s="68"/>
      <c r="U46" s="68"/>
      <c r="V46" s="68"/>
      <c r="W46" s="61"/>
    </row>
    <row r="47" spans="2:23" ht="22.5" customHeight="1">
      <c r="B47" s="265" t="s">
        <v>575</v>
      </c>
    </row>
    <row r="48" spans="2:23" ht="22.5" customHeight="1">
      <c r="B48" s="265" t="s">
        <v>576</v>
      </c>
    </row>
    <row r="49" spans="2:23">
      <c r="B49" s="4" t="s">
        <v>621</v>
      </c>
    </row>
    <row r="50" spans="2:23">
      <c r="B50" s="265"/>
    </row>
    <row r="51" spans="2:23">
      <c r="B51" s="69"/>
      <c r="C51" s="9"/>
      <c r="D51" s="10"/>
      <c r="E51" s="70"/>
      <c r="F51" s="70"/>
      <c r="G51" s="70"/>
      <c r="H51" s="70"/>
      <c r="I51" s="70"/>
      <c r="J51" s="70"/>
      <c r="K51" s="70"/>
      <c r="L51" s="70"/>
      <c r="M51" s="70"/>
      <c r="N51" s="70"/>
      <c r="O51" s="70"/>
      <c r="P51" s="70"/>
      <c r="Q51" s="71"/>
      <c r="R51" s="72"/>
      <c r="S51" s="72"/>
      <c r="T51" s="72"/>
      <c r="U51" s="71"/>
      <c r="V51" s="71"/>
      <c r="W51" s="61"/>
    </row>
    <row r="52" spans="2:23">
      <c r="B52" s="69"/>
      <c r="C52" s="9"/>
      <c r="D52" s="10"/>
      <c r="E52" s="70"/>
      <c r="F52" s="70"/>
      <c r="G52" s="70"/>
      <c r="H52" s="70"/>
      <c r="I52" s="70"/>
      <c r="J52" s="70"/>
      <c r="K52" s="70"/>
      <c r="L52" s="70"/>
      <c r="M52" s="70"/>
      <c r="N52" s="70"/>
      <c r="O52" s="70"/>
      <c r="P52" s="70"/>
      <c r="Q52" s="71"/>
      <c r="R52" s="72"/>
      <c r="S52" s="72"/>
      <c r="T52" s="72"/>
      <c r="U52" s="71"/>
      <c r="V52" s="71"/>
      <c r="W52" s="61"/>
    </row>
    <row r="53" spans="2:23">
      <c r="B53" s="73" t="s">
        <v>506</v>
      </c>
      <c r="C53" s="66"/>
      <c r="D53" s="67"/>
      <c r="E53" s="67"/>
      <c r="F53" s="67"/>
      <c r="G53" s="67"/>
      <c r="H53" s="67"/>
      <c r="I53" s="67"/>
      <c r="J53" s="67"/>
      <c r="K53" s="74"/>
      <c r="L53" s="74"/>
      <c r="M53" s="74"/>
      <c r="N53" s="74"/>
      <c r="O53" s="74"/>
      <c r="P53" s="74"/>
      <c r="Q53" s="74"/>
      <c r="R53" s="74"/>
      <c r="S53" s="74"/>
      <c r="T53" s="74"/>
      <c r="U53" s="74"/>
      <c r="V53" s="74"/>
      <c r="W53" s="75"/>
    </row>
    <row r="54" spans="2:23">
      <c r="B54" s="76"/>
      <c r="C54" s="62"/>
      <c r="D54" s="63"/>
      <c r="E54" s="14" t="s">
        <v>465</v>
      </c>
      <c r="F54" s="14" t="s">
        <v>466</v>
      </c>
      <c r="G54" s="14" t="s">
        <v>467</v>
      </c>
      <c r="H54" s="14" t="s">
        <v>468</v>
      </c>
      <c r="I54" s="14" t="s">
        <v>469</v>
      </c>
      <c r="J54" s="14" t="s">
        <v>470</v>
      </c>
      <c r="K54" s="14" t="s">
        <v>471</v>
      </c>
      <c r="L54" s="14" t="s">
        <v>472</v>
      </c>
      <c r="M54" s="14" t="s">
        <v>473</v>
      </c>
      <c r="N54" s="14" t="s">
        <v>474</v>
      </c>
      <c r="O54" s="14" t="s">
        <v>475</v>
      </c>
      <c r="P54" s="15" t="s">
        <v>476</v>
      </c>
      <c r="Q54" s="54" t="s">
        <v>388</v>
      </c>
    </row>
    <row r="55" spans="2:23">
      <c r="B55" s="77" t="s">
        <v>507</v>
      </c>
      <c r="C55" s="22"/>
      <c r="D55" s="78" t="s">
        <v>114</v>
      </c>
      <c r="E55" s="79">
        <v>0.36447522378171049</v>
      </c>
      <c r="F55" s="79">
        <v>0.37190411813768781</v>
      </c>
      <c r="G55" s="79">
        <v>0.3997189566211376</v>
      </c>
      <c r="H55" s="79">
        <v>0.4116718844322827</v>
      </c>
      <c r="I55" s="79">
        <v>0.41335129278978727</v>
      </c>
      <c r="J55" s="79">
        <v>0.48636755813012572</v>
      </c>
      <c r="K55" s="79">
        <v>0.46709598640885158</v>
      </c>
      <c r="L55" s="79">
        <v>0.45470546986897675</v>
      </c>
      <c r="M55" s="79">
        <v>0.4534931485888849</v>
      </c>
      <c r="N55" s="654">
        <v>0.40524252132761124</v>
      </c>
      <c r="O55" s="79">
        <v>0.37782898032173623</v>
      </c>
      <c r="P55" s="79">
        <v>0.38400233945606299</v>
      </c>
      <c r="Q55" s="80">
        <f>AVERAGE(E55:P55)</f>
        <v>0.4158214566554046</v>
      </c>
    </row>
    <row r="56" spans="2:23">
      <c r="B56" s="77"/>
      <c r="C56" s="22"/>
      <c r="D56" s="78"/>
      <c r="E56" s="79">
        <f>E55</f>
        <v>0.36447522378171049</v>
      </c>
      <c r="F56" s="79">
        <f t="shared" ref="F56:M56" si="18">F55</f>
        <v>0.37190411813768781</v>
      </c>
      <c r="G56" s="79">
        <f t="shared" si="18"/>
        <v>0.3997189566211376</v>
      </c>
      <c r="H56" s="79">
        <f t="shared" si="18"/>
        <v>0.4116718844322827</v>
      </c>
      <c r="I56" s="79">
        <f t="shared" si="18"/>
        <v>0.41335129278978727</v>
      </c>
      <c r="J56" s="79">
        <f t="shared" si="18"/>
        <v>0.48636755813012572</v>
      </c>
      <c r="K56" s="79">
        <f t="shared" si="18"/>
        <v>0.46709598640885158</v>
      </c>
      <c r="L56" s="79">
        <f t="shared" si="18"/>
        <v>0.45470546986897675</v>
      </c>
      <c r="M56" s="79">
        <f t="shared" si="18"/>
        <v>0.4534931485888849</v>
      </c>
      <c r="N56" s="672">
        <f>N55*1.015</f>
        <v>0.41132115914752537</v>
      </c>
      <c r="O56" s="79">
        <f>O55</f>
        <v>0.37782898032173623</v>
      </c>
      <c r="P56" s="79">
        <f>P55</f>
        <v>0.38400233945606299</v>
      </c>
      <c r="Q56" s="80">
        <f>AVERAGE(E56:P56)</f>
        <v>0.41632800980706408</v>
      </c>
      <c r="R56" s="4" t="s">
        <v>584</v>
      </c>
    </row>
    <row r="57" spans="2:23" ht="25.5">
      <c r="B57" s="77" t="s">
        <v>508</v>
      </c>
      <c r="C57" s="22"/>
      <c r="D57" s="78" t="s">
        <v>114</v>
      </c>
      <c r="E57" s="79">
        <v>0.37979070685446553</v>
      </c>
      <c r="F57" s="79">
        <v>0.32018338126754614</v>
      </c>
      <c r="G57" s="79">
        <v>0.3914054627013957</v>
      </c>
      <c r="H57" s="79">
        <v>0.3839420997115352</v>
      </c>
      <c r="I57" s="79">
        <v>0.47439025541222207</v>
      </c>
      <c r="J57" s="79">
        <v>0.5262254189114931</v>
      </c>
      <c r="K57" s="79">
        <v>0.59204326875857216</v>
      </c>
      <c r="L57" s="79">
        <v>0.52554386453466251</v>
      </c>
      <c r="M57" s="79">
        <v>0.5283034969493684</v>
      </c>
      <c r="N57" s="654">
        <v>0.47481596619977334</v>
      </c>
      <c r="O57" s="79">
        <v>0.42790108648555869</v>
      </c>
      <c r="P57" s="79">
        <v>0.42397068884209355</v>
      </c>
      <c r="Q57" s="81">
        <f>AVERAGE(E57:P57)</f>
        <v>0.45404297471905714</v>
      </c>
    </row>
    <row r="58" spans="2:23">
      <c r="B58" s="77"/>
      <c r="C58" s="22"/>
      <c r="D58" s="78"/>
      <c r="E58" s="79">
        <f>E57</f>
        <v>0.37979070685446553</v>
      </c>
      <c r="F58" s="79">
        <f t="shared" ref="F58:M58" si="19">F57</f>
        <v>0.32018338126754614</v>
      </c>
      <c r="G58" s="79">
        <f t="shared" si="19"/>
        <v>0.3914054627013957</v>
      </c>
      <c r="H58" s="79">
        <f t="shared" si="19"/>
        <v>0.3839420997115352</v>
      </c>
      <c r="I58" s="79">
        <f t="shared" si="19"/>
        <v>0.47439025541222207</v>
      </c>
      <c r="J58" s="79">
        <f t="shared" si="19"/>
        <v>0.5262254189114931</v>
      </c>
      <c r="K58" s="79">
        <f t="shared" si="19"/>
        <v>0.59204326875857216</v>
      </c>
      <c r="L58" s="79">
        <f t="shared" si="19"/>
        <v>0.52554386453466251</v>
      </c>
      <c r="M58" s="79">
        <f t="shared" si="19"/>
        <v>0.5283034969493684</v>
      </c>
      <c r="N58" s="672">
        <f>N57*1.015</f>
        <v>0.48193820569276991</v>
      </c>
      <c r="O58" s="79">
        <f>O57</f>
        <v>0.42790108648555869</v>
      </c>
      <c r="P58" s="79">
        <f>P57</f>
        <v>0.42397068884209355</v>
      </c>
      <c r="Q58" s="81">
        <f>AVERAGE(E58:P58)</f>
        <v>0.45463649467680689</v>
      </c>
      <c r="R58" s="4" t="s">
        <v>584</v>
      </c>
    </row>
    <row r="59" spans="2:23" ht="25.5">
      <c r="B59" s="82" t="s">
        <v>509</v>
      </c>
      <c r="C59" s="83"/>
      <c r="D59" s="84" t="s">
        <v>114</v>
      </c>
      <c r="E59" s="85" t="s">
        <v>250</v>
      </c>
      <c r="F59" s="85" t="s">
        <v>250</v>
      </c>
      <c r="G59" s="85" t="s">
        <v>250</v>
      </c>
      <c r="H59" s="85" t="s">
        <v>250</v>
      </c>
      <c r="I59" s="85" t="s">
        <v>250</v>
      </c>
      <c r="J59" s="85" t="s">
        <v>250</v>
      </c>
      <c r="K59" s="86" t="s">
        <v>250</v>
      </c>
      <c r="L59" s="86" t="s">
        <v>250</v>
      </c>
      <c r="M59" s="86" t="s">
        <v>250</v>
      </c>
      <c r="N59" s="86" t="s">
        <v>250</v>
      </c>
      <c r="O59" s="86" t="s">
        <v>250</v>
      </c>
      <c r="P59" s="86" t="s">
        <v>250</v>
      </c>
      <c r="Q59" s="87" t="str">
        <f>IFERROR(AVERAGE(E59:P59),"-")</f>
        <v>-</v>
      </c>
    </row>
    <row r="60" spans="2:23">
      <c r="B60" s="265" t="s">
        <v>573</v>
      </c>
      <c r="C60" s="49"/>
      <c r="D60" s="88"/>
      <c r="E60" s="88"/>
      <c r="F60" s="88"/>
      <c r="G60" s="88"/>
      <c r="H60" s="88"/>
      <c r="I60" s="88"/>
      <c r="J60" s="88"/>
      <c r="K60" s="89"/>
      <c r="L60" s="89"/>
      <c r="M60" s="89"/>
      <c r="N60" s="89"/>
      <c r="O60" s="89"/>
      <c r="P60" s="89"/>
      <c r="Q60" s="89"/>
      <c r="R60" s="89"/>
      <c r="S60" s="89"/>
      <c r="T60" s="89"/>
      <c r="U60" s="89"/>
      <c r="V60" s="89"/>
      <c r="W60" s="90"/>
    </row>
    <row r="61" spans="2:23">
      <c r="B61" s="265" t="s">
        <v>574</v>
      </c>
      <c r="K61" s="69"/>
      <c r="L61" s="69"/>
      <c r="M61" s="69"/>
    </row>
    <row r="62" spans="2:23">
      <c r="B62" s="265"/>
      <c r="K62" s="69"/>
      <c r="L62" s="69"/>
      <c r="M62" s="69"/>
      <c r="N62" s="79"/>
    </row>
    <row r="63" spans="2:23">
      <c r="B63" s="91" t="s">
        <v>510</v>
      </c>
      <c r="M63" s="92"/>
      <c r="N63" s="79"/>
      <c r="U63" s="47"/>
      <c r="W63" s="49"/>
    </row>
    <row r="64" spans="2:23" ht="50.85" customHeight="1">
      <c r="B64" s="91"/>
      <c r="E64" s="674" t="s">
        <v>511</v>
      </c>
      <c r="F64" s="674" t="s">
        <v>512</v>
      </c>
      <c r="G64" s="94" t="s">
        <v>585</v>
      </c>
      <c r="I64" s="691"/>
      <c r="J64" s="690"/>
      <c r="M64" s="47"/>
      <c r="O64" s="95"/>
      <c r="Q64" s="49"/>
    </row>
    <row r="65" spans="2:20" ht="14.25" customHeight="1">
      <c r="B65" s="96" t="s">
        <v>513</v>
      </c>
      <c r="C65" s="97" t="s">
        <v>514</v>
      </c>
      <c r="D65" s="98" t="s">
        <v>515</v>
      </c>
      <c r="E65" s="673">
        <f>((18294+18840+18218)/3)/4.184</f>
        <v>4409.8151688973867</v>
      </c>
      <c r="F65" s="673">
        <f>((19485+18317)/2)/4.184</f>
        <v>4517.4474187380492</v>
      </c>
      <c r="G65" s="675"/>
      <c r="H65" s="52"/>
      <c r="I65" s="673"/>
      <c r="J65" s="673"/>
      <c r="M65" s="47"/>
      <c r="Q65" s="49"/>
    </row>
    <row r="66" spans="2:20" ht="12.75" customHeight="1">
      <c r="B66" s="82"/>
      <c r="C66" s="99"/>
      <c r="D66" s="84" t="s">
        <v>268</v>
      </c>
      <c r="E66" s="676">
        <f>E65*4.18*1000/1000000</f>
        <v>18.433027405991073</v>
      </c>
      <c r="F66" s="676">
        <f>F65*4.18*1000/1000000</f>
        <v>18.882930210325043</v>
      </c>
      <c r="G66" s="676">
        <f>AVERAGE(E66:F66)</f>
        <v>18.657978808158056</v>
      </c>
      <c r="H66" s="52"/>
      <c r="I66" s="673"/>
      <c r="J66" s="692"/>
      <c r="Q66" s="49"/>
    </row>
    <row r="67" spans="2:20" ht="17.45" customHeight="1">
      <c r="B67" s="684" t="s">
        <v>516</v>
      </c>
      <c r="C67" s="97" t="s">
        <v>517</v>
      </c>
      <c r="D67" s="98" t="s">
        <v>515</v>
      </c>
      <c r="E67" s="673">
        <f>((18697+17802+18902)/3)/4.184</f>
        <v>4413.7189292543017</v>
      </c>
      <c r="F67" s="692">
        <f>((18598+18359)/2)/4.184</f>
        <v>4416.4674952198848</v>
      </c>
      <c r="G67" s="675">
        <f t="shared" ref="G67" si="20">AVERAGE(E67:F67)</f>
        <v>4415.0932122370932</v>
      </c>
      <c r="I67" s="673"/>
      <c r="J67" s="692"/>
      <c r="M67" s="47"/>
      <c r="Q67" s="49"/>
    </row>
    <row r="68" spans="2:20" ht="12.75" customHeight="1">
      <c r="B68" s="82"/>
      <c r="C68" s="99"/>
      <c r="D68" s="84" t="s">
        <v>268</v>
      </c>
      <c r="E68" s="676">
        <f>E67*4.18*1000/1000000</f>
        <v>18.449345124282978</v>
      </c>
      <c r="F68" s="676">
        <f>F67*4.18*1000/1000000</f>
        <v>18.460834130019116</v>
      </c>
      <c r="G68" s="676">
        <f>AVERAGE(E68:F68)</f>
        <v>18.455089627151047</v>
      </c>
      <c r="H68" s="52"/>
      <c r="I68" s="673"/>
      <c r="J68" s="693"/>
      <c r="M68" s="47"/>
      <c r="Q68" s="49"/>
    </row>
    <row r="69" spans="2:20" ht="14.25" customHeight="1">
      <c r="B69" s="77" t="s">
        <v>518</v>
      </c>
      <c r="C69" s="101" t="s">
        <v>519</v>
      </c>
      <c r="D69" s="78" t="s">
        <v>515</v>
      </c>
      <c r="E69" s="677" t="s">
        <v>250</v>
      </c>
      <c r="F69" s="35" t="s">
        <v>250</v>
      </c>
      <c r="G69" s="35"/>
      <c r="I69" s="673"/>
      <c r="J69" s="673"/>
      <c r="M69" s="47"/>
      <c r="Q69" s="49"/>
    </row>
    <row r="70" spans="2:20">
      <c r="B70" s="82"/>
      <c r="C70" s="99"/>
      <c r="D70" s="84" t="s">
        <v>268</v>
      </c>
      <c r="E70" s="676">
        <f>+IFERROR(E69*4.18*1000/1000000,0)</f>
        <v>0</v>
      </c>
      <c r="F70" s="676">
        <f>+IFERROR(F69*4.18*1000/1000000,0)</f>
        <v>0</v>
      </c>
      <c r="G70" s="676"/>
      <c r="I70" s="673"/>
      <c r="J70" s="673"/>
      <c r="M70" s="47"/>
      <c r="Q70" s="49"/>
    </row>
    <row r="72" spans="2:20">
      <c r="B72" s="9" t="s">
        <v>520</v>
      </c>
      <c r="C72" s="9"/>
      <c r="D72" s="10"/>
      <c r="E72" s="10"/>
      <c r="F72" s="10"/>
      <c r="H72" s="10"/>
      <c r="I72" s="10"/>
      <c r="J72" s="10"/>
      <c r="K72" s="103"/>
    </row>
    <row r="74" spans="2:20">
      <c r="B74" s="104"/>
      <c r="C74" s="97"/>
      <c r="D74" s="105"/>
      <c r="E74" s="14" t="s">
        <v>465</v>
      </c>
      <c r="F74" s="14" t="s">
        <v>466</v>
      </c>
      <c r="G74" s="14" t="s">
        <v>467</v>
      </c>
      <c r="H74" s="14" t="s">
        <v>468</v>
      </c>
      <c r="I74" s="14" t="s">
        <v>469</v>
      </c>
      <c r="J74" s="14" t="s">
        <v>470</v>
      </c>
      <c r="K74" s="14" t="s">
        <v>471</v>
      </c>
      <c r="L74" s="14" t="s">
        <v>472</v>
      </c>
      <c r="M74" s="14" t="s">
        <v>473</v>
      </c>
      <c r="N74" s="14" t="s">
        <v>474</v>
      </c>
      <c r="O74" s="14" t="s">
        <v>475</v>
      </c>
      <c r="P74" s="15" t="s">
        <v>476</v>
      </c>
      <c r="Q74" s="106" t="s">
        <v>388</v>
      </c>
    </row>
    <row r="75" spans="2:20" ht="25.5">
      <c r="B75" s="96" t="s">
        <v>521</v>
      </c>
      <c r="C75" s="18" t="s">
        <v>427</v>
      </c>
      <c r="D75" s="98" t="s">
        <v>522</v>
      </c>
      <c r="E75" s="107">
        <f>E40+E37</f>
        <v>36401.01</v>
      </c>
      <c r="F75" s="107">
        <f t="shared" ref="F75:P75" si="21">F40+F37</f>
        <v>28234.95</v>
      </c>
      <c r="G75" s="107">
        <f t="shared" si="21"/>
        <v>37506.770000000004</v>
      </c>
      <c r="H75" s="107">
        <f t="shared" si="21"/>
        <v>29580.91</v>
      </c>
      <c r="I75" s="107">
        <f t="shared" si="21"/>
        <v>35217.800999999999</v>
      </c>
      <c r="J75" s="107">
        <f t="shared" si="21"/>
        <v>35142.199999999997</v>
      </c>
      <c r="K75" s="107">
        <f t="shared" si="21"/>
        <v>35986.907999999996</v>
      </c>
      <c r="L75" s="107">
        <f t="shared" si="21"/>
        <v>34731.79</v>
      </c>
      <c r="M75" s="107">
        <f t="shared" si="21"/>
        <v>34140.15</v>
      </c>
      <c r="N75" s="107">
        <f t="shared" si="21"/>
        <v>38353.17</v>
      </c>
      <c r="O75" s="107">
        <f t="shared" si="21"/>
        <v>33184.020000000004</v>
      </c>
      <c r="P75" s="107">
        <f t="shared" si="21"/>
        <v>36786.032999999996</v>
      </c>
      <c r="Q75" s="40">
        <f>SUM(E75:P75)</f>
        <v>415265.712</v>
      </c>
    </row>
    <row r="76" spans="2:20">
      <c r="B76" s="77"/>
      <c r="C76" s="23"/>
      <c r="D76" s="78"/>
      <c r="E76" s="663">
        <f>E41+E38</f>
        <v>38221.0605</v>
      </c>
      <c r="F76" s="663">
        <f t="shared" ref="F76:P76" si="22">F41+F38</f>
        <v>29646.697500000002</v>
      </c>
      <c r="G76" s="61">
        <f t="shared" si="22"/>
        <v>37506.770000000004</v>
      </c>
      <c r="H76" s="61">
        <f t="shared" si="22"/>
        <v>29580.91</v>
      </c>
      <c r="I76" s="61">
        <f t="shared" si="22"/>
        <v>35217.800999999999</v>
      </c>
      <c r="J76" s="61">
        <f t="shared" si="22"/>
        <v>35142.199999999997</v>
      </c>
      <c r="K76" s="61">
        <f t="shared" si="22"/>
        <v>35986.907999999996</v>
      </c>
      <c r="L76" s="663">
        <f t="shared" si="22"/>
        <v>36468.379500000003</v>
      </c>
      <c r="M76" s="61">
        <f t="shared" si="22"/>
        <v>34140.15</v>
      </c>
      <c r="N76" s="61">
        <f t="shared" si="22"/>
        <v>38353.17</v>
      </c>
      <c r="O76" s="61">
        <f t="shared" si="22"/>
        <v>33184.020000000004</v>
      </c>
      <c r="P76" s="61">
        <f t="shared" si="22"/>
        <v>36786.032999999996</v>
      </c>
      <c r="Q76" s="662">
        <f>SUM(E76:P76)</f>
        <v>420234.09950000001</v>
      </c>
      <c r="R76" s="4" t="s">
        <v>578</v>
      </c>
    </row>
    <row r="77" spans="2:20">
      <c r="B77" s="77" t="s">
        <v>523</v>
      </c>
      <c r="C77" s="23" t="s">
        <v>524</v>
      </c>
      <c r="D77" s="78" t="s">
        <v>525</v>
      </c>
      <c r="E77" s="109"/>
      <c r="F77" s="109"/>
      <c r="G77" s="109"/>
      <c r="H77" s="109"/>
      <c r="I77" s="109"/>
      <c r="J77" s="109"/>
      <c r="L77" s="61"/>
      <c r="M77" s="61"/>
      <c r="N77" s="61"/>
      <c r="O77" s="61"/>
      <c r="P77" s="110"/>
      <c r="Q77" s="21"/>
    </row>
    <row r="78" spans="2:20" ht="14.25">
      <c r="B78" s="111" t="s">
        <v>526</v>
      </c>
      <c r="C78" s="27" t="s">
        <v>527</v>
      </c>
      <c r="D78" s="84" t="s">
        <v>528</v>
      </c>
      <c r="E78" s="112">
        <v>129</v>
      </c>
      <c r="F78" s="112">
        <v>129</v>
      </c>
      <c r="G78" s="112">
        <v>129</v>
      </c>
      <c r="H78" s="112">
        <v>129</v>
      </c>
      <c r="I78" s="112">
        <v>129</v>
      </c>
      <c r="J78" s="112">
        <v>129</v>
      </c>
      <c r="K78" s="112">
        <v>129</v>
      </c>
      <c r="L78" s="112">
        <v>129</v>
      </c>
      <c r="M78" s="112">
        <v>129</v>
      </c>
      <c r="N78" s="112">
        <v>129</v>
      </c>
      <c r="O78" s="112">
        <v>129</v>
      </c>
      <c r="P78" s="113">
        <v>129</v>
      </c>
      <c r="Q78" s="43">
        <v>129</v>
      </c>
    </row>
    <row r="80" spans="2:20">
      <c r="T80" s="49"/>
    </row>
    <row r="81" spans="2:23">
      <c r="B81" s="9" t="s">
        <v>529</v>
      </c>
      <c r="C81" s="9"/>
      <c r="D81" s="10"/>
      <c r="E81" s="10"/>
      <c r="F81" s="10"/>
      <c r="G81" s="10"/>
      <c r="H81" s="10"/>
      <c r="I81" s="10"/>
      <c r="J81" s="10"/>
      <c r="T81" s="49"/>
    </row>
    <row r="82" spans="2:23">
      <c r="T82" s="49"/>
    </row>
    <row r="83" spans="2:23">
      <c r="B83" s="49" t="s">
        <v>530</v>
      </c>
      <c r="T83" s="49"/>
    </row>
    <row r="84" spans="2:23">
      <c r="B84" s="11"/>
      <c r="C84" s="114"/>
      <c r="D84" s="115"/>
      <c r="E84" s="14" t="s">
        <v>531</v>
      </c>
      <c r="F84" s="14" t="s">
        <v>466</v>
      </c>
      <c r="G84" s="14" t="s">
        <v>467</v>
      </c>
      <c r="H84" s="14" t="s">
        <v>532</v>
      </c>
      <c r="I84" s="14" t="s">
        <v>469</v>
      </c>
      <c r="J84" s="14" t="s">
        <v>470</v>
      </c>
      <c r="K84" s="14" t="s">
        <v>471</v>
      </c>
      <c r="L84" s="14" t="s">
        <v>472</v>
      </c>
      <c r="M84" s="14" t="s">
        <v>473</v>
      </c>
      <c r="N84" s="14" t="s">
        <v>474</v>
      </c>
      <c r="O84" s="14" t="s">
        <v>475</v>
      </c>
      <c r="P84" s="15" t="s">
        <v>476</v>
      </c>
      <c r="Q84" s="116" t="s">
        <v>388</v>
      </c>
    </row>
    <row r="85" spans="2:23" ht="16.5">
      <c r="B85" s="104" t="s">
        <v>27</v>
      </c>
      <c r="C85" s="117" t="s">
        <v>533</v>
      </c>
      <c r="D85" s="118" t="s">
        <v>534</v>
      </c>
      <c r="E85" s="119">
        <v>399.25893872432374</v>
      </c>
      <c r="F85" s="107">
        <v>333.39183232308739</v>
      </c>
      <c r="G85" s="107">
        <v>855.20273985277413</v>
      </c>
      <c r="H85" s="107">
        <v>181.71417703211029</v>
      </c>
      <c r="I85" s="107">
        <v>635.75127877612306</v>
      </c>
      <c r="J85" s="107">
        <v>160.85234249916564</v>
      </c>
      <c r="K85" s="107">
        <v>7743.1114195184664</v>
      </c>
      <c r="L85" s="172">
        <v>125.57504765958672</v>
      </c>
      <c r="M85" s="107">
        <v>0</v>
      </c>
      <c r="N85" s="107">
        <v>0</v>
      </c>
      <c r="O85" s="107">
        <v>0</v>
      </c>
      <c r="P85" s="108">
        <v>23050.655270172854</v>
      </c>
      <c r="Q85" s="121">
        <f>SUM(E85:P85)</f>
        <v>33485.513046558495</v>
      </c>
    </row>
    <row r="86" spans="2:23" ht="16.5">
      <c r="B86" s="122" t="s">
        <v>319</v>
      </c>
      <c r="C86" s="56" t="s">
        <v>533</v>
      </c>
      <c r="D86" s="118" t="s">
        <v>493</v>
      </c>
      <c r="E86" s="123">
        <v>0</v>
      </c>
      <c r="F86" s="61">
        <v>0</v>
      </c>
      <c r="G86" s="61">
        <v>0</v>
      </c>
      <c r="H86" s="61">
        <v>0</v>
      </c>
      <c r="I86" s="61">
        <v>0</v>
      </c>
      <c r="J86" s="61">
        <v>0</v>
      </c>
      <c r="K86" s="61">
        <v>0</v>
      </c>
      <c r="L86" s="61">
        <v>0</v>
      </c>
      <c r="M86" s="61">
        <v>0</v>
      </c>
      <c r="N86" s="61">
        <v>0</v>
      </c>
      <c r="O86" s="61">
        <v>0</v>
      </c>
      <c r="P86" s="110">
        <v>0</v>
      </c>
      <c r="Q86" s="124">
        <f>SUM(E86:P86)</f>
        <v>0</v>
      </c>
    </row>
    <row r="87" spans="2:23" ht="16.5">
      <c r="B87" s="125" t="s">
        <v>535</v>
      </c>
      <c r="C87" s="59" t="s">
        <v>533</v>
      </c>
      <c r="D87" s="126" t="s">
        <v>534</v>
      </c>
      <c r="E87" s="127">
        <f>+E85/625</f>
        <v>0.63881430195891797</v>
      </c>
      <c r="F87" s="128">
        <f t="shared" ref="F87:N87" si="23">+F85/625</f>
        <v>0.53342693171693978</v>
      </c>
      <c r="G87" s="128">
        <f t="shared" si="23"/>
        <v>1.3683243837644385</v>
      </c>
      <c r="H87" s="128">
        <f t="shared" si="23"/>
        <v>0.29074268325137648</v>
      </c>
      <c r="I87" s="128">
        <f t="shared" si="23"/>
        <v>1.017202046041797</v>
      </c>
      <c r="J87" s="128">
        <f t="shared" si="23"/>
        <v>0.25736374799866502</v>
      </c>
      <c r="K87" s="128">
        <f t="shared" si="23"/>
        <v>12.388978271229547</v>
      </c>
      <c r="L87" s="128">
        <f t="shared" si="23"/>
        <v>0.20092007625533875</v>
      </c>
      <c r="M87" s="128">
        <f t="shared" si="23"/>
        <v>0</v>
      </c>
      <c r="N87" s="128">
        <f t="shared" si="23"/>
        <v>0</v>
      </c>
      <c r="O87" s="128">
        <f>+O85/625</f>
        <v>0</v>
      </c>
      <c r="P87" s="128">
        <f>+P85/625</f>
        <v>36.881048432276565</v>
      </c>
      <c r="Q87" s="130">
        <f>SUM(E87:P87)</f>
        <v>53.576820874493592</v>
      </c>
    </row>
    <row r="88" spans="2:23">
      <c r="T88" s="49"/>
    </row>
    <row r="89" spans="2:23" hidden="1">
      <c r="T89" s="49"/>
    </row>
    <row r="90" spans="2:23" hidden="1">
      <c r="B90" s="49" t="s">
        <v>536</v>
      </c>
      <c r="T90" s="49"/>
    </row>
    <row r="91" spans="2:23" hidden="1">
      <c r="B91" s="11"/>
      <c r="C91" s="131"/>
      <c r="D91" s="97"/>
      <c r="E91" s="97"/>
      <c r="F91" s="97"/>
      <c r="G91" s="97"/>
      <c r="H91" s="97"/>
      <c r="I91" s="97"/>
      <c r="J91" s="97"/>
      <c r="K91" s="30" t="s">
        <v>465</v>
      </c>
      <c r="L91" s="30" t="s">
        <v>466</v>
      </c>
      <c r="M91" s="30" t="s">
        <v>467</v>
      </c>
      <c r="N91" s="30" t="s">
        <v>468</v>
      </c>
      <c r="O91" s="30" t="s">
        <v>469</v>
      </c>
      <c r="P91" s="30" t="s">
        <v>470</v>
      </c>
      <c r="Q91" s="30" t="s">
        <v>471</v>
      </c>
      <c r="R91" s="30" t="s">
        <v>537</v>
      </c>
      <c r="S91" s="30" t="s">
        <v>473</v>
      </c>
      <c r="T91" s="30" t="s">
        <v>474</v>
      </c>
      <c r="U91" s="30" t="s">
        <v>475</v>
      </c>
      <c r="V91" s="30" t="s">
        <v>538</v>
      </c>
      <c r="W91" s="116" t="s">
        <v>388</v>
      </c>
    </row>
    <row r="92" spans="2:23" ht="16.5" hidden="1">
      <c r="B92" s="104" t="s">
        <v>27</v>
      </c>
      <c r="C92" s="48"/>
      <c r="D92" s="117" t="s">
        <v>539</v>
      </c>
      <c r="E92" s="117"/>
      <c r="F92" s="117"/>
      <c r="G92" s="117"/>
      <c r="H92" s="117"/>
      <c r="I92" s="117"/>
      <c r="J92" s="117"/>
      <c r="K92" s="40"/>
      <c r="L92" s="40"/>
      <c r="M92" s="40"/>
      <c r="N92" s="40"/>
      <c r="O92" s="40"/>
      <c r="P92" s="40"/>
      <c r="Q92" s="40"/>
      <c r="R92" s="40"/>
      <c r="S92" s="40"/>
      <c r="T92" s="40"/>
      <c r="U92" s="40"/>
      <c r="V92" s="40"/>
      <c r="W92" s="121"/>
    </row>
    <row r="93" spans="2:23" ht="16.5" hidden="1">
      <c r="B93" s="122" t="s">
        <v>319</v>
      </c>
      <c r="C93" s="49"/>
      <c r="D93" s="56" t="s">
        <v>539</v>
      </c>
      <c r="E93" s="56"/>
      <c r="F93" s="56"/>
      <c r="G93" s="56"/>
      <c r="H93" s="56"/>
      <c r="I93" s="56"/>
      <c r="J93" s="56"/>
      <c r="K93" s="21"/>
      <c r="L93" s="21"/>
      <c r="M93" s="21"/>
      <c r="N93" s="21"/>
      <c r="O93" s="21"/>
      <c r="P93" s="21"/>
      <c r="Q93" s="21"/>
      <c r="R93" s="21"/>
      <c r="S93" s="21"/>
      <c r="T93" s="21"/>
      <c r="U93" s="21"/>
      <c r="V93" s="21"/>
      <c r="W93" s="124"/>
    </row>
    <row r="94" spans="2:23" ht="16.5" hidden="1">
      <c r="B94" s="125" t="s">
        <v>540</v>
      </c>
      <c r="C94" s="132"/>
      <c r="D94" s="59" t="s">
        <v>539</v>
      </c>
      <c r="E94" s="59"/>
      <c r="F94" s="59"/>
      <c r="G94" s="59"/>
      <c r="H94" s="59"/>
      <c r="I94" s="59"/>
      <c r="J94" s="59"/>
      <c r="K94" s="44"/>
      <c r="L94" s="44"/>
      <c r="M94" s="44"/>
      <c r="N94" s="44"/>
      <c r="O94" s="44"/>
      <c r="P94" s="44"/>
      <c r="Q94" s="44"/>
      <c r="R94" s="44"/>
      <c r="S94" s="44"/>
      <c r="T94" s="44"/>
      <c r="U94" s="44"/>
      <c r="V94" s="44"/>
      <c r="W94" s="130"/>
    </row>
    <row r="95" spans="2:23" hidden="1">
      <c r="T95" s="49"/>
    </row>
    <row r="96" spans="2:23" hidden="1">
      <c r="T96" s="49"/>
    </row>
    <row r="97" spans="2:23" hidden="1">
      <c r="B97" s="49" t="s">
        <v>541</v>
      </c>
      <c r="T97" s="49"/>
    </row>
    <row r="98" spans="2:23" hidden="1">
      <c r="B98" s="11"/>
      <c r="C98" s="131"/>
      <c r="D98" s="97"/>
      <c r="E98" s="97"/>
      <c r="F98" s="97"/>
      <c r="G98" s="97"/>
      <c r="H98" s="97"/>
      <c r="I98" s="97"/>
      <c r="J98" s="97"/>
      <c r="K98" s="30" t="s">
        <v>465</v>
      </c>
      <c r="L98" s="30" t="s">
        <v>466</v>
      </c>
      <c r="M98" s="30" t="s">
        <v>467</v>
      </c>
      <c r="N98" s="30" t="s">
        <v>468</v>
      </c>
      <c r="O98" s="30" t="s">
        <v>469</v>
      </c>
      <c r="P98" s="30" t="s">
        <v>470</v>
      </c>
      <c r="Q98" s="30" t="s">
        <v>471</v>
      </c>
      <c r="R98" s="30" t="s">
        <v>537</v>
      </c>
      <c r="S98" s="30" t="s">
        <v>473</v>
      </c>
      <c r="T98" s="30" t="s">
        <v>474</v>
      </c>
      <c r="U98" s="30" t="s">
        <v>475</v>
      </c>
      <c r="V98" s="30" t="s">
        <v>538</v>
      </c>
      <c r="W98" s="16" t="s">
        <v>388</v>
      </c>
    </row>
    <row r="99" spans="2:23" ht="16.5" hidden="1">
      <c r="B99" s="104" t="s">
        <v>27</v>
      </c>
      <c r="C99" s="48"/>
      <c r="D99" s="117" t="s">
        <v>542</v>
      </c>
      <c r="E99" s="117"/>
      <c r="F99" s="117"/>
      <c r="G99" s="117"/>
      <c r="H99" s="117"/>
      <c r="I99" s="117"/>
      <c r="J99" s="117"/>
      <c r="K99" s="133"/>
      <c r="L99" s="134"/>
      <c r="M99" s="133"/>
      <c r="N99" s="134"/>
      <c r="O99" s="133"/>
      <c r="P99" s="134"/>
      <c r="Q99" s="133"/>
      <c r="R99" s="134"/>
      <c r="S99" s="133"/>
      <c r="T99" s="134"/>
      <c r="U99" s="133"/>
      <c r="V99" s="135"/>
      <c r="W99" s="121">
        <v>0</v>
      </c>
    </row>
    <row r="100" spans="2:23" ht="16.5" hidden="1">
      <c r="B100" s="122" t="s">
        <v>319</v>
      </c>
      <c r="C100" s="49"/>
      <c r="D100" s="56" t="s">
        <v>542</v>
      </c>
      <c r="E100" s="56"/>
      <c r="F100" s="56"/>
      <c r="G100" s="56"/>
      <c r="H100" s="56"/>
      <c r="I100" s="56"/>
      <c r="J100" s="56"/>
      <c r="K100" s="136"/>
      <c r="L100" s="134"/>
      <c r="M100" s="136"/>
      <c r="N100" s="134"/>
      <c r="O100" s="136"/>
      <c r="P100" s="134"/>
      <c r="Q100" s="136"/>
      <c r="R100" s="134"/>
      <c r="S100" s="136"/>
      <c r="T100" s="134"/>
      <c r="U100" s="136"/>
      <c r="V100" s="135"/>
      <c r="W100" s="124">
        <v>0</v>
      </c>
    </row>
    <row r="101" spans="2:23" ht="16.5" hidden="1">
      <c r="B101" s="125" t="s">
        <v>540</v>
      </c>
      <c r="C101" s="132"/>
      <c r="D101" s="59" t="s">
        <v>543</v>
      </c>
      <c r="E101" s="59"/>
      <c r="F101" s="59"/>
      <c r="G101" s="59"/>
      <c r="H101" s="59"/>
      <c r="I101" s="59"/>
      <c r="J101" s="59"/>
      <c r="K101" s="137"/>
      <c r="L101" s="138"/>
      <c r="M101" s="137"/>
      <c r="N101" s="138"/>
      <c r="O101" s="137"/>
      <c r="P101" s="138"/>
      <c r="Q101" s="137"/>
      <c r="R101" s="138"/>
      <c r="S101" s="137"/>
      <c r="T101" s="138"/>
      <c r="U101" s="137"/>
      <c r="V101" s="139"/>
      <c r="W101" s="130">
        <v>0</v>
      </c>
    </row>
    <row r="102" spans="2:23" hidden="1"/>
    <row r="103" spans="2:23" hidden="1">
      <c r="B103" s="49" t="s">
        <v>544</v>
      </c>
    </row>
    <row r="104" spans="2:23" hidden="1">
      <c r="B104" s="140"/>
      <c r="C104" s="131"/>
      <c r="D104" s="97"/>
      <c r="E104" s="97"/>
      <c r="F104" s="97"/>
      <c r="G104" s="97"/>
      <c r="H104" s="97"/>
      <c r="I104" s="97"/>
      <c r="J104" s="97"/>
      <c r="K104" s="16" t="s">
        <v>545</v>
      </c>
      <c r="L104" s="17"/>
      <c r="M104" s="16" t="s">
        <v>546</v>
      </c>
    </row>
    <row r="105" spans="2:23" ht="14.25" hidden="1">
      <c r="B105" s="104" t="s">
        <v>27</v>
      </c>
      <c r="C105" s="48"/>
      <c r="D105" s="17" t="s">
        <v>547</v>
      </c>
      <c r="E105" s="17"/>
      <c r="F105" s="17"/>
      <c r="G105" s="17"/>
      <c r="H105" s="17"/>
      <c r="I105" s="17"/>
      <c r="J105" s="17"/>
      <c r="K105" s="141"/>
      <c r="L105" s="142" t="s">
        <v>316</v>
      </c>
      <c r="M105" s="141"/>
    </row>
    <row r="106" spans="2:23" ht="14.25" hidden="1">
      <c r="B106" s="122" t="s">
        <v>319</v>
      </c>
      <c r="C106" s="49"/>
      <c r="D106" s="22" t="s">
        <v>548</v>
      </c>
      <c r="E106" s="22"/>
      <c r="F106" s="22"/>
      <c r="G106" s="22"/>
      <c r="H106" s="22"/>
      <c r="I106" s="22"/>
      <c r="J106" s="22"/>
      <c r="K106" s="143"/>
      <c r="L106" s="24" t="s">
        <v>316</v>
      </c>
      <c r="M106" s="144"/>
    </row>
    <row r="107" spans="2:23" ht="16.5" hidden="1">
      <c r="B107" s="125" t="s">
        <v>549</v>
      </c>
      <c r="C107" s="132"/>
      <c r="D107" s="83" t="s">
        <v>550</v>
      </c>
      <c r="E107" s="83"/>
      <c r="F107" s="83"/>
      <c r="G107" s="83"/>
      <c r="H107" s="83"/>
      <c r="I107" s="83"/>
      <c r="J107" s="83"/>
      <c r="K107" s="145"/>
      <c r="L107" s="43" t="s">
        <v>551</v>
      </c>
      <c r="M107" s="146"/>
    </row>
    <row r="108" spans="2:23" hidden="1"/>
    <row r="109" spans="2:23" hidden="1">
      <c r="B109" s="11" t="s">
        <v>552</v>
      </c>
      <c r="C109" s="131"/>
      <c r="D109" s="97"/>
      <c r="E109" s="97"/>
      <c r="F109" s="97"/>
      <c r="G109" s="97"/>
      <c r="H109" s="97"/>
      <c r="I109" s="97"/>
      <c r="J109" s="97"/>
      <c r="K109" s="16" t="s">
        <v>545</v>
      </c>
      <c r="L109" s="17"/>
      <c r="M109" s="16" t="s">
        <v>546</v>
      </c>
    </row>
    <row r="110" spans="2:23" hidden="1">
      <c r="B110" s="147" t="s">
        <v>27</v>
      </c>
      <c r="C110" s="148"/>
      <c r="D110" s="149"/>
      <c r="E110" s="149"/>
      <c r="F110" s="149"/>
      <c r="G110" s="149"/>
      <c r="H110" s="149"/>
      <c r="I110" s="149"/>
      <c r="J110" s="149"/>
      <c r="K110" s="150">
        <v>43.3</v>
      </c>
      <c r="L110" s="151" t="s">
        <v>316</v>
      </c>
      <c r="M110" s="150">
        <v>0.84</v>
      </c>
    </row>
    <row r="111" spans="2:23" hidden="1">
      <c r="B111" s="152" t="s">
        <v>319</v>
      </c>
      <c r="C111" s="153"/>
      <c r="D111" s="154"/>
      <c r="E111" s="154"/>
      <c r="F111" s="154"/>
      <c r="G111" s="154"/>
      <c r="H111" s="154"/>
      <c r="I111" s="154"/>
      <c r="J111" s="154"/>
      <c r="K111" s="155">
        <v>41.7</v>
      </c>
      <c r="L111" s="156" t="s">
        <v>316</v>
      </c>
      <c r="M111" s="155">
        <v>0.98</v>
      </c>
    </row>
    <row r="112" spans="2:23" ht="15.75" hidden="1">
      <c r="B112" s="157" t="s">
        <v>553</v>
      </c>
      <c r="C112" s="158"/>
      <c r="D112" s="159"/>
      <c r="E112" s="159"/>
      <c r="F112" s="159"/>
      <c r="G112" s="159"/>
      <c r="H112" s="159"/>
      <c r="I112" s="159"/>
      <c r="J112" s="159"/>
      <c r="K112" s="160">
        <v>52.2</v>
      </c>
      <c r="L112" s="161" t="s">
        <v>551</v>
      </c>
      <c r="M112" s="160">
        <v>0.55000000000000004</v>
      </c>
    </row>
    <row r="113" spans="2:23" hidden="1">
      <c r="B113" s="91"/>
    </row>
    <row r="114" spans="2:23">
      <c r="B114" s="162" t="s">
        <v>554</v>
      </c>
      <c r="C114" s="163"/>
      <c r="D114" s="163"/>
      <c r="E114" s="163"/>
      <c r="F114" s="163"/>
      <c r="G114" s="163"/>
      <c r="H114" s="163"/>
      <c r="I114" s="163"/>
      <c r="J114" s="163"/>
      <c r="K114" s="163"/>
      <c r="L114" s="163"/>
      <c r="M114" s="163"/>
      <c r="N114" s="163"/>
      <c r="O114" s="163"/>
      <c r="P114" s="163"/>
      <c r="Q114" s="163"/>
      <c r="R114" s="163"/>
      <c r="S114" s="163"/>
      <c r="T114" s="162"/>
      <c r="U114" s="163"/>
      <c r="V114" s="163"/>
      <c r="W114" s="163"/>
    </row>
    <row r="115" spans="2:23">
      <c r="B115" s="164"/>
      <c r="C115" s="165"/>
      <c r="D115" s="166"/>
      <c r="E115" s="14" t="s">
        <v>465</v>
      </c>
      <c r="F115" s="14" t="s">
        <v>466</v>
      </c>
      <c r="G115" s="14" t="s">
        <v>467</v>
      </c>
      <c r="H115" s="14" t="s">
        <v>468</v>
      </c>
      <c r="I115" s="14" t="s">
        <v>469</v>
      </c>
      <c r="J115" s="14" t="s">
        <v>470</v>
      </c>
      <c r="K115" s="14" t="s">
        <v>471</v>
      </c>
      <c r="L115" s="14" t="s">
        <v>472</v>
      </c>
      <c r="M115" s="14" t="s">
        <v>473</v>
      </c>
      <c r="N115" s="14" t="s">
        <v>474</v>
      </c>
      <c r="O115" s="14" t="s">
        <v>475</v>
      </c>
      <c r="P115" s="15" t="s">
        <v>476</v>
      </c>
      <c r="Q115" s="167" t="s">
        <v>388</v>
      </c>
    </row>
    <row r="116" spans="2:23" ht="16.5">
      <c r="B116" s="168" t="s">
        <v>27</v>
      </c>
      <c r="C116" s="169" t="s">
        <v>539</v>
      </c>
      <c r="D116" s="170" t="s">
        <v>534</v>
      </c>
      <c r="E116" s="171">
        <v>5629</v>
      </c>
      <c r="F116" s="172">
        <v>4625</v>
      </c>
      <c r="G116" s="172">
        <v>5187</v>
      </c>
      <c r="H116" s="172">
        <v>5187</v>
      </c>
      <c r="I116" s="172">
        <v>5323</v>
      </c>
      <c r="J116" s="172">
        <v>6388</v>
      </c>
      <c r="K116" s="172">
        <v>5736</v>
      </c>
      <c r="L116" s="172">
        <v>5337</v>
      </c>
      <c r="M116" s="172">
        <v>5268</v>
      </c>
      <c r="N116" s="172">
        <v>6305</v>
      </c>
      <c r="O116" s="172">
        <v>5450</v>
      </c>
      <c r="P116" s="173">
        <v>6611</v>
      </c>
      <c r="Q116" s="174">
        <f>SUM(E116:P116)</f>
        <v>67046</v>
      </c>
    </row>
    <row r="117" spans="2:23" ht="16.5">
      <c r="B117" s="175" t="s">
        <v>319</v>
      </c>
      <c r="C117" s="176" t="s">
        <v>539</v>
      </c>
      <c r="D117" s="170" t="s">
        <v>493</v>
      </c>
      <c r="E117" s="177">
        <v>0</v>
      </c>
      <c r="F117" s="58">
        <v>0</v>
      </c>
      <c r="G117" s="58">
        <v>0</v>
      </c>
      <c r="H117" s="58">
        <v>0</v>
      </c>
      <c r="I117" s="58">
        <v>0</v>
      </c>
      <c r="J117" s="58">
        <v>0</v>
      </c>
      <c r="K117" s="58">
        <v>0</v>
      </c>
      <c r="L117" s="58">
        <v>0</v>
      </c>
      <c r="M117" s="58">
        <v>0</v>
      </c>
      <c r="N117" s="58">
        <v>0</v>
      </c>
      <c r="O117" s="58">
        <v>0</v>
      </c>
      <c r="P117" s="178">
        <v>0</v>
      </c>
      <c r="Q117" s="179">
        <f>SUM(E117:P117)</f>
        <v>0</v>
      </c>
    </row>
    <row r="118" spans="2:23" ht="16.5">
      <c r="B118" s="180" t="s">
        <v>555</v>
      </c>
      <c r="C118" s="181" t="s">
        <v>539</v>
      </c>
      <c r="D118" s="182" t="s">
        <v>534</v>
      </c>
      <c r="E118" s="183">
        <v>0</v>
      </c>
      <c r="F118" s="184">
        <v>0</v>
      </c>
      <c r="G118" s="184">
        <v>0</v>
      </c>
      <c r="H118" s="184">
        <v>0</v>
      </c>
      <c r="I118" s="184">
        <v>0</v>
      </c>
      <c r="J118" s="184">
        <v>0</v>
      </c>
      <c r="K118" s="184">
        <v>0</v>
      </c>
      <c r="L118" s="184">
        <v>0</v>
      </c>
      <c r="M118" s="184">
        <v>0</v>
      </c>
      <c r="N118" s="184">
        <v>0</v>
      </c>
      <c r="O118" s="184">
        <v>0</v>
      </c>
      <c r="P118" s="185">
        <v>0</v>
      </c>
      <c r="Q118" s="186">
        <f>SUM(E118:P118)</f>
        <v>0</v>
      </c>
    </row>
    <row r="119" spans="2:23">
      <c r="B119" s="163"/>
      <c r="C119" s="163"/>
      <c r="D119" s="163"/>
      <c r="E119" s="163"/>
      <c r="F119" s="163"/>
      <c r="G119" s="163"/>
      <c r="H119" s="163"/>
      <c r="I119" s="163"/>
      <c r="J119" s="163"/>
      <c r="K119" s="163"/>
      <c r="L119" s="163"/>
      <c r="M119" s="163"/>
      <c r="N119" s="163"/>
      <c r="O119" s="163"/>
      <c r="P119" s="163"/>
      <c r="Q119" s="163"/>
      <c r="R119" s="163"/>
      <c r="S119" s="163"/>
      <c r="T119" s="162"/>
      <c r="U119" s="163"/>
      <c r="V119" s="163"/>
      <c r="W119" s="163"/>
    </row>
    <row r="120" spans="2:23">
      <c r="B120" s="187" t="s">
        <v>556</v>
      </c>
      <c r="C120" s="163"/>
      <c r="D120" s="163"/>
      <c r="E120" s="163"/>
      <c r="F120" s="163"/>
      <c r="G120" s="163"/>
      <c r="H120" s="163"/>
      <c r="I120" s="163"/>
      <c r="J120" s="163"/>
      <c r="K120" s="163"/>
      <c r="L120" s="163"/>
      <c r="M120" s="163"/>
      <c r="N120" s="163"/>
      <c r="O120" s="163"/>
      <c r="P120" s="163"/>
      <c r="Q120" s="163"/>
      <c r="R120" s="163"/>
      <c r="S120" s="163"/>
      <c r="T120" s="162"/>
      <c r="U120" s="163"/>
      <c r="V120" s="163"/>
      <c r="W120" s="163"/>
    </row>
    <row r="121" spans="2:23">
      <c r="B121" s="164" t="s">
        <v>557</v>
      </c>
      <c r="C121" s="188"/>
      <c r="D121" s="189"/>
      <c r="E121" s="190" t="s">
        <v>545</v>
      </c>
      <c r="F121" s="191"/>
      <c r="G121" s="190" t="s">
        <v>546</v>
      </c>
    </row>
    <row r="122" spans="2:23">
      <c r="B122" s="192" t="s">
        <v>27</v>
      </c>
      <c r="C122" s="193"/>
      <c r="D122" s="194" t="s">
        <v>558</v>
      </c>
      <c r="E122" s="195">
        <v>43.3</v>
      </c>
      <c r="F122" s="194" t="s">
        <v>316</v>
      </c>
      <c r="G122" s="195">
        <v>0.84</v>
      </c>
    </row>
    <row r="123" spans="2:23">
      <c r="B123" s="196" t="s">
        <v>319</v>
      </c>
      <c r="C123" s="197"/>
      <c r="D123" s="198" t="s">
        <v>558</v>
      </c>
      <c r="E123" s="199">
        <v>41.7</v>
      </c>
      <c r="F123" s="198" t="s">
        <v>316</v>
      </c>
      <c r="G123" s="199">
        <v>0.98</v>
      </c>
    </row>
    <row r="124" spans="2:23">
      <c r="B124" s="200" t="s">
        <v>553</v>
      </c>
      <c r="C124" s="201"/>
      <c r="D124" s="202" t="s">
        <v>558</v>
      </c>
      <c r="E124" s="203">
        <v>52.2</v>
      </c>
      <c r="F124" s="202" t="s">
        <v>316</v>
      </c>
      <c r="G124" s="203">
        <v>0.55000000000000004</v>
      </c>
    </row>
    <row r="125" spans="2:23">
      <c r="D125" s="49"/>
      <c r="E125" s="49"/>
      <c r="F125" s="49"/>
      <c r="G125" s="49"/>
      <c r="H125" s="49"/>
      <c r="I125" s="49"/>
      <c r="J125" s="49"/>
    </row>
    <row r="126" spans="2:23">
      <c r="B126" s="204" t="s">
        <v>559</v>
      </c>
      <c r="C126" s="163"/>
      <c r="D126" s="163"/>
      <c r="E126" s="163"/>
      <c r="F126" s="163"/>
      <c r="G126" s="163"/>
      <c r="H126" s="163"/>
      <c r="I126" s="163"/>
      <c r="J126" s="163"/>
      <c r="K126" s="163"/>
      <c r="L126" s="163"/>
      <c r="M126" s="163"/>
      <c r="N126" s="163"/>
      <c r="O126" s="163"/>
      <c r="P126" s="163"/>
      <c r="Q126" s="163"/>
      <c r="R126" s="163"/>
      <c r="S126" s="163"/>
      <c r="T126" s="162"/>
      <c r="U126" s="163"/>
      <c r="V126" s="163"/>
      <c r="W126" s="163"/>
    </row>
    <row r="127" spans="2:23">
      <c r="B127" s="164"/>
      <c r="C127" s="165"/>
      <c r="D127" s="166"/>
      <c r="E127" s="205" t="s">
        <v>465</v>
      </c>
      <c r="F127" s="205" t="s">
        <v>466</v>
      </c>
      <c r="G127" s="205" t="s">
        <v>467</v>
      </c>
      <c r="H127" s="205" t="s">
        <v>468</v>
      </c>
      <c r="I127" s="205" t="s">
        <v>469</v>
      </c>
      <c r="J127" s="205" t="s">
        <v>470</v>
      </c>
      <c r="K127" s="205" t="s">
        <v>471</v>
      </c>
      <c r="L127" s="205" t="s">
        <v>472</v>
      </c>
      <c r="M127" s="205" t="s">
        <v>473</v>
      </c>
      <c r="N127" s="205" t="s">
        <v>474</v>
      </c>
      <c r="O127" s="205" t="s">
        <v>475</v>
      </c>
      <c r="P127" s="206" t="s">
        <v>476</v>
      </c>
      <c r="Q127" s="190" t="s">
        <v>388</v>
      </c>
    </row>
    <row r="128" spans="2:23" ht="16.5">
      <c r="B128" s="168" t="s">
        <v>27</v>
      </c>
      <c r="C128" s="169" t="s">
        <v>542</v>
      </c>
      <c r="D128" s="207" t="s">
        <v>534</v>
      </c>
      <c r="E128" s="208">
        <v>0</v>
      </c>
      <c r="F128" s="209">
        <v>0</v>
      </c>
      <c r="G128" s="209">
        <v>0</v>
      </c>
      <c r="H128" s="209">
        <v>0</v>
      </c>
      <c r="I128" s="209">
        <v>0</v>
      </c>
      <c r="J128" s="209">
        <v>0</v>
      </c>
      <c r="K128" s="209">
        <v>0</v>
      </c>
      <c r="L128" s="209">
        <v>0</v>
      </c>
      <c r="M128" s="209">
        <v>0</v>
      </c>
      <c r="N128" s="209">
        <v>0</v>
      </c>
      <c r="O128" s="209">
        <v>0</v>
      </c>
      <c r="P128" s="210">
        <v>0</v>
      </c>
      <c r="Q128" s="174">
        <f>+SUM(E128:P128)</f>
        <v>0</v>
      </c>
    </row>
    <row r="129" spans="2:23" ht="16.5">
      <c r="B129" s="175" t="s">
        <v>319</v>
      </c>
      <c r="C129" s="176" t="s">
        <v>542</v>
      </c>
      <c r="D129" s="207" t="s">
        <v>493</v>
      </c>
      <c r="E129" s="211">
        <v>0</v>
      </c>
      <c r="F129" s="212">
        <v>0</v>
      </c>
      <c r="G129" s="212">
        <v>0</v>
      </c>
      <c r="H129" s="212">
        <v>0</v>
      </c>
      <c r="I129" s="212">
        <v>0</v>
      </c>
      <c r="J129" s="212">
        <v>0</v>
      </c>
      <c r="K129" s="212">
        <v>0</v>
      </c>
      <c r="L129" s="212">
        <v>0</v>
      </c>
      <c r="M129" s="212">
        <v>0</v>
      </c>
      <c r="N129" s="212">
        <v>0</v>
      </c>
      <c r="O129" s="212">
        <v>0</v>
      </c>
      <c r="P129" s="213">
        <v>0</v>
      </c>
      <c r="Q129" s="179">
        <f t="shared" ref="Q129:Q130" si="24">+SUM(E129:P129)</f>
        <v>0</v>
      </c>
    </row>
    <row r="130" spans="2:23" ht="16.5">
      <c r="B130" s="180" t="s">
        <v>555</v>
      </c>
      <c r="C130" s="181" t="s">
        <v>543</v>
      </c>
      <c r="D130" s="214" t="s">
        <v>534</v>
      </c>
      <c r="E130" s="215">
        <v>0</v>
      </c>
      <c r="F130" s="216">
        <v>0</v>
      </c>
      <c r="G130" s="216">
        <v>0</v>
      </c>
      <c r="H130" s="216">
        <v>0</v>
      </c>
      <c r="I130" s="216">
        <v>0</v>
      </c>
      <c r="J130" s="216">
        <v>0</v>
      </c>
      <c r="K130" s="216">
        <v>0</v>
      </c>
      <c r="L130" s="216">
        <v>0</v>
      </c>
      <c r="M130" s="216">
        <v>0</v>
      </c>
      <c r="N130" s="216">
        <v>0</v>
      </c>
      <c r="O130" s="216">
        <v>0</v>
      </c>
      <c r="P130" s="217">
        <v>0</v>
      </c>
      <c r="Q130" s="186">
        <f t="shared" si="24"/>
        <v>0</v>
      </c>
    </row>
    <row r="131" spans="2:23">
      <c r="D131" s="49"/>
      <c r="E131" s="49"/>
      <c r="F131" s="49"/>
      <c r="G131" s="49"/>
      <c r="H131" s="49"/>
      <c r="I131" s="49"/>
      <c r="J131" s="49"/>
      <c r="N131" s="163"/>
      <c r="O131" s="163"/>
      <c r="P131" s="163"/>
      <c r="Q131" s="163"/>
      <c r="R131" s="163"/>
      <c r="S131" s="163"/>
      <c r="T131" s="163"/>
      <c r="U131" s="163"/>
      <c r="V131" s="163"/>
      <c r="W131" s="163"/>
    </row>
    <row r="132" spans="2:23">
      <c r="D132" s="49"/>
      <c r="E132" s="49"/>
      <c r="F132" s="49"/>
      <c r="G132" s="49"/>
      <c r="H132" s="49"/>
      <c r="I132" s="49"/>
      <c r="J132" s="49"/>
      <c r="N132" s="163"/>
      <c r="O132" s="163"/>
      <c r="P132" s="163"/>
      <c r="Q132" s="163"/>
      <c r="R132" s="163"/>
      <c r="S132" s="163"/>
      <c r="T132" s="163"/>
      <c r="U132" s="163"/>
      <c r="V132" s="163"/>
      <c r="W132" s="16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W131"/>
  <sheetViews>
    <sheetView topLeftCell="A42" zoomScale="60" zoomScaleNormal="60" workbookViewId="0">
      <selection activeCell="Q43" sqref="Q43"/>
    </sheetView>
  </sheetViews>
  <sheetFormatPr defaultColWidth="11.5703125" defaultRowHeight="12.75"/>
  <cols>
    <col min="1" max="1" width="2.140625" style="4" customWidth="1"/>
    <col min="2" max="2" width="38.140625" style="4" customWidth="1"/>
    <col min="3" max="3" width="21.5703125" style="4" customWidth="1"/>
    <col min="4" max="4" width="17.85546875" style="4" bestFit="1" customWidth="1"/>
    <col min="5" max="5" width="21.5703125" style="4" bestFit="1" customWidth="1"/>
    <col min="6" max="6" width="24.140625" style="4" bestFit="1" customWidth="1"/>
    <col min="7" max="11" width="12.5703125" style="4" bestFit="1" customWidth="1"/>
    <col min="12" max="12" width="11.5703125" style="4" bestFit="1" customWidth="1"/>
    <col min="13" max="16" width="12.5703125" style="4" bestFit="1" customWidth="1"/>
    <col min="17" max="17" width="9.85546875" style="4" bestFit="1" customWidth="1"/>
    <col min="18" max="22" width="9.140625" style="4" customWidth="1"/>
    <col min="23" max="23" width="8.85546875" style="4" bestFit="1" customWidth="1"/>
    <col min="24" max="16384" width="11.5703125" style="4"/>
  </cols>
  <sheetData>
    <row r="2" spans="2:17" ht="23.25">
      <c r="B2" s="1" t="s">
        <v>249</v>
      </c>
      <c r="C2" s="2"/>
      <c r="D2" s="3"/>
      <c r="E2" s="3"/>
      <c r="F2" s="3"/>
      <c r="G2" s="3"/>
      <c r="H2" s="3"/>
      <c r="I2" s="3"/>
      <c r="J2" s="3"/>
    </row>
    <row r="4" spans="2:17" ht="18.75">
      <c r="B4" s="5" t="s">
        <v>560</v>
      </c>
      <c r="C4" s="6"/>
      <c r="D4" s="7"/>
      <c r="E4" s="7"/>
      <c r="F4" s="7"/>
      <c r="G4" s="7"/>
      <c r="H4" s="7"/>
      <c r="I4" s="7"/>
      <c r="J4" s="7"/>
    </row>
    <row r="9" spans="2:17">
      <c r="B9" s="8" t="s">
        <v>464</v>
      </c>
      <c r="C9" s="9"/>
      <c r="D9" s="10"/>
      <c r="E9" s="10"/>
      <c r="F9" s="10"/>
      <c r="G9" s="10"/>
      <c r="H9" s="10"/>
      <c r="I9" s="10"/>
      <c r="J9" s="10"/>
    </row>
    <row r="11" spans="2:17">
      <c r="B11" s="11"/>
      <c r="C11" s="12"/>
      <c r="D11" s="13"/>
      <c r="E11" s="14" t="s">
        <v>531</v>
      </c>
      <c r="F11" s="14" t="s">
        <v>466</v>
      </c>
      <c r="G11" s="14" t="s">
        <v>467</v>
      </c>
      <c r="H11" s="14" t="s">
        <v>468</v>
      </c>
      <c r="I11" s="14" t="s">
        <v>469</v>
      </c>
      <c r="J11" s="14" t="s">
        <v>470</v>
      </c>
      <c r="K11" s="14" t="s">
        <v>471</v>
      </c>
      <c r="L11" s="14" t="s">
        <v>472</v>
      </c>
      <c r="M11" s="14" t="s">
        <v>473</v>
      </c>
      <c r="N11" s="14" t="s">
        <v>474</v>
      </c>
      <c r="O11" s="14" t="s">
        <v>475</v>
      </c>
      <c r="P11" s="15" t="s">
        <v>476</v>
      </c>
      <c r="Q11" s="16" t="s">
        <v>388</v>
      </c>
    </row>
    <row r="12" spans="2:17" ht="16.5">
      <c r="B12" s="17" t="s">
        <v>477</v>
      </c>
      <c r="C12" s="18" t="s">
        <v>478</v>
      </c>
      <c r="D12" s="19" t="s">
        <v>479</v>
      </c>
      <c r="E12" s="20">
        <v>28411.652981546402</v>
      </c>
      <c r="F12" s="20">
        <v>25784.987893554688</v>
      </c>
      <c r="G12" s="20">
        <v>29353.927650390626</v>
      </c>
      <c r="H12" s="20">
        <v>27673.867901336671</v>
      </c>
      <c r="I12" s="20">
        <v>28835.377608215331</v>
      </c>
      <c r="J12" s="20">
        <v>28440.905332031249</v>
      </c>
      <c r="K12" s="20">
        <v>28125.581721992494</v>
      </c>
      <c r="L12" s="20">
        <v>24345.872420288088</v>
      </c>
      <c r="M12" s="20">
        <v>19464.955774490358</v>
      </c>
      <c r="N12" s="20">
        <v>24018.918722900391</v>
      </c>
      <c r="O12" s="20">
        <v>15626.05810385704</v>
      </c>
      <c r="P12" s="20">
        <v>25797.961224426268</v>
      </c>
      <c r="Q12" s="21">
        <f>SUM(E12:P12)</f>
        <v>305880.0673350296</v>
      </c>
    </row>
    <row r="13" spans="2:17" ht="16.5">
      <c r="B13" s="22" t="s">
        <v>480</v>
      </c>
      <c r="C13" s="23" t="s">
        <v>481</v>
      </c>
      <c r="D13" s="24" t="s">
        <v>479</v>
      </c>
      <c r="E13" s="20">
        <v>16.389892282962798</v>
      </c>
      <c r="F13" s="20">
        <v>15.037117715477944</v>
      </c>
      <c r="G13" s="20">
        <v>0</v>
      </c>
      <c r="H13" s="20">
        <v>27.055786320820452</v>
      </c>
      <c r="I13" s="20">
        <v>13.540022835493088</v>
      </c>
      <c r="J13" s="20">
        <v>0</v>
      </c>
      <c r="K13" s="20">
        <v>55.606064191699026</v>
      </c>
      <c r="L13" s="20">
        <v>10.489472036123276</v>
      </c>
      <c r="M13" s="20">
        <v>6.0602929725646977</v>
      </c>
      <c r="N13" s="20">
        <v>0</v>
      </c>
      <c r="O13" s="20">
        <v>158.86755945942701</v>
      </c>
      <c r="P13" s="20">
        <v>186.53229086732864</v>
      </c>
      <c r="Q13" s="21">
        <f>SUM(E13:P13)</f>
        <v>489.57849868189697</v>
      </c>
    </row>
    <row r="14" spans="2:17" ht="25.5">
      <c r="B14" s="25" t="s">
        <v>482</v>
      </c>
      <c r="C14" s="23" t="s">
        <v>483</v>
      </c>
      <c r="D14" s="24" t="s">
        <v>479</v>
      </c>
      <c r="E14" s="20">
        <v>3780.3071778960625</v>
      </c>
      <c r="F14" s="20">
        <v>3454.9469424226681</v>
      </c>
      <c r="G14" s="20">
        <v>3843.6483823018471</v>
      </c>
      <c r="H14" s="20">
        <v>3698.5126442549772</v>
      </c>
      <c r="I14" s="20">
        <v>3808.4809309210427</v>
      </c>
      <c r="J14" s="20">
        <v>3707.5810103913941</v>
      </c>
      <c r="K14" s="20">
        <v>3774.755075930635</v>
      </c>
      <c r="L14" s="20">
        <v>3588.3656444056428</v>
      </c>
      <c r="M14" s="20">
        <v>3212.9248079177537</v>
      </c>
      <c r="N14" s="20">
        <v>3607.070338935057</v>
      </c>
      <c r="O14" s="20">
        <v>2487.6848313134201</v>
      </c>
      <c r="P14" s="20">
        <v>3557.5567773920693</v>
      </c>
      <c r="Q14" s="21">
        <f>SUM(E14:P14)</f>
        <v>42521.834564082572</v>
      </c>
    </row>
    <row r="15" spans="2:17" ht="25.5">
      <c r="B15" s="25" t="s">
        <v>484</v>
      </c>
      <c r="C15" s="23"/>
      <c r="D15" s="24" t="s">
        <v>479</v>
      </c>
      <c r="E15" s="20">
        <v>3526.140511229396</v>
      </c>
      <c r="F15" s="20">
        <v>3200.7802757560016</v>
      </c>
      <c r="G15" s="20">
        <v>3589.4817156351805</v>
      </c>
      <c r="H15" s="20">
        <v>3444.3459775883107</v>
      </c>
      <c r="I15" s="20">
        <v>3554.3142642543762</v>
      </c>
      <c r="J15" s="20">
        <v>3453.4143437247276</v>
      </c>
      <c r="K15" s="20">
        <v>3520.5884092639685</v>
      </c>
      <c r="L15" s="20">
        <v>3334.1989777389763</v>
      </c>
      <c r="M15" s="20">
        <v>2958.7581412510872</v>
      </c>
      <c r="N15" s="20">
        <v>3352.9036722683904</v>
      </c>
      <c r="O15" s="20">
        <v>2233.5181646467536</v>
      </c>
      <c r="P15" s="20">
        <v>3303.3901107254028</v>
      </c>
      <c r="Q15" s="21">
        <f>SUM(E15:P15)</f>
        <v>39471.834564082579</v>
      </c>
    </row>
    <row r="16" spans="2:17" ht="25.5">
      <c r="B16" s="26" t="s">
        <v>485</v>
      </c>
      <c r="C16" s="27"/>
      <c r="D16" s="24" t="s">
        <v>479</v>
      </c>
      <c r="E16" s="20">
        <f t="shared" ref="E16:I16" si="0">3.05*1000/(12)</f>
        <v>254.16666666666666</v>
      </c>
      <c r="F16" s="20">
        <f t="shared" si="0"/>
        <v>254.16666666666666</v>
      </c>
      <c r="G16" s="20">
        <f t="shared" si="0"/>
        <v>254.16666666666666</v>
      </c>
      <c r="H16" s="20">
        <f t="shared" si="0"/>
        <v>254.16666666666666</v>
      </c>
      <c r="I16" s="20">
        <f t="shared" si="0"/>
        <v>254.16666666666666</v>
      </c>
      <c r="J16" s="20">
        <f>3.05*1000/(12)</f>
        <v>254.16666666666666</v>
      </c>
      <c r="K16" s="20">
        <f>3.05*1000/(12)</f>
        <v>254.16666666666666</v>
      </c>
      <c r="L16" s="20">
        <f t="shared" ref="L16:P16" si="1">3.05*1000/(12)</f>
        <v>254.16666666666666</v>
      </c>
      <c r="M16" s="20">
        <f t="shared" si="1"/>
        <v>254.16666666666666</v>
      </c>
      <c r="N16" s="20">
        <f t="shared" si="1"/>
        <v>254.16666666666666</v>
      </c>
      <c r="O16" s="20">
        <f t="shared" si="1"/>
        <v>254.16666666666666</v>
      </c>
      <c r="P16" s="20">
        <f t="shared" si="1"/>
        <v>254.16666666666666</v>
      </c>
      <c r="Q16" s="21">
        <f t="shared" ref="Q16" si="2">SUM(E16:P16)</f>
        <v>3049.9999999999995</v>
      </c>
    </row>
    <row r="17" spans="2:23">
      <c r="B17" s="28" t="s">
        <v>337</v>
      </c>
      <c r="C17" s="29"/>
      <c r="D17" s="30" t="s">
        <v>479</v>
      </c>
      <c r="E17" s="30">
        <f t="shared" ref="E17:J17" si="3">+E12+E13-E14</f>
        <v>24647.735695933301</v>
      </c>
      <c r="F17" s="30">
        <f t="shared" si="3"/>
        <v>22345.078068847499</v>
      </c>
      <c r="G17" s="30">
        <f t="shared" si="3"/>
        <v>25510.27926808878</v>
      </c>
      <c r="H17" s="30">
        <f t="shared" si="3"/>
        <v>24002.411043402513</v>
      </c>
      <c r="I17" s="30">
        <f t="shared" si="3"/>
        <v>25040.43670012978</v>
      </c>
      <c r="J17" s="30">
        <f t="shared" si="3"/>
        <v>24733.324321639855</v>
      </c>
      <c r="K17" s="30">
        <f>+K12+K13-K14</f>
        <v>24406.432710253557</v>
      </c>
      <c r="L17" s="30">
        <f t="shared" ref="L17:P17" si="4">+L12+L13-L14</f>
        <v>20767.996247918567</v>
      </c>
      <c r="M17" s="30">
        <f t="shared" si="4"/>
        <v>16258.091259545168</v>
      </c>
      <c r="N17" s="30">
        <f t="shared" si="4"/>
        <v>20411.848383965335</v>
      </c>
      <c r="O17" s="30">
        <f t="shared" si="4"/>
        <v>13297.240832003048</v>
      </c>
      <c r="P17" s="30">
        <f t="shared" si="4"/>
        <v>22426.936737901528</v>
      </c>
      <c r="Q17" s="31">
        <f>SUM(E17:P17)</f>
        <v>263847.81126962893</v>
      </c>
    </row>
    <row r="18" spans="2:23">
      <c r="B18" s="32"/>
    </row>
    <row r="19" spans="2:23">
      <c r="B19" s="11" t="s">
        <v>486</v>
      </c>
      <c r="C19" s="12"/>
      <c r="D19" s="33" t="s">
        <v>487</v>
      </c>
      <c r="E19" s="34">
        <v>6.92</v>
      </c>
      <c r="F19" s="34">
        <v>7.25</v>
      </c>
      <c r="G19" s="34">
        <v>0</v>
      </c>
      <c r="H19" s="34">
        <v>15.1</v>
      </c>
      <c r="I19" s="34">
        <v>4.53</v>
      </c>
      <c r="J19" s="34">
        <v>0</v>
      </c>
      <c r="K19" s="34">
        <v>27.43</v>
      </c>
      <c r="L19" s="34">
        <v>2.5299999999999998</v>
      </c>
      <c r="M19" s="34">
        <v>1.42</v>
      </c>
      <c r="N19" s="34">
        <v>0</v>
      </c>
      <c r="O19" s="34">
        <f>264+17.68</f>
        <v>281.68</v>
      </c>
      <c r="P19" s="34">
        <v>54.26</v>
      </c>
      <c r="Q19" s="35">
        <f>SUM(E19:P19)</f>
        <v>401.12</v>
      </c>
    </row>
    <row r="20" spans="2:23">
      <c r="B20" s="11" t="s">
        <v>488</v>
      </c>
      <c r="C20" s="12"/>
      <c r="D20" s="33" t="s">
        <v>489</v>
      </c>
      <c r="E20" s="36">
        <f t="shared" ref="E20:P20" si="5">E19/24</f>
        <v>0.28833333333333333</v>
      </c>
      <c r="F20" s="36">
        <f t="shared" si="5"/>
        <v>0.30208333333333331</v>
      </c>
      <c r="G20" s="36">
        <f t="shared" si="5"/>
        <v>0</v>
      </c>
      <c r="H20" s="36">
        <f t="shared" si="5"/>
        <v>0.62916666666666665</v>
      </c>
      <c r="I20" s="36">
        <f t="shared" si="5"/>
        <v>0.18875</v>
      </c>
      <c r="J20" s="36">
        <f t="shared" si="5"/>
        <v>0</v>
      </c>
      <c r="K20" s="36">
        <f t="shared" si="5"/>
        <v>1.1429166666666666</v>
      </c>
      <c r="L20" s="36">
        <f t="shared" si="5"/>
        <v>0.10541666666666666</v>
      </c>
      <c r="M20" s="36">
        <f t="shared" si="5"/>
        <v>5.9166666666666666E-2</v>
      </c>
      <c r="N20" s="36">
        <f t="shared" si="5"/>
        <v>0</v>
      </c>
      <c r="O20" s="36">
        <f t="shared" si="5"/>
        <v>11.736666666666666</v>
      </c>
      <c r="P20" s="36">
        <f t="shared" si="5"/>
        <v>2.2608333333333333</v>
      </c>
      <c r="Q20" s="35">
        <f>SUM(E20:P20)</f>
        <v>16.713333333333331</v>
      </c>
    </row>
    <row r="22" spans="2:23">
      <c r="B22" s="8" t="s">
        <v>490</v>
      </c>
    </row>
    <row r="24" spans="2:23">
      <c r="B24" s="11"/>
      <c r="C24" s="37" t="s">
        <v>491</v>
      </c>
      <c r="D24" s="19"/>
      <c r="E24" s="14" t="s">
        <v>531</v>
      </c>
      <c r="F24" s="14" t="s">
        <v>466</v>
      </c>
      <c r="G24" s="14" t="s">
        <v>467</v>
      </c>
      <c r="H24" s="14" t="s">
        <v>468</v>
      </c>
      <c r="I24" s="14" t="s">
        <v>469</v>
      </c>
      <c r="J24" s="14" t="s">
        <v>470</v>
      </c>
      <c r="K24" s="14" t="s">
        <v>471</v>
      </c>
      <c r="L24" s="14" t="s">
        <v>472</v>
      </c>
      <c r="M24" s="14" t="s">
        <v>473</v>
      </c>
      <c r="N24" s="14" t="s">
        <v>474</v>
      </c>
      <c r="O24" s="14" t="s">
        <v>475</v>
      </c>
      <c r="P24" s="15" t="s">
        <v>476</v>
      </c>
      <c r="Q24" s="16" t="s">
        <v>388</v>
      </c>
    </row>
    <row r="25" spans="2:23">
      <c r="B25" s="17" t="s">
        <v>347</v>
      </c>
      <c r="C25" s="38" t="s">
        <v>492</v>
      </c>
      <c r="D25" s="19" t="s">
        <v>493</v>
      </c>
      <c r="E25" s="39">
        <v>128606.60607338049</v>
      </c>
      <c r="F25" s="39">
        <v>117232.86960903477</v>
      </c>
      <c r="G25" s="39">
        <v>134404.25703430176</v>
      </c>
      <c r="H25" s="39">
        <v>129887.38966414289</v>
      </c>
      <c r="I25" s="39">
        <v>131341.42876434326</v>
      </c>
      <c r="J25" s="39">
        <v>130188.19958496094</v>
      </c>
      <c r="K25" s="39">
        <v>130634.68284697548</v>
      </c>
      <c r="L25" s="39">
        <v>117168.01082611084</v>
      </c>
      <c r="M25" s="39">
        <v>96144.753156661987</v>
      </c>
      <c r="N25" s="39">
        <v>114429.28866577148</v>
      </c>
      <c r="O25" s="39">
        <v>68922.714666396641</v>
      </c>
      <c r="P25" s="39">
        <v>120480.24659069965</v>
      </c>
      <c r="Q25" s="40">
        <f>SUM(E25:P25)</f>
        <v>1419440.4474827801</v>
      </c>
    </row>
    <row r="26" spans="2:23" ht="20.45" customHeight="1">
      <c r="B26" s="22" t="s">
        <v>354</v>
      </c>
      <c r="C26" s="41" t="s">
        <v>494</v>
      </c>
      <c r="D26" s="24" t="s">
        <v>493</v>
      </c>
      <c r="E26" s="42">
        <v>7403.1438753753901</v>
      </c>
      <c r="F26" s="42">
        <v>7300.3862786442041</v>
      </c>
      <c r="G26" s="42">
        <v>5639.2635400295258</v>
      </c>
      <c r="H26" s="42">
        <v>7714.1945855200292</v>
      </c>
      <c r="I26" s="42">
        <v>8197.386193305254</v>
      </c>
      <c r="J26" s="42">
        <v>9279.7368249893188</v>
      </c>
      <c r="K26" s="42">
        <v>10084.100760549307</v>
      </c>
      <c r="L26" s="42">
        <v>9735.1471813321114</v>
      </c>
      <c r="M26" s="42">
        <v>7616.0678067579865</v>
      </c>
      <c r="N26" s="42">
        <v>8941.7762010097504</v>
      </c>
      <c r="O26" s="42">
        <v>4458.9494588375092</v>
      </c>
      <c r="P26" s="42">
        <v>6137.378712117672</v>
      </c>
      <c r="Q26" s="21">
        <f t="shared" ref="Q26:Q27" si="6">SUM(E26:P26)</f>
        <v>92507.531418468061</v>
      </c>
    </row>
    <row r="27" spans="2:23">
      <c r="B27" s="22" t="s">
        <v>495</v>
      </c>
      <c r="C27" s="41" t="s">
        <v>496</v>
      </c>
      <c r="D27" s="43" t="s">
        <v>493</v>
      </c>
      <c r="E27" s="42">
        <v>11726.088243842125</v>
      </c>
      <c r="F27" s="42">
        <v>11454.507003545761</v>
      </c>
      <c r="G27" s="42">
        <v>11962.695170730352</v>
      </c>
      <c r="H27" s="42">
        <v>12198.13524222374</v>
      </c>
      <c r="I27" s="42">
        <v>13779.994326591492</v>
      </c>
      <c r="J27" s="42">
        <v>15168.260348558426</v>
      </c>
      <c r="K27" s="42">
        <v>16497.809250593185</v>
      </c>
      <c r="L27" s="42">
        <v>16502.206519365311</v>
      </c>
      <c r="M27" s="42">
        <v>13658.125083012041</v>
      </c>
      <c r="N27" s="42">
        <v>16179.53050994873</v>
      </c>
      <c r="O27" s="42">
        <v>8469.04065990448</v>
      </c>
      <c r="P27" s="42">
        <v>13176.359532654285</v>
      </c>
      <c r="Q27" s="44">
        <f t="shared" si="6"/>
        <v>160772.75189096993</v>
      </c>
      <c r="R27" s="45"/>
    </row>
    <row r="28" spans="2:23">
      <c r="B28" s="12" t="s">
        <v>497</v>
      </c>
      <c r="C28" s="46" t="s">
        <v>498</v>
      </c>
      <c r="D28" s="47"/>
      <c r="E28" s="48"/>
      <c r="F28" s="48"/>
      <c r="G28" s="48"/>
      <c r="H28" s="48"/>
      <c r="I28" s="48"/>
      <c r="J28" s="48"/>
      <c r="K28" s="48"/>
      <c r="L28" s="48"/>
      <c r="M28" s="48"/>
      <c r="N28" s="48"/>
      <c r="O28" s="48"/>
      <c r="P28" s="48"/>
      <c r="Q28" s="48"/>
      <c r="R28" s="49"/>
      <c r="S28" s="49"/>
      <c r="T28" s="49"/>
      <c r="U28" s="49"/>
      <c r="V28" s="49"/>
      <c r="W28" s="47"/>
    </row>
    <row r="29" spans="2:23">
      <c r="T29" s="49"/>
      <c r="W29" s="50"/>
    </row>
    <row r="30" spans="2:23">
      <c r="B30" s="8" t="s">
        <v>499</v>
      </c>
      <c r="C30" s="9"/>
      <c r="D30" s="10"/>
      <c r="E30" s="10"/>
      <c r="F30" s="10"/>
      <c r="G30" s="10"/>
      <c r="H30" s="10"/>
      <c r="I30" s="10"/>
      <c r="J30" s="10"/>
      <c r="K30" s="10"/>
      <c r="L30" s="10"/>
      <c r="M30" s="10"/>
      <c r="N30" s="10"/>
      <c r="O30" s="10"/>
      <c r="P30" s="10"/>
      <c r="Q30" s="51"/>
      <c r="R30" s="51"/>
      <c r="S30" s="51"/>
      <c r="T30" s="49"/>
    </row>
    <row r="31" spans="2:23">
      <c r="K31" s="52"/>
      <c r="L31" s="52"/>
      <c r="M31" s="52"/>
      <c r="N31" s="52"/>
      <c r="O31" s="52"/>
      <c r="P31" s="52"/>
      <c r="T31" s="49"/>
    </row>
    <row r="32" spans="2:23">
      <c r="B32" s="11"/>
      <c r="C32" s="12"/>
      <c r="D32" s="53"/>
      <c r="E32" s="14" t="s">
        <v>531</v>
      </c>
      <c r="F32" s="14" t="s">
        <v>466</v>
      </c>
      <c r="G32" s="14" t="s">
        <v>467</v>
      </c>
      <c r="H32" s="14" t="s">
        <v>468</v>
      </c>
      <c r="I32" s="14" t="s">
        <v>469</v>
      </c>
      <c r="J32" s="14" t="s">
        <v>470</v>
      </c>
      <c r="K32" s="14" t="s">
        <v>471</v>
      </c>
      <c r="L32" s="14" t="s">
        <v>472</v>
      </c>
      <c r="M32" s="14" t="s">
        <v>473</v>
      </c>
      <c r="N32" s="14" t="s">
        <v>474</v>
      </c>
      <c r="O32" s="14" t="s">
        <v>475</v>
      </c>
      <c r="P32" s="15" t="s">
        <v>476</v>
      </c>
      <c r="Q32" s="54" t="s">
        <v>388</v>
      </c>
    </row>
    <row r="33" spans="2:23" ht="14.25">
      <c r="B33" s="55" t="s">
        <v>500</v>
      </c>
      <c r="C33" s="56" t="s">
        <v>501</v>
      </c>
      <c r="D33" s="57" t="s">
        <v>493</v>
      </c>
      <c r="E33" s="623">
        <f>15897.68</f>
        <v>15897.68</v>
      </c>
      <c r="F33" s="623">
        <f>13964.92</f>
        <v>13964.92</v>
      </c>
      <c r="G33" s="623">
        <v>15242</v>
      </c>
      <c r="H33" s="623">
        <v>16468</v>
      </c>
      <c r="I33" s="623">
        <v>17115</v>
      </c>
      <c r="J33" s="623">
        <v>17631</v>
      </c>
      <c r="K33" s="623">
        <v>17482</v>
      </c>
      <c r="L33" s="623">
        <v>16270</v>
      </c>
      <c r="M33" s="623">
        <v>12210</v>
      </c>
      <c r="N33" s="623">
        <v>16081</v>
      </c>
      <c r="O33" s="623">
        <v>7391</v>
      </c>
      <c r="P33" s="623">
        <f>14302.49</f>
        <v>14302.49</v>
      </c>
      <c r="Q33" s="21">
        <f>SUM(E33:P33)</f>
        <v>180055.09</v>
      </c>
    </row>
    <row r="34" spans="2:23">
      <c r="B34" s="55"/>
      <c r="C34" s="56"/>
      <c r="D34" s="57"/>
      <c r="E34" s="753">
        <f>E36+E39</f>
        <v>15960</v>
      </c>
      <c r="F34" s="753">
        <f t="shared" ref="F34:P34" si="7">F36+F39</f>
        <v>13984</v>
      </c>
      <c r="G34" s="753">
        <f t="shared" si="7"/>
        <v>15242</v>
      </c>
      <c r="H34" s="753">
        <f t="shared" si="7"/>
        <v>16469</v>
      </c>
      <c r="I34" s="753">
        <f t="shared" si="7"/>
        <v>17115</v>
      </c>
      <c r="J34" s="753">
        <f t="shared" si="7"/>
        <v>17631</v>
      </c>
      <c r="K34" s="753">
        <f t="shared" si="7"/>
        <v>16725.199999999997</v>
      </c>
      <c r="L34" s="753">
        <f t="shared" si="7"/>
        <v>16270</v>
      </c>
      <c r="M34" s="753">
        <f t="shared" si="7"/>
        <v>12209</v>
      </c>
      <c r="N34" s="753">
        <f t="shared" si="7"/>
        <v>16081</v>
      </c>
      <c r="O34" s="753">
        <f t="shared" si="7"/>
        <v>7391</v>
      </c>
      <c r="P34" s="753">
        <f t="shared" si="7"/>
        <v>14047</v>
      </c>
      <c r="Q34" s="21">
        <f>SUM(E34:P34)</f>
        <v>179124.2</v>
      </c>
      <c r="R34" s="4" t="s">
        <v>619</v>
      </c>
    </row>
    <row r="35" spans="2:23">
      <c r="B35" s="55"/>
      <c r="C35" s="56"/>
      <c r="D35" s="57"/>
      <c r="E35" s="715">
        <f>E36+E38</f>
        <v>15960</v>
      </c>
      <c r="F35" s="715">
        <f t="shared" ref="F35:P35" si="8">F36+F38</f>
        <v>13984</v>
      </c>
      <c r="G35" s="715">
        <f t="shared" si="8"/>
        <v>15242</v>
      </c>
      <c r="H35" s="715">
        <f t="shared" si="8"/>
        <v>16469</v>
      </c>
      <c r="I35" s="715">
        <f t="shared" si="8"/>
        <v>17115</v>
      </c>
      <c r="J35" s="715">
        <f t="shared" si="8"/>
        <v>17631</v>
      </c>
      <c r="K35" s="715">
        <f t="shared" si="8"/>
        <v>18238.800000000003</v>
      </c>
      <c r="L35" s="715">
        <f t="shared" si="8"/>
        <v>16270</v>
      </c>
      <c r="M35" s="715">
        <f t="shared" si="8"/>
        <v>12209</v>
      </c>
      <c r="N35" s="715">
        <f t="shared" si="8"/>
        <v>16081</v>
      </c>
      <c r="O35" s="715">
        <f t="shared" si="8"/>
        <v>7391</v>
      </c>
      <c r="P35" s="715">
        <f t="shared" si="8"/>
        <v>14047</v>
      </c>
      <c r="Q35" s="21">
        <f>SUM(E35:P35)</f>
        <v>180637.8</v>
      </c>
      <c r="R35" s="4" t="s">
        <v>617</v>
      </c>
    </row>
    <row r="36" spans="2:23">
      <c r="B36" s="55" t="s">
        <v>502</v>
      </c>
      <c r="C36" s="56"/>
      <c r="D36" s="57"/>
      <c r="E36" s="624">
        <v>2636</v>
      </c>
      <c r="F36" s="624">
        <v>2090</v>
      </c>
      <c r="G36" s="624">
        <v>2618</v>
      </c>
      <c r="H36" s="624">
        <v>2453</v>
      </c>
      <c r="I36" s="624">
        <v>2223</v>
      </c>
      <c r="J36" s="624">
        <v>2735</v>
      </c>
      <c r="K36" s="624">
        <v>2346</v>
      </c>
      <c r="L36" s="624">
        <v>2341</v>
      </c>
      <c r="M36" s="624">
        <v>1756</v>
      </c>
      <c r="N36" s="624">
        <v>2297</v>
      </c>
      <c r="O36" s="624">
        <v>1578</v>
      </c>
      <c r="P36" s="624">
        <v>1556</v>
      </c>
      <c r="Q36" s="21">
        <f t="shared" ref="Q36:Q43" si="9">SUM(E36:P36)</f>
        <v>26629</v>
      </c>
    </row>
    <row r="37" spans="2:23">
      <c r="B37" s="55" t="s">
        <v>503</v>
      </c>
      <c r="C37" s="56"/>
      <c r="D37" s="57"/>
      <c r="E37" s="624">
        <v>13324</v>
      </c>
      <c r="F37" s="624">
        <v>11894</v>
      </c>
      <c r="G37" s="624">
        <v>12624</v>
      </c>
      <c r="H37" s="624">
        <v>14016</v>
      </c>
      <c r="I37" s="624">
        <v>14892</v>
      </c>
      <c r="J37" s="624">
        <v>14896</v>
      </c>
      <c r="K37" s="660">
        <v>15136</v>
      </c>
      <c r="L37" s="624">
        <v>13929</v>
      </c>
      <c r="M37" s="624">
        <v>10453</v>
      </c>
      <c r="N37" s="624">
        <v>13784</v>
      </c>
      <c r="O37" s="624">
        <v>5813</v>
      </c>
      <c r="P37" s="624">
        <v>12491</v>
      </c>
      <c r="Q37" s="21">
        <f t="shared" si="9"/>
        <v>153252</v>
      </c>
      <c r="R37" s="52"/>
    </row>
    <row r="38" spans="2:23">
      <c r="B38" s="55"/>
      <c r="C38" s="56"/>
      <c r="D38" s="57" t="s">
        <v>578</v>
      </c>
      <c r="E38" s="717">
        <f>E37</f>
        <v>13324</v>
      </c>
      <c r="F38" s="717">
        <f t="shared" ref="F38:J38" si="10">F37</f>
        <v>11894</v>
      </c>
      <c r="G38" s="717">
        <f t="shared" si="10"/>
        <v>12624</v>
      </c>
      <c r="H38" s="717">
        <f t="shared" si="10"/>
        <v>14016</v>
      </c>
      <c r="I38" s="717">
        <f t="shared" si="10"/>
        <v>14892</v>
      </c>
      <c r="J38" s="717">
        <f t="shared" si="10"/>
        <v>14896</v>
      </c>
      <c r="K38" s="717">
        <f>K37*(1+0.05)</f>
        <v>15892.800000000001</v>
      </c>
      <c r="L38" s="717">
        <f>L37</f>
        <v>13929</v>
      </c>
      <c r="M38" s="717">
        <f t="shared" ref="M38:P38" si="11">M37</f>
        <v>10453</v>
      </c>
      <c r="N38" s="717">
        <f t="shared" si="11"/>
        <v>13784</v>
      </c>
      <c r="O38" s="717">
        <f t="shared" si="11"/>
        <v>5813</v>
      </c>
      <c r="P38" s="717">
        <f t="shared" si="11"/>
        <v>12491</v>
      </c>
      <c r="Q38" s="662">
        <f t="shared" si="9"/>
        <v>154008.79999999999</v>
      </c>
    </row>
    <row r="39" spans="2:23">
      <c r="B39" s="55"/>
      <c r="C39" s="56"/>
      <c r="D39" s="57" t="s">
        <v>618</v>
      </c>
      <c r="E39" s="717">
        <f>E37</f>
        <v>13324</v>
      </c>
      <c r="F39" s="717">
        <f t="shared" ref="F39:J39" si="12">F37</f>
        <v>11894</v>
      </c>
      <c r="G39" s="717">
        <f t="shared" si="12"/>
        <v>12624</v>
      </c>
      <c r="H39" s="717">
        <f t="shared" si="12"/>
        <v>14016</v>
      </c>
      <c r="I39" s="717">
        <f t="shared" si="12"/>
        <v>14892</v>
      </c>
      <c r="J39" s="717">
        <f t="shared" si="12"/>
        <v>14896</v>
      </c>
      <c r="K39" s="717">
        <f>K37*(1-0.05)</f>
        <v>14379.199999999999</v>
      </c>
      <c r="L39" s="717">
        <f>L37</f>
        <v>13929</v>
      </c>
      <c r="M39" s="717">
        <f t="shared" ref="M39:P39" si="13">M37</f>
        <v>10453</v>
      </c>
      <c r="N39" s="717">
        <f t="shared" si="13"/>
        <v>13784</v>
      </c>
      <c r="O39" s="717">
        <f t="shared" si="13"/>
        <v>5813</v>
      </c>
      <c r="P39" s="717">
        <f t="shared" si="13"/>
        <v>12491</v>
      </c>
      <c r="Q39" s="662">
        <f t="shared" si="9"/>
        <v>152495.20000000001</v>
      </c>
    </row>
    <row r="40" spans="2:23" ht="26.25">
      <c r="B40" s="25" t="s">
        <v>504</v>
      </c>
      <c r="C40" s="56" t="s">
        <v>119</v>
      </c>
      <c r="D40" s="57" t="s">
        <v>493</v>
      </c>
      <c r="E40" s="655">
        <v>19297</v>
      </c>
      <c r="F40" s="623">
        <v>20777</v>
      </c>
      <c r="G40" s="623">
        <v>20822</v>
      </c>
      <c r="H40" s="623">
        <v>24815</v>
      </c>
      <c r="I40" s="623">
        <v>25659</v>
      </c>
      <c r="J40" s="623">
        <v>22275</v>
      </c>
      <c r="K40" s="655">
        <v>25601</v>
      </c>
      <c r="L40" s="623">
        <v>31649</v>
      </c>
      <c r="M40" s="623">
        <v>25126</v>
      </c>
      <c r="N40" s="623">
        <v>29669</v>
      </c>
      <c r="O40" s="623">
        <v>17414</v>
      </c>
      <c r="P40" s="623">
        <v>22488</v>
      </c>
      <c r="Q40" s="21">
        <f t="shared" si="9"/>
        <v>285592</v>
      </c>
    </row>
    <row r="41" spans="2:23" ht="18.600000000000001" customHeight="1">
      <c r="B41" s="25"/>
      <c r="C41" s="56"/>
      <c r="D41" s="57" t="s">
        <v>578</v>
      </c>
      <c r="E41" s="715">
        <f>E40</f>
        <v>19297</v>
      </c>
      <c r="F41" s="715">
        <f t="shared" ref="F41:J41" si="14">F40</f>
        <v>20777</v>
      </c>
      <c r="G41" s="715">
        <f t="shared" si="14"/>
        <v>20822</v>
      </c>
      <c r="H41" s="715">
        <f t="shared" si="14"/>
        <v>24815</v>
      </c>
      <c r="I41" s="715">
        <f t="shared" si="14"/>
        <v>25659</v>
      </c>
      <c r="J41" s="715">
        <f t="shared" si="14"/>
        <v>22275</v>
      </c>
      <c r="K41" s="715">
        <f>K40*(1+0.05)</f>
        <v>26881.050000000003</v>
      </c>
      <c r="L41" s="715">
        <f>L40</f>
        <v>31649</v>
      </c>
      <c r="M41" s="715">
        <f t="shared" ref="M41:P41" si="15">M40</f>
        <v>25126</v>
      </c>
      <c r="N41" s="715">
        <f t="shared" si="15"/>
        <v>29669</v>
      </c>
      <c r="O41" s="715">
        <f t="shared" si="15"/>
        <v>17414</v>
      </c>
      <c r="P41" s="715">
        <f t="shared" si="15"/>
        <v>22488</v>
      </c>
      <c r="Q41" s="716">
        <f t="shared" si="9"/>
        <v>286872.05</v>
      </c>
    </row>
    <row r="42" spans="2:23" ht="18.600000000000001" customHeight="1">
      <c r="B42" s="25"/>
      <c r="C42" s="56"/>
      <c r="D42" s="57" t="s">
        <v>618</v>
      </c>
      <c r="E42" s="623">
        <f>E40*(1-0.05)</f>
        <v>18332.149999999998</v>
      </c>
      <c r="F42" s="623">
        <f>F40</f>
        <v>20777</v>
      </c>
      <c r="G42" s="623">
        <f t="shared" ref="G42:P42" si="16">G40</f>
        <v>20822</v>
      </c>
      <c r="H42" s="623">
        <f t="shared" si="16"/>
        <v>24815</v>
      </c>
      <c r="I42" s="623">
        <f t="shared" si="16"/>
        <v>25659</v>
      </c>
      <c r="J42" s="623">
        <f t="shared" si="16"/>
        <v>22275</v>
      </c>
      <c r="K42" s="623">
        <f t="shared" si="16"/>
        <v>25601</v>
      </c>
      <c r="L42" s="623">
        <f t="shared" si="16"/>
        <v>31649</v>
      </c>
      <c r="M42" s="623">
        <f t="shared" si="16"/>
        <v>25126</v>
      </c>
      <c r="N42" s="623">
        <f t="shared" si="16"/>
        <v>29669</v>
      </c>
      <c r="O42" s="623">
        <f t="shared" si="16"/>
        <v>17414</v>
      </c>
      <c r="P42" s="623">
        <f t="shared" si="16"/>
        <v>22488</v>
      </c>
      <c r="Q42" s="21">
        <f>SUM(E42:P42)</f>
        <v>284627.15000000002</v>
      </c>
    </row>
    <row r="43" spans="2:23" ht="18.600000000000001" customHeight="1">
      <c r="B43" s="26" t="s">
        <v>505</v>
      </c>
      <c r="C43" s="59" t="s">
        <v>121</v>
      </c>
      <c r="D43" s="60" t="s">
        <v>493</v>
      </c>
      <c r="E43" s="625">
        <v>0</v>
      </c>
      <c r="F43" s="625">
        <v>0</v>
      </c>
      <c r="G43" s="625">
        <v>0</v>
      </c>
      <c r="H43" s="625">
        <v>0</v>
      </c>
      <c r="I43" s="625">
        <v>0</v>
      </c>
      <c r="J43" s="625">
        <v>0</v>
      </c>
      <c r="K43" s="625">
        <v>0</v>
      </c>
      <c r="L43" s="625">
        <v>0</v>
      </c>
      <c r="M43" s="625">
        <v>0</v>
      </c>
      <c r="N43" s="625">
        <v>0</v>
      </c>
      <c r="O43" s="625">
        <v>0</v>
      </c>
      <c r="P43" s="625">
        <v>0</v>
      </c>
      <c r="Q43" s="21">
        <f t="shared" si="9"/>
        <v>0</v>
      </c>
    </row>
    <row r="44" spans="2:23" ht="18.600000000000001" customHeight="1">
      <c r="B44" s="62" t="s">
        <v>388</v>
      </c>
      <c r="C44" s="63"/>
      <c r="D44" s="64" t="s">
        <v>493</v>
      </c>
      <c r="E44" s="64">
        <f>E33+E40+E43</f>
        <v>35194.68</v>
      </c>
      <c r="F44" s="65">
        <f t="shared" ref="F44:P44" si="17">F33+F40+F43</f>
        <v>34741.919999999998</v>
      </c>
      <c r="G44" s="65">
        <f t="shared" si="17"/>
        <v>36064</v>
      </c>
      <c r="H44" s="65">
        <f t="shared" si="17"/>
        <v>41283</v>
      </c>
      <c r="I44" s="65">
        <f t="shared" si="17"/>
        <v>42774</v>
      </c>
      <c r="J44" s="65">
        <f t="shared" si="17"/>
        <v>39906</v>
      </c>
      <c r="K44" s="65">
        <f t="shared" si="17"/>
        <v>43083</v>
      </c>
      <c r="L44" s="65">
        <f t="shared" si="17"/>
        <v>47919</v>
      </c>
      <c r="M44" s="65">
        <f t="shared" si="17"/>
        <v>37336</v>
      </c>
      <c r="N44" s="65">
        <f t="shared" si="17"/>
        <v>45750</v>
      </c>
      <c r="O44" s="65">
        <f t="shared" si="17"/>
        <v>24805</v>
      </c>
      <c r="P44" s="54">
        <f t="shared" si="17"/>
        <v>36790.49</v>
      </c>
      <c r="Q44" s="31">
        <f>SUM(E44:P44)</f>
        <v>465647.08999999997</v>
      </c>
    </row>
    <row r="45" spans="2:23">
      <c r="B45" s="66"/>
      <c r="C45" s="67"/>
      <c r="D45" s="737"/>
      <c r="E45" s="737">
        <f>E41+E35+E43</f>
        <v>35257</v>
      </c>
      <c r="F45" s="737">
        <f t="shared" ref="F45:P45" si="18">F41+F35+F43</f>
        <v>34761</v>
      </c>
      <c r="G45" s="737">
        <f t="shared" si="18"/>
        <v>36064</v>
      </c>
      <c r="H45" s="737">
        <f t="shared" si="18"/>
        <v>41284</v>
      </c>
      <c r="I45" s="737">
        <f t="shared" si="18"/>
        <v>42774</v>
      </c>
      <c r="J45" s="737">
        <f t="shared" si="18"/>
        <v>39906</v>
      </c>
      <c r="K45" s="737">
        <f t="shared" si="18"/>
        <v>45119.850000000006</v>
      </c>
      <c r="L45" s="737">
        <f t="shared" si="18"/>
        <v>47919</v>
      </c>
      <c r="M45" s="737">
        <f t="shared" si="18"/>
        <v>37335</v>
      </c>
      <c r="N45" s="737">
        <f t="shared" si="18"/>
        <v>45750</v>
      </c>
      <c r="O45" s="737">
        <f t="shared" si="18"/>
        <v>24805</v>
      </c>
      <c r="P45" s="737">
        <f t="shared" si="18"/>
        <v>36535</v>
      </c>
      <c r="Q45" s="31">
        <f>SUM(E45:P45)</f>
        <v>467509.85</v>
      </c>
      <c r="R45" s="4" t="s">
        <v>584</v>
      </c>
    </row>
    <row r="46" spans="2:23">
      <c r="B46" s="265" t="s">
        <v>577</v>
      </c>
      <c r="C46" s="66"/>
      <c r="D46" s="67"/>
      <c r="E46" s="67"/>
      <c r="F46" s="67"/>
      <c r="G46" s="67"/>
      <c r="H46" s="67"/>
      <c r="I46" s="67"/>
      <c r="J46" s="67"/>
      <c r="K46" s="68"/>
      <c r="L46" s="68"/>
      <c r="M46" s="68"/>
      <c r="N46" s="68"/>
      <c r="O46" s="68"/>
      <c r="P46" s="68"/>
      <c r="Q46" s="68"/>
      <c r="R46" s="68"/>
      <c r="S46" s="68"/>
      <c r="T46" s="68"/>
      <c r="U46" s="68"/>
      <c r="V46" s="68"/>
      <c r="W46" s="61"/>
    </row>
    <row r="47" spans="2:23">
      <c r="B47" s="265" t="s">
        <v>575</v>
      </c>
      <c r="C47" s="66"/>
      <c r="D47" s="67"/>
      <c r="E47" s="67"/>
      <c r="F47" s="67"/>
      <c r="G47" s="67"/>
      <c r="H47" s="67"/>
      <c r="I47" s="67"/>
      <c r="J47" s="67"/>
      <c r="K47" s="68"/>
      <c r="L47" s="68"/>
      <c r="M47" s="68"/>
      <c r="N47" s="68"/>
      <c r="O47" s="68"/>
      <c r="P47" s="68"/>
      <c r="Q47" s="68"/>
      <c r="R47" s="68"/>
      <c r="S47" s="68"/>
      <c r="T47" s="68"/>
      <c r="U47" s="68"/>
      <c r="V47" s="68"/>
      <c r="W47" s="61"/>
    </row>
    <row r="48" spans="2:23">
      <c r="B48" s="265" t="s">
        <v>576</v>
      </c>
      <c r="C48" s="66"/>
      <c r="D48" s="67"/>
      <c r="E48" s="67"/>
      <c r="F48" s="67"/>
      <c r="G48" s="67"/>
      <c r="H48" s="67"/>
      <c r="I48" s="67"/>
      <c r="J48" s="67"/>
      <c r="K48" s="68"/>
      <c r="L48" s="68"/>
      <c r="M48" s="68"/>
      <c r="N48" s="68"/>
      <c r="O48" s="68"/>
      <c r="P48" s="68"/>
      <c r="Q48" s="68"/>
      <c r="R48" s="68"/>
      <c r="S48" s="68"/>
      <c r="T48" s="68"/>
      <c r="U48" s="68"/>
      <c r="V48" s="68"/>
      <c r="W48" s="61"/>
    </row>
    <row r="49" spans="2:23">
      <c r="B49" s="66"/>
      <c r="C49" s="66"/>
      <c r="D49" s="67"/>
      <c r="E49" s="67"/>
      <c r="F49" s="67"/>
      <c r="G49" s="67"/>
      <c r="H49" s="67"/>
      <c r="I49" s="67"/>
      <c r="J49" s="67"/>
      <c r="K49" s="68"/>
      <c r="L49" s="68"/>
      <c r="M49" s="68"/>
      <c r="N49" s="68"/>
      <c r="O49" s="68"/>
      <c r="P49" s="68"/>
      <c r="Q49" s="68"/>
      <c r="R49" s="68"/>
      <c r="S49" s="68"/>
      <c r="T49" s="68"/>
      <c r="U49" s="68"/>
      <c r="V49" s="68"/>
      <c r="W49" s="61"/>
    </row>
    <row r="50" spans="2:23">
      <c r="B50" s="4" t="s">
        <v>621</v>
      </c>
      <c r="C50" s="66"/>
      <c r="D50" s="67"/>
      <c r="E50" s="67"/>
      <c r="F50" s="67"/>
      <c r="G50" s="67"/>
      <c r="H50" s="67"/>
      <c r="I50" s="67"/>
      <c r="J50" s="67"/>
      <c r="K50" s="68"/>
      <c r="L50" s="68"/>
      <c r="M50" s="68"/>
      <c r="N50" s="68"/>
      <c r="O50" s="68"/>
      <c r="P50" s="68"/>
      <c r="Q50" s="68"/>
      <c r="R50" s="68"/>
      <c r="S50" s="68"/>
      <c r="T50" s="68"/>
      <c r="U50" s="68"/>
      <c r="V50" s="68"/>
      <c r="W50" s="61"/>
    </row>
    <row r="51" spans="2:23">
      <c r="B51" s="66"/>
      <c r="C51" s="66"/>
      <c r="D51" s="67"/>
      <c r="E51" s="67"/>
      <c r="F51" s="67"/>
      <c r="G51" s="67"/>
      <c r="H51" s="67"/>
      <c r="I51" s="67"/>
      <c r="J51" s="67"/>
      <c r="K51" s="68"/>
      <c r="L51" s="68"/>
      <c r="M51" s="68"/>
      <c r="N51" s="68"/>
      <c r="O51" s="68"/>
      <c r="P51" s="68"/>
      <c r="Q51" s="68"/>
      <c r="R51" s="68"/>
      <c r="S51" s="68"/>
      <c r="T51" s="68"/>
      <c r="U51" s="68"/>
      <c r="V51" s="68"/>
      <c r="W51" s="61"/>
    </row>
    <row r="52" spans="2:23">
      <c r="B52" s="66"/>
      <c r="C52" s="66"/>
      <c r="D52" s="67"/>
      <c r="E52" s="67"/>
      <c r="F52" s="67"/>
      <c r="G52" s="67"/>
      <c r="H52" s="67"/>
      <c r="I52" s="67"/>
      <c r="J52" s="67"/>
      <c r="K52" s="68"/>
      <c r="L52" s="68"/>
      <c r="M52" s="68"/>
      <c r="N52" s="68"/>
      <c r="O52" s="68"/>
      <c r="P52" s="68"/>
      <c r="Q52" s="68"/>
      <c r="R52" s="68"/>
      <c r="S52" s="68"/>
      <c r="T52" s="68"/>
      <c r="U52" s="68"/>
      <c r="V52" s="68"/>
      <c r="W52" s="61"/>
    </row>
    <row r="54" spans="2:23">
      <c r="B54" s="69"/>
      <c r="C54" s="9"/>
      <c r="D54" s="10"/>
      <c r="E54" s="70"/>
      <c r="F54" s="70"/>
      <c r="G54" s="70"/>
      <c r="H54" s="70"/>
      <c r="I54" s="70"/>
      <c r="J54" s="70"/>
      <c r="K54" s="70"/>
      <c r="L54" s="70"/>
      <c r="M54" s="70"/>
      <c r="N54" s="70"/>
      <c r="O54" s="70"/>
      <c r="P54" s="70"/>
      <c r="Q54" s="71"/>
      <c r="R54" s="72"/>
      <c r="S54" s="72"/>
      <c r="T54" s="72"/>
      <c r="U54" s="71"/>
      <c r="V54" s="71"/>
      <c r="W54" s="61"/>
    </row>
    <row r="55" spans="2:23">
      <c r="B55" s="73" t="s">
        <v>506</v>
      </c>
      <c r="C55" s="66"/>
      <c r="D55" s="67"/>
      <c r="E55" s="67"/>
      <c r="F55" s="67"/>
      <c r="G55" s="67"/>
      <c r="H55" s="67"/>
      <c r="I55" s="67"/>
      <c r="J55" s="67"/>
      <c r="K55" s="74"/>
      <c r="L55" s="74"/>
      <c r="M55" s="74"/>
      <c r="N55" s="74"/>
      <c r="O55" s="74"/>
      <c r="P55" s="74"/>
      <c r="Q55" s="74"/>
      <c r="R55" s="74"/>
      <c r="S55" s="74"/>
      <c r="T55" s="74"/>
      <c r="U55" s="74"/>
      <c r="V55" s="74"/>
      <c r="W55" s="75"/>
    </row>
    <row r="56" spans="2:23">
      <c r="B56" s="76"/>
      <c r="C56" s="62"/>
      <c r="D56" s="63"/>
      <c r="E56" s="14" t="s">
        <v>465</v>
      </c>
      <c r="F56" s="14" t="s">
        <v>466</v>
      </c>
      <c r="G56" s="14" t="s">
        <v>467</v>
      </c>
      <c r="H56" s="14" t="s">
        <v>468</v>
      </c>
      <c r="I56" s="14" t="s">
        <v>469</v>
      </c>
      <c r="J56" s="14" t="s">
        <v>470</v>
      </c>
      <c r="K56" s="14" t="s">
        <v>471</v>
      </c>
      <c r="L56" s="14" t="s">
        <v>472</v>
      </c>
      <c r="M56" s="14" t="s">
        <v>473</v>
      </c>
      <c r="N56" s="14" t="s">
        <v>474</v>
      </c>
      <c r="O56" s="14" t="s">
        <v>475</v>
      </c>
      <c r="P56" s="15" t="s">
        <v>476</v>
      </c>
      <c r="Q56" s="54" t="s">
        <v>388</v>
      </c>
    </row>
    <row r="57" spans="2:23" ht="25.5">
      <c r="B57" s="77" t="s">
        <v>507</v>
      </c>
      <c r="C57" s="22"/>
      <c r="D57" s="78" t="s">
        <v>114</v>
      </c>
      <c r="E57" s="79">
        <v>0.40186543252871809</v>
      </c>
      <c r="F57" s="79">
        <v>0.40179517361984357</v>
      </c>
      <c r="G57" s="79">
        <v>0.4036780641875492</v>
      </c>
      <c r="H57" s="79">
        <v>0.42619841445358908</v>
      </c>
      <c r="I57" s="79">
        <v>0.46460962331028766</v>
      </c>
      <c r="J57" s="79">
        <v>0.4764846165796478</v>
      </c>
      <c r="K57" s="79">
        <v>0.50317556232097349</v>
      </c>
      <c r="L57" s="79">
        <v>0.45152941634506222</v>
      </c>
      <c r="M57" s="79">
        <v>0.46512406385200589</v>
      </c>
      <c r="N57" s="79">
        <v>0.44219535994017356</v>
      </c>
      <c r="O57" s="79">
        <v>0.3489402810436345</v>
      </c>
      <c r="P57" s="79">
        <v>0.42207765743994202</v>
      </c>
      <c r="Q57" s="80">
        <f>AVERAGE(E57:P57)</f>
        <v>0.43397280546845224</v>
      </c>
    </row>
    <row r="58" spans="2:23" ht="38.25">
      <c r="B58" s="77" t="s">
        <v>508</v>
      </c>
      <c r="C58" s="22"/>
      <c r="D58" s="78" t="s">
        <v>114</v>
      </c>
      <c r="E58" s="79">
        <v>0.33879984633417681</v>
      </c>
      <c r="F58" s="79">
        <v>0.34762904305307774</v>
      </c>
      <c r="G58" s="79">
        <v>0.34448322016507377</v>
      </c>
      <c r="H58" s="79">
        <v>0.36129004505106871</v>
      </c>
      <c r="I58" s="79">
        <v>0.43365048796818012</v>
      </c>
      <c r="J58" s="79">
        <v>0.54834026890941079</v>
      </c>
      <c r="K58" s="79">
        <v>0.52274961746474058</v>
      </c>
      <c r="L58" s="79">
        <v>0.50526641436199704</v>
      </c>
      <c r="M58" s="79">
        <v>0.48402585050798685</v>
      </c>
      <c r="N58" s="79">
        <v>0.43788022344244382</v>
      </c>
      <c r="O58" s="79">
        <v>0.36369563133259586</v>
      </c>
      <c r="P58" s="79">
        <v>0.34498916101492877</v>
      </c>
      <c r="Q58" s="81">
        <f>AVERAGE(E58:P58)</f>
        <v>0.41939998413380675</v>
      </c>
    </row>
    <row r="59" spans="2:23" ht="25.5">
      <c r="B59" s="82" t="s">
        <v>509</v>
      </c>
      <c r="C59" s="83"/>
      <c r="D59" s="84" t="s">
        <v>114</v>
      </c>
      <c r="E59" s="85" t="s">
        <v>250</v>
      </c>
      <c r="F59" s="85" t="s">
        <v>250</v>
      </c>
      <c r="G59" s="85" t="s">
        <v>250</v>
      </c>
      <c r="H59" s="85" t="s">
        <v>250</v>
      </c>
      <c r="I59" s="85" t="s">
        <v>250</v>
      </c>
      <c r="J59" s="85" t="s">
        <v>250</v>
      </c>
      <c r="K59" s="86" t="s">
        <v>250</v>
      </c>
      <c r="L59" s="86" t="s">
        <v>250</v>
      </c>
      <c r="M59" s="86" t="s">
        <v>250</v>
      </c>
      <c r="N59" s="86" t="s">
        <v>250</v>
      </c>
      <c r="O59" s="86" t="s">
        <v>250</v>
      </c>
      <c r="P59" s="86" t="s">
        <v>250</v>
      </c>
      <c r="Q59" s="87" t="str">
        <f>IFERROR(AVERAGE(E59:P59),"-")</f>
        <v>-</v>
      </c>
    </row>
    <row r="60" spans="2:23">
      <c r="B60" s="69"/>
      <c r="C60" s="49"/>
      <c r="D60" s="88"/>
      <c r="E60" s="88"/>
      <c r="F60" s="88"/>
      <c r="G60" s="88"/>
      <c r="H60" s="88"/>
      <c r="I60" s="88"/>
      <c r="J60" s="88"/>
      <c r="K60" s="89"/>
      <c r="L60" s="89"/>
      <c r="M60" s="89"/>
      <c r="N60" s="89"/>
      <c r="O60" s="89"/>
      <c r="P60" s="89"/>
      <c r="Q60" s="89"/>
      <c r="R60" s="89"/>
      <c r="S60" s="89"/>
      <c r="T60" s="89"/>
      <c r="U60" s="89"/>
      <c r="V60" s="89"/>
      <c r="W60" s="90"/>
    </row>
    <row r="61" spans="2:23">
      <c r="K61" s="69"/>
      <c r="L61" s="69"/>
      <c r="M61" s="69"/>
    </row>
    <row r="62" spans="2:23">
      <c r="B62" s="91" t="s">
        <v>510</v>
      </c>
      <c r="M62" s="92"/>
      <c r="N62" s="92"/>
      <c r="U62" s="47"/>
      <c r="W62" s="49"/>
    </row>
    <row r="63" spans="2:23" ht="50.85" customHeight="1">
      <c r="B63" s="91"/>
      <c r="E63" s="93" t="s">
        <v>511</v>
      </c>
      <c r="F63" s="94" t="s">
        <v>512</v>
      </c>
      <c r="G63" s="94" t="s">
        <v>585</v>
      </c>
      <c r="M63" s="47"/>
      <c r="O63" s="95"/>
      <c r="Q63" s="49"/>
    </row>
    <row r="64" spans="2:23" ht="14.25" customHeight="1">
      <c r="B64" s="96" t="s">
        <v>513</v>
      </c>
      <c r="C64" s="97" t="s">
        <v>514</v>
      </c>
      <c r="D64" s="98" t="s">
        <v>515</v>
      </c>
      <c r="E64" s="688">
        <f>(3998+4468+4306)/3</f>
        <v>4257.333333333333</v>
      </c>
      <c r="F64" s="688">
        <f>(4370+4393)/2</f>
        <v>4381.5</v>
      </c>
      <c r="G64" s="675"/>
      <c r="H64" s="52"/>
      <c r="M64" s="47"/>
      <c r="Q64" s="49"/>
    </row>
    <row r="65" spans="2:20" ht="12.75" customHeight="1">
      <c r="B65" s="82"/>
      <c r="C65" s="99"/>
      <c r="D65" s="84" t="s">
        <v>268</v>
      </c>
      <c r="E65" s="100">
        <f>E64*4.18*1000/1000000</f>
        <v>17.79565333333333</v>
      </c>
      <c r="F65" s="100">
        <f>F64*4.18*1000/1000000</f>
        <v>18.31467</v>
      </c>
      <c r="G65" s="676">
        <f>AVERAGE(E65:F65)</f>
        <v>18.055161666666663</v>
      </c>
      <c r="H65" s="52"/>
      <c r="I65" s="52"/>
      <c r="J65" s="52"/>
      <c r="Q65" s="49"/>
    </row>
    <row r="66" spans="2:20" ht="14.25" customHeight="1">
      <c r="B66" s="96" t="s">
        <v>516</v>
      </c>
      <c r="C66" s="97" t="s">
        <v>517</v>
      </c>
      <c r="D66" s="98" t="s">
        <v>515</v>
      </c>
      <c r="E66" s="688">
        <f>(4378+4304+4402)/3</f>
        <v>4361.333333333333</v>
      </c>
      <c r="F66" s="688">
        <v>4302.5</v>
      </c>
      <c r="G66" s="675">
        <f t="shared" ref="G66:G67" si="19">AVERAGE(E66:F66)</f>
        <v>4331.9166666666661</v>
      </c>
      <c r="I66" s="52"/>
      <c r="J66" s="52"/>
      <c r="M66" s="47"/>
      <c r="Q66" s="49"/>
    </row>
    <row r="67" spans="2:20" ht="12.75" customHeight="1">
      <c r="B67" s="82"/>
      <c r="C67" s="99"/>
      <c r="D67" s="84" t="s">
        <v>268</v>
      </c>
      <c r="E67" s="100">
        <f>E66*4.18*1000/1000000</f>
        <v>18.230373333333329</v>
      </c>
      <c r="F67" s="100">
        <f>F66*4.18*1000/1000000</f>
        <v>17.984449999999995</v>
      </c>
      <c r="G67" s="676">
        <f t="shared" si="19"/>
        <v>18.107411666666664</v>
      </c>
      <c r="H67" s="52"/>
      <c r="I67" s="52"/>
      <c r="J67" s="52"/>
      <c r="M67" s="47"/>
      <c r="Q67" s="49"/>
    </row>
    <row r="68" spans="2:20" ht="14.25" customHeight="1">
      <c r="B68" s="77" t="s">
        <v>518</v>
      </c>
      <c r="C68" s="101" t="s">
        <v>519</v>
      </c>
      <c r="D68" s="78" t="s">
        <v>515</v>
      </c>
      <c r="E68" s="102" t="s">
        <v>250</v>
      </c>
      <c r="F68" s="21" t="s">
        <v>250</v>
      </c>
      <c r="G68" s="35"/>
      <c r="I68" s="52"/>
      <c r="J68" s="52"/>
      <c r="M68" s="47"/>
      <c r="Q68" s="49"/>
    </row>
    <row r="69" spans="2:20">
      <c r="B69" s="82"/>
      <c r="C69" s="99"/>
      <c r="D69" s="84" t="s">
        <v>268</v>
      </c>
      <c r="E69" s="100">
        <f>+IFERROR(E68*4.18*1000/1000000,0)</f>
        <v>0</v>
      </c>
      <c r="F69" s="100">
        <f>+IFERROR(F68*4.18*1000/1000000,0)</f>
        <v>0</v>
      </c>
      <c r="G69" s="676"/>
      <c r="M69" s="47"/>
      <c r="Q69" s="49"/>
    </row>
    <row r="71" spans="2:20">
      <c r="B71" s="9" t="s">
        <v>520</v>
      </c>
      <c r="C71" s="9"/>
      <c r="D71" s="10"/>
      <c r="E71" s="10"/>
      <c r="F71" s="10"/>
      <c r="H71" s="10"/>
      <c r="I71" s="10"/>
      <c r="J71" s="10"/>
      <c r="K71" s="103"/>
    </row>
    <row r="73" spans="2:20">
      <c r="B73" s="104"/>
      <c r="C73" s="97"/>
      <c r="D73" s="105"/>
      <c r="E73" s="14" t="s">
        <v>465</v>
      </c>
      <c r="F73" s="14" t="s">
        <v>466</v>
      </c>
      <c r="G73" s="14" t="s">
        <v>467</v>
      </c>
      <c r="H73" s="14" t="s">
        <v>468</v>
      </c>
      <c r="I73" s="14" t="s">
        <v>469</v>
      </c>
      <c r="J73" s="14" t="s">
        <v>470</v>
      </c>
      <c r="K73" s="14" t="s">
        <v>471</v>
      </c>
      <c r="L73" s="14" t="s">
        <v>472</v>
      </c>
      <c r="M73" s="14" t="s">
        <v>473</v>
      </c>
      <c r="N73" s="14" t="s">
        <v>474</v>
      </c>
      <c r="O73" s="14" t="s">
        <v>475</v>
      </c>
      <c r="P73" s="15" t="s">
        <v>476</v>
      </c>
      <c r="Q73" s="106" t="s">
        <v>388</v>
      </c>
    </row>
    <row r="74" spans="2:20" ht="25.5">
      <c r="B74" s="96" t="s">
        <v>521</v>
      </c>
      <c r="C74" s="18" t="s">
        <v>427</v>
      </c>
      <c r="D74" s="98" t="s">
        <v>374</v>
      </c>
      <c r="E74" s="107">
        <f>E40+E37</f>
        <v>32621</v>
      </c>
      <c r="F74" s="107">
        <f t="shared" ref="F74:P74" si="20">F40+F37</f>
        <v>32671</v>
      </c>
      <c r="G74" s="107">
        <f t="shared" si="20"/>
        <v>33446</v>
      </c>
      <c r="H74" s="107">
        <f t="shared" si="20"/>
        <v>38831</v>
      </c>
      <c r="I74" s="107">
        <f t="shared" si="20"/>
        <v>40551</v>
      </c>
      <c r="J74" s="107">
        <f t="shared" si="20"/>
        <v>37171</v>
      </c>
      <c r="K74" s="107">
        <f t="shared" si="20"/>
        <v>40737</v>
      </c>
      <c r="L74" s="107">
        <f t="shared" si="20"/>
        <v>45578</v>
      </c>
      <c r="M74" s="107">
        <f t="shared" si="20"/>
        <v>35579</v>
      </c>
      <c r="N74" s="107">
        <f t="shared" si="20"/>
        <v>43453</v>
      </c>
      <c r="O74" s="107">
        <f t="shared" si="20"/>
        <v>23227</v>
      </c>
      <c r="P74" s="107">
        <f t="shared" si="20"/>
        <v>34979</v>
      </c>
      <c r="Q74" s="40">
        <f>SUM(E74:P74)</f>
        <v>438844</v>
      </c>
    </row>
    <row r="75" spans="2:20">
      <c r="B75" s="77"/>
      <c r="C75" s="23"/>
      <c r="D75" s="78"/>
      <c r="E75" s="61">
        <f>E41+E38</f>
        <v>32621</v>
      </c>
      <c r="F75" s="61">
        <f t="shared" ref="F75:P75" si="21">F41+F38</f>
        <v>32671</v>
      </c>
      <c r="G75" s="61">
        <f t="shared" si="21"/>
        <v>33446</v>
      </c>
      <c r="H75" s="61">
        <f t="shared" si="21"/>
        <v>38831</v>
      </c>
      <c r="I75" s="61">
        <f t="shared" si="21"/>
        <v>40551</v>
      </c>
      <c r="J75" s="61">
        <f t="shared" si="21"/>
        <v>37171</v>
      </c>
      <c r="K75" s="663">
        <f t="shared" si="21"/>
        <v>42773.850000000006</v>
      </c>
      <c r="L75" s="61">
        <f t="shared" si="21"/>
        <v>45578</v>
      </c>
      <c r="M75" s="61">
        <f t="shared" si="21"/>
        <v>35579</v>
      </c>
      <c r="N75" s="61">
        <f t="shared" si="21"/>
        <v>43453</v>
      </c>
      <c r="O75" s="61">
        <f t="shared" si="21"/>
        <v>23227</v>
      </c>
      <c r="P75" s="61">
        <f t="shared" si="21"/>
        <v>34979</v>
      </c>
      <c r="Q75" s="664">
        <f>SUM(E75:P75)</f>
        <v>440880.85</v>
      </c>
      <c r="R75" s="4" t="s">
        <v>578</v>
      </c>
    </row>
    <row r="76" spans="2:20">
      <c r="B76" s="77" t="s">
        <v>523</v>
      </c>
      <c r="C76" s="23" t="s">
        <v>524</v>
      </c>
      <c r="D76" s="78" t="s">
        <v>525</v>
      </c>
      <c r="E76" s="109"/>
      <c r="F76" s="109"/>
      <c r="G76" s="109"/>
      <c r="H76" s="109"/>
      <c r="I76" s="109"/>
      <c r="J76" s="109"/>
      <c r="L76" s="61"/>
      <c r="M76" s="61"/>
      <c r="N76" s="61"/>
      <c r="O76" s="61"/>
      <c r="P76" s="110"/>
      <c r="Q76" s="21"/>
    </row>
    <row r="77" spans="2:20" ht="27">
      <c r="B77" s="111" t="s">
        <v>526</v>
      </c>
      <c r="C77" s="27" t="s">
        <v>527</v>
      </c>
      <c r="D77" s="84" t="s">
        <v>528</v>
      </c>
      <c r="E77" s="112">
        <v>129</v>
      </c>
      <c r="F77" s="112">
        <v>129</v>
      </c>
      <c r="G77" s="112">
        <v>129</v>
      </c>
      <c r="H77" s="112">
        <v>129</v>
      </c>
      <c r="I77" s="112">
        <v>129</v>
      </c>
      <c r="J77" s="112">
        <v>129</v>
      </c>
      <c r="K77" s="112">
        <v>129</v>
      </c>
      <c r="L77" s="112">
        <v>129</v>
      </c>
      <c r="M77" s="112">
        <v>129</v>
      </c>
      <c r="N77" s="112">
        <v>129</v>
      </c>
      <c r="O77" s="112">
        <v>129</v>
      </c>
      <c r="P77" s="113">
        <v>129</v>
      </c>
      <c r="Q77" s="43">
        <v>129</v>
      </c>
    </row>
    <row r="79" spans="2:20">
      <c r="T79" s="49"/>
    </row>
    <row r="80" spans="2:20">
      <c r="B80" s="9" t="s">
        <v>529</v>
      </c>
      <c r="C80" s="9"/>
      <c r="D80" s="10"/>
      <c r="E80" s="10"/>
      <c r="F80" s="10"/>
      <c r="G80" s="10"/>
      <c r="H80" s="10"/>
      <c r="I80" s="10"/>
      <c r="J80" s="10"/>
      <c r="T80" s="49"/>
    </row>
    <row r="81" spans="2:23">
      <c r="T81" s="49"/>
    </row>
    <row r="82" spans="2:23">
      <c r="B82" s="49" t="s">
        <v>530</v>
      </c>
      <c r="T82" s="49"/>
    </row>
    <row r="83" spans="2:23">
      <c r="B83" s="11"/>
      <c r="C83" s="114"/>
      <c r="D83" s="115"/>
      <c r="E83" s="14" t="s">
        <v>531</v>
      </c>
      <c r="F83" s="14" t="s">
        <v>466</v>
      </c>
      <c r="G83" s="14" t="s">
        <v>467</v>
      </c>
      <c r="H83" s="14" t="s">
        <v>532</v>
      </c>
      <c r="I83" s="14" t="s">
        <v>469</v>
      </c>
      <c r="J83" s="14" t="s">
        <v>470</v>
      </c>
      <c r="K83" s="14" t="s">
        <v>471</v>
      </c>
      <c r="L83" s="14" t="s">
        <v>472</v>
      </c>
      <c r="M83" s="14" t="s">
        <v>473</v>
      </c>
      <c r="N83" s="14" t="s">
        <v>474</v>
      </c>
      <c r="O83" s="14" t="s">
        <v>475</v>
      </c>
      <c r="P83" s="15" t="s">
        <v>476</v>
      </c>
      <c r="Q83" s="116" t="s">
        <v>388</v>
      </c>
    </row>
    <row r="84" spans="2:23" ht="16.5">
      <c r="B84" s="104" t="s">
        <v>27</v>
      </c>
      <c r="C84" s="117" t="s">
        <v>533</v>
      </c>
      <c r="D84" s="118" t="s">
        <v>534</v>
      </c>
      <c r="E84" s="119">
        <v>149.42311364626323</v>
      </c>
      <c r="F84" s="107">
        <v>137.78656081198847</v>
      </c>
      <c r="G84" s="107">
        <v>336.89118663123918</v>
      </c>
      <c r="H84" s="107">
        <v>857.48303701609393</v>
      </c>
      <c r="I84" s="107">
        <v>416.18245527935699</v>
      </c>
      <c r="J84" s="107">
        <v>353.7195608619806</v>
      </c>
      <c r="K84" s="107">
        <v>0</v>
      </c>
      <c r="L84" s="120">
        <v>703.29684887241808</v>
      </c>
      <c r="M84" s="107">
        <v>105.25476892708623</v>
      </c>
      <c r="N84" s="107">
        <v>366.44396945064483</v>
      </c>
      <c r="O84" s="107">
        <v>44114.380847379616</v>
      </c>
      <c r="P84" s="108">
        <v>37.406669529898132</v>
      </c>
      <c r="Q84" s="121">
        <f>SUM(E84:P84)</f>
        <v>47578.269018406587</v>
      </c>
    </row>
    <row r="85" spans="2:23" ht="16.5">
      <c r="B85" s="122" t="s">
        <v>319</v>
      </c>
      <c r="C85" s="56" t="s">
        <v>533</v>
      </c>
      <c r="D85" s="118" t="s">
        <v>493</v>
      </c>
      <c r="E85" s="123">
        <v>0</v>
      </c>
      <c r="F85" s="61">
        <v>0</v>
      </c>
      <c r="G85" s="61">
        <v>0</v>
      </c>
      <c r="H85" s="61">
        <v>0</v>
      </c>
      <c r="I85" s="61">
        <v>0</v>
      </c>
      <c r="J85" s="61">
        <v>0</v>
      </c>
      <c r="K85" s="61">
        <v>0</v>
      </c>
      <c r="L85" s="61">
        <v>0</v>
      </c>
      <c r="M85" s="61">
        <v>0</v>
      </c>
      <c r="N85" s="61">
        <v>0</v>
      </c>
      <c r="O85" s="61">
        <v>0</v>
      </c>
      <c r="P85" s="110">
        <v>0</v>
      </c>
      <c r="Q85" s="124">
        <f>SUM(E85:P85)</f>
        <v>0</v>
      </c>
    </row>
    <row r="86" spans="2:23" ht="16.5">
      <c r="B86" s="125" t="s">
        <v>535</v>
      </c>
      <c r="C86" s="59" t="s">
        <v>533</v>
      </c>
      <c r="D86" s="126" t="s">
        <v>534</v>
      </c>
      <c r="E86" s="127">
        <f>+E84/625</f>
        <v>0.23907698183402118</v>
      </c>
      <c r="F86" s="128">
        <f t="shared" ref="F86:N86" si="22">+F84/625</f>
        <v>0.22045849729918154</v>
      </c>
      <c r="G86" s="128">
        <f t="shared" si="22"/>
        <v>0.53902589860998273</v>
      </c>
      <c r="H86" s="128">
        <f t="shared" si="22"/>
        <v>1.3719728592257503</v>
      </c>
      <c r="I86" s="128">
        <f t="shared" si="22"/>
        <v>0.6658919284469712</v>
      </c>
      <c r="J86" s="128">
        <f t="shared" si="22"/>
        <v>0.56595129737916894</v>
      </c>
      <c r="K86" s="128">
        <f t="shared" si="22"/>
        <v>0</v>
      </c>
      <c r="L86" s="128">
        <f t="shared" si="22"/>
        <v>1.125274958195869</v>
      </c>
      <c r="M86" s="128">
        <f t="shared" si="22"/>
        <v>0.16840763028333797</v>
      </c>
      <c r="N86" s="128">
        <f t="shared" si="22"/>
        <v>0.58631035112103169</v>
      </c>
      <c r="O86" s="129">
        <f>+O84/625</f>
        <v>70.583009355807391</v>
      </c>
      <c r="P86" s="129">
        <f>+P84/625</f>
        <v>5.9850671247837009E-2</v>
      </c>
      <c r="Q86" s="130">
        <f>SUM(E86:P86)</f>
        <v>76.125230429450554</v>
      </c>
    </row>
    <row r="87" spans="2:23">
      <c r="T87" s="49"/>
    </row>
    <row r="88" spans="2:23" hidden="1">
      <c r="T88" s="49"/>
    </row>
    <row r="89" spans="2:23" hidden="1">
      <c r="B89" s="49" t="s">
        <v>536</v>
      </c>
      <c r="T89" s="49"/>
    </row>
    <row r="90" spans="2:23" hidden="1">
      <c r="B90" s="11"/>
      <c r="C90" s="131"/>
      <c r="D90" s="97"/>
      <c r="E90" s="97"/>
      <c r="F90" s="97"/>
      <c r="G90" s="97"/>
      <c r="H90" s="97"/>
      <c r="I90" s="97"/>
      <c r="J90" s="97"/>
      <c r="K90" s="30" t="s">
        <v>465</v>
      </c>
      <c r="L90" s="30" t="s">
        <v>466</v>
      </c>
      <c r="M90" s="30" t="s">
        <v>467</v>
      </c>
      <c r="N90" s="30" t="s">
        <v>468</v>
      </c>
      <c r="O90" s="30" t="s">
        <v>469</v>
      </c>
      <c r="P90" s="30" t="s">
        <v>470</v>
      </c>
      <c r="Q90" s="30" t="s">
        <v>471</v>
      </c>
      <c r="R90" s="30" t="s">
        <v>537</v>
      </c>
      <c r="S90" s="30" t="s">
        <v>473</v>
      </c>
      <c r="T90" s="30" t="s">
        <v>474</v>
      </c>
      <c r="U90" s="30" t="s">
        <v>475</v>
      </c>
      <c r="V90" s="30" t="s">
        <v>538</v>
      </c>
      <c r="W90" s="116" t="s">
        <v>388</v>
      </c>
    </row>
    <row r="91" spans="2:23" ht="16.5" hidden="1">
      <c r="B91" s="104" t="s">
        <v>27</v>
      </c>
      <c r="C91" s="48"/>
      <c r="D91" s="117" t="s">
        <v>539</v>
      </c>
      <c r="E91" s="117"/>
      <c r="F91" s="117"/>
      <c r="G91" s="117"/>
      <c r="H91" s="117"/>
      <c r="I91" s="117"/>
      <c r="J91" s="117"/>
      <c r="K91" s="40"/>
      <c r="L91" s="40"/>
      <c r="M91" s="40"/>
      <c r="N91" s="40"/>
      <c r="O91" s="40"/>
      <c r="P91" s="40"/>
      <c r="Q91" s="40"/>
      <c r="R91" s="40"/>
      <c r="S91" s="40"/>
      <c r="T91" s="40"/>
      <c r="U91" s="40"/>
      <c r="V91" s="40"/>
      <c r="W91" s="121"/>
    </row>
    <row r="92" spans="2:23" ht="16.5" hidden="1">
      <c r="B92" s="122" t="s">
        <v>319</v>
      </c>
      <c r="C92" s="49"/>
      <c r="D92" s="56" t="s">
        <v>539</v>
      </c>
      <c r="E92" s="56"/>
      <c r="F92" s="56"/>
      <c r="G92" s="56"/>
      <c r="H92" s="56"/>
      <c r="I92" s="56"/>
      <c r="J92" s="56"/>
      <c r="K92" s="21"/>
      <c r="L92" s="21"/>
      <c r="M92" s="21"/>
      <c r="N92" s="21"/>
      <c r="O92" s="21"/>
      <c r="P92" s="21"/>
      <c r="Q92" s="21"/>
      <c r="R92" s="21"/>
      <c r="S92" s="21"/>
      <c r="T92" s="21"/>
      <c r="U92" s="21"/>
      <c r="V92" s="21"/>
      <c r="W92" s="124"/>
    </row>
    <row r="93" spans="2:23" ht="16.5" hidden="1">
      <c r="B93" s="125" t="s">
        <v>540</v>
      </c>
      <c r="C93" s="132"/>
      <c r="D93" s="59" t="s">
        <v>539</v>
      </c>
      <c r="E93" s="59"/>
      <c r="F93" s="59"/>
      <c r="G93" s="59"/>
      <c r="H93" s="59"/>
      <c r="I93" s="59"/>
      <c r="J93" s="59"/>
      <c r="K93" s="44"/>
      <c r="L93" s="44"/>
      <c r="M93" s="44"/>
      <c r="N93" s="44"/>
      <c r="O93" s="44"/>
      <c r="P93" s="44"/>
      <c r="Q93" s="44"/>
      <c r="R93" s="44"/>
      <c r="S93" s="44"/>
      <c r="T93" s="44"/>
      <c r="U93" s="44"/>
      <c r="V93" s="44"/>
      <c r="W93" s="130"/>
    </row>
    <row r="94" spans="2:23" hidden="1">
      <c r="T94" s="49"/>
    </row>
    <row r="95" spans="2:23" hidden="1">
      <c r="T95" s="49"/>
    </row>
    <row r="96" spans="2:23" hidden="1">
      <c r="B96" s="49" t="s">
        <v>541</v>
      </c>
      <c r="T96" s="49"/>
    </row>
    <row r="97" spans="2:23" hidden="1">
      <c r="B97" s="11"/>
      <c r="C97" s="131"/>
      <c r="D97" s="97"/>
      <c r="E97" s="97"/>
      <c r="F97" s="97"/>
      <c r="G97" s="97"/>
      <c r="H97" s="97"/>
      <c r="I97" s="97"/>
      <c r="J97" s="97"/>
      <c r="K97" s="30" t="s">
        <v>465</v>
      </c>
      <c r="L97" s="30" t="s">
        <v>466</v>
      </c>
      <c r="M97" s="30" t="s">
        <v>467</v>
      </c>
      <c r="N97" s="30" t="s">
        <v>468</v>
      </c>
      <c r="O97" s="30" t="s">
        <v>469</v>
      </c>
      <c r="P97" s="30" t="s">
        <v>470</v>
      </c>
      <c r="Q97" s="30" t="s">
        <v>471</v>
      </c>
      <c r="R97" s="30" t="s">
        <v>537</v>
      </c>
      <c r="S97" s="30" t="s">
        <v>473</v>
      </c>
      <c r="T97" s="30" t="s">
        <v>474</v>
      </c>
      <c r="U97" s="30" t="s">
        <v>475</v>
      </c>
      <c r="V97" s="30" t="s">
        <v>538</v>
      </c>
      <c r="W97" s="16" t="s">
        <v>388</v>
      </c>
    </row>
    <row r="98" spans="2:23" ht="16.5" hidden="1">
      <c r="B98" s="104" t="s">
        <v>27</v>
      </c>
      <c r="C98" s="48"/>
      <c r="D98" s="117" t="s">
        <v>542</v>
      </c>
      <c r="E98" s="117"/>
      <c r="F98" s="117"/>
      <c r="G98" s="117"/>
      <c r="H98" s="117"/>
      <c r="I98" s="117"/>
      <c r="J98" s="117"/>
      <c r="K98" s="133"/>
      <c r="L98" s="134"/>
      <c r="M98" s="133"/>
      <c r="N98" s="134"/>
      <c r="O98" s="133"/>
      <c r="P98" s="134"/>
      <c r="Q98" s="133"/>
      <c r="R98" s="134"/>
      <c r="S98" s="133"/>
      <c r="T98" s="134"/>
      <c r="U98" s="133"/>
      <c r="V98" s="135"/>
      <c r="W98" s="121">
        <v>0</v>
      </c>
    </row>
    <row r="99" spans="2:23" ht="16.5" hidden="1">
      <c r="B99" s="122" t="s">
        <v>319</v>
      </c>
      <c r="C99" s="49"/>
      <c r="D99" s="56" t="s">
        <v>542</v>
      </c>
      <c r="E99" s="56"/>
      <c r="F99" s="56"/>
      <c r="G99" s="56"/>
      <c r="H99" s="56"/>
      <c r="I99" s="56"/>
      <c r="J99" s="56"/>
      <c r="K99" s="136"/>
      <c r="L99" s="134"/>
      <c r="M99" s="136"/>
      <c r="N99" s="134"/>
      <c r="O99" s="136"/>
      <c r="P99" s="134"/>
      <c r="Q99" s="136"/>
      <c r="R99" s="134"/>
      <c r="S99" s="136"/>
      <c r="T99" s="134"/>
      <c r="U99" s="136"/>
      <c r="V99" s="135"/>
      <c r="W99" s="124">
        <v>0</v>
      </c>
    </row>
    <row r="100" spans="2:23" ht="16.5" hidden="1">
      <c r="B100" s="125" t="s">
        <v>540</v>
      </c>
      <c r="C100" s="132"/>
      <c r="D100" s="59" t="s">
        <v>543</v>
      </c>
      <c r="E100" s="59"/>
      <c r="F100" s="59"/>
      <c r="G100" s="59"/>
      <c r="H100" s="59"/>
      <c r="I100" s="59"/>
      <c r="J100" s="59"/>
      <c r="K100" s="137"/>
      <c r="L100" s="138"/>
      <c r="M100" s="137"/>
      <c r="N100" s="138"/>
      <c r="O100" s="137"/>
      <c r="P100" s="138"/>
      <c r="Q100" s="137"/>
      <c r="R100" s="138"/>
      <c r="S100" s="137"/>
      <c r="T100" s="138"/>
      <c r="U100" s="137"/>
      <c r="V100" s="139"/>
      <c r="W100" s="130">
        <v>0</v>
      </c>
    </row>
    <row r="101" spans="2:23" hidden="1"/>
    <row r="102" spans="2:23" hidden="1">
      <c r="B102" s="49" t="s">
        <v>544</v>
      </c>
    </row>
    <row r="103" spans="2:23" hidden="1">
      <c r="B103" s="140"/>
      <c r="C103" s="131"/>
      <c r="D103" s="97"/>
      <c r="E103" s="97"/>
      <c r="F103" s="97"/>
      <c r="G103" s="97"/>
      <c r="H103" s="97"/>
      <c r="I103" s="97"/>
      <c r="J103" s="97"/>
      <c r="K103" s="16" t="s">
        <v>545</v>
      </c>
      <c r="L103" s="17"/>
      <c r="M103" s="16" t="s">
        <v>546</v>
      </c>
    </row>
    <row r="104" spans="2:23" ht="14.25" hidden="1">
      <c r="B104" s="104" t="s">
        <v>27</v>
      </c>
      <c r="C104" s="48"/>
      <c r="D104" s="17" t="s">
        <v>547</v>
      </c>
      <c r="E104" s="17"/>
      <c r="F104" s="17"/>
      <c r="G104" s="17"/>
      <c r="H104" s="17"/>
      <c r="I104" s="17"/>
      <c r="J104" s="17"/>
      <c r="K104" s="141"/>
      <c r="L104" s="142" t="s">
        <v>316</v>
      </c>
      <c r="M104" s="141"/>
    </row>
    <row r="105" spans="2:23" ht="14.25" hidden="1">
      <c r="B105" s="122" t="s">
        <v>319</v>
      </c>
      <c r="C105" s="49"/>
      <c r="D105" s="22" t="s">
        <v>548</v>
      </c>
      <c r="E105" s="22"/>
      <c r="F105" s="22"/>
      <c r="G105" s="22"/>
      <c r="H105" s="22"/>
      <c r="I105" s="22"/>
      <c r="J105" s="22"/>
      <c r="K105" s="143"/>
      <c r="L105" s="24" t="s">
        <v>316</v>
      </c>
      <c r="M105" s="144"/>
    </row>
    <row r="106" spans="2:23" ht="16.5" hidden="1">
      <c r="B106" s="125" t="s">
        <v>549</v>
      </c>
      <c r="C106" s="132"/>
      <c r="D106" s="83" t="s">
        <v>550</v>
      </c>
      <c r="E106" s="83"/>
      <c r="F106" s="83"/>
      <c r="G106" s="83"/>
      <c r="H106" s="83"/>
      <c r="I106" s="83"/>
      <c r="J106" s="83"/>
      <c r="K106" s="145"/>
      <c r="L106" s="43" t="s">
        <v>551</v>
      </c>
      <c r="M106" s="146"/>
    </row>
    <row r="107" spans="2:23" hidden="1"/>
    <row r="108" spans="2:23" hidden="1">
      <c r="B108" s="11" t="s">
        <v>552</v>
      </c>
      <c r="C108" s="131"/>
      <c r="D108" s="97"/>
      <c r="E108" s="97"/>
      <c r="F108" s="97"/>
      <c r="G108" s="97"/>
      <c r="H108" s="97"/>
      <c r="I108" s="97"/>
      <c r="J108" s="97"/>
      <c r="K108" s="16" t="s">
        <v>545</v>
      </c>
      <c r="L108" s="17"/>
      <c r="M108" s="16" t="s">
        <v>546</v>
      </c>
    </row>
    <row r="109" spans="2:23" hidden="1">
      <c r="B109" s="147" t="s">
        <v>27</v>
      </c>
      <c r="C109" s="148"/>
      <c r="D109" s="149"/>
      <c r="E109" s="149"/>
      <c r="F109" s="149"/>
      <c r="G109" s="149"/>
      <c r="H109" s="149"/>
      <c r="I109" s="149"/>
      <c r="J109" s="149"/>
      <c r="K109" s="150">
        <v>43.3</v>
      </c>
      <c r="L109" s="151" t="s">
        <v>316</v>
      </c>
      <c r="M109" s="150">
        <v>0.84</v>
      </c>
    </row>
    <row r="110" spans="2:23" hidden="1">
      <c r="B110" s="152" t="s">
        <v>319</v>
      </c>
      <c r="C110" s="153"/>
      <c r="D110" s="154"/>
      <c r="E110" s="154"/>
      <c r="F110" s="154"/>
      <c r="G110" s="154"/>
      <c r="H110" s="154"/>
      <c r="I110" s="154"/>
      <c r="J110" s="154"/>
      <c r="K110" s="155">
        <v>41.7</v>
      </c>
      <c r="L110" s="156" t="s">
        <v>316</v>
      </c>
      <c r="M110" s="155">
        <v>0.98</v>
      </c>
    </row>
    <row r="111" spans="2:23" ht="15.75" hidden="1">
      <c r="B111" s="157" t="s">
        <v>553</v>
      </c>
      <c r="C111" s="158"/>
      <c r="D111" s="159"/>
      <c r="E111" s="159"/>
      <c r="F111" s="159"/>
      <c r="G111" s="159"/>
      <c r="H111" s="159"/>
      <c r="I111" s="159"/>
      <c r="J111" s="159"/>
      <c r="K111" s="160">
        <v>52.2</v>
      </c>
      <c r="L111" s="161" t="s">
        <v>551</v>
      </c>
      <c r="M111" s="160">
        <v>0.55000000000000004</v>
      </c>
    </row>
    <row r="112" spans="2:23" hidden="1">
      <c r="B112" s="91"/>
    </row>
    <row r="113" spans="2:23">
      <c r="B113" s="162" t="s">
        <v>554</v>
      </c>
      <c r="C113" s="163"/>
      <c r="D113" s="163"/>
      <c r="E113" s="163"/>
      <c r="F113" s="163"/>
      <c r="G113" s="163"/>
      <c r="H113" s="163"/>
      <c r="I113" s="163"/>
      <c r="J113" s="163"/>
      <c r="K113" s="163"/>
      <c r="L113" s="163"/>
      <c r="M113" s="163"/>
      <c r="N113" s="163"/>
      <c r="O113" s="163"/>
      <c r="P113" s="163"/>
      <c r="Q113" s="163"/>
      <c r="R113" s="163"/>
      <c r="S113" s="163"/>
      <c r="T113" s="162"/>
      <c r="U113" s="163"/>
      <c r="V113" s="163"/>
      <c r="W113" s="163"/>
    </row>
    <row r="114" spans="2:23">
      <c r="B114" s="164"/>
      <c r="C114" s="165"/>
      <c r="D114" s="166"/>
      <c r="E114" s="14" t="s">
        <v>465</v>
      </c>
      <c r="F114" s="14" t="s">
        <v>466</v>
      </c>
      <c r="G114" s="14" t="s">
        <v>467</v>
      </c>
      <c r="H114" s="14" t="s">
        <v>468</v>
      </c>
      <c r="I114" s="14" t="s">
        <v>469</v>
      </c>
      <c r="J114" s="14" t="s">
        <v>470</v>
      </c>
      <c r="K114" s="14" t="s">
        <v>471</v>
      </c>
      <c r="L114" s="14" t="s">
        <v>472</v>
      </c>
      <c r="M114" s="14" t="s">
        <v>473</v>
      </c>
      <c r="N114" s="14" t="s">
        <v>474</v>
      </c>
      <c r="O114" s="14" t="s">
        <v>475</v>
      </c>
      <c r="P114" s="15" t="s">
        <v>476</v>
      </c>
      <c r="Q114" s="167" t="s">
        <v>388</v>
      </c>
    </row>
    <row r="115" spans="2:23" ht="16.5">
      <c r="B115" s="168" t="s">
        <v>27</v>
      </c>
      <c r="C115" s="169" t="s">
        <v>539</v>
      </c>
      <c r="D115" s="170" t="s">
        <v>534</v>
      </c>
      <c r="E115" s="171">
        <v>7356</v>
      </c>
      <c r="F115" s="172">
        <v>6168</v>
      </c>
      <c r="G115" s="172">
        <v>6718</v>
      </c>
      <c r="H115" s="172">
        <v>6094</v>
      </c>
      <c r="I115" s="172">
        <v>5659</v>
      </c>
      <c r="J115" s="172">
        <v>6341</v>
      </c>
      <c r="K115" s="172">
        <v>7468</v>
      </c>
      <c r="L115" s="172">
        <v>5600</v>
      </c>
      <c r="M115" s="172">
        <v>5324</v>
      </c>
      <c r="N115" s="172">
        <v>6351</v>
      </c>
      <c r="O115" s="172">
        <v>5329</v>
      </c>
      <c r="P115" s="173">
        <v>6154</v>
      </c>
      <c r="Q115" s="174">
        <f>SUM(E115:P115)</f>
        <v>74562</v>
      </c>
    </row>
    <row r="116" spans="2:23" ht="16.5">
      <c r="B116" s="175" t="s">
        <v>319</v>
      </c>
      <c r="C116" s="176" t="s">
        <v>539</v>
      </c>
      <c r="D116" s="170" t="s">
        <v>493</v>
      </c>
      <c r="E116" s="177">
        <v>0</v>
      </c>
      <c r="F116" s="58">
        <v>0</v>
      </c>
      <c r="G116" s="58">
        <v>0</v>
      </c>
      <c r="H116" s="58">
        <v>0</v>
      </c>
      <c r="I116" s="58">
        <v>0</v>
      </c>
      <c r="J116" s="58">
        <v>0</v>
      </c>
      <c r="K116" s="58">
        <v>0</v>
      </c>
      <c r="L116" s="58">
        <v>0</v>
      </c>
      <c r="M116" s="58">
        <v>0</v>
      </c>
      <c r="N116" s="58">
        <v>0</v>
      </c>
      <c r="O116" s="58">
        <v>0</v>
      </c>
      <c r="P116" s="178">
        <v>0</v>
      </c>
      <c r="Q116" s="179">
        <f>SUM(E116:P116)</f>
        <v>0</v>
      </c>
    </row>
    <row r="117" spans="2:23" ht="16.5">
      <c r="B117" s="180" t="s">
        <v>555</v>
      </c>
      <c r="C117" s="181" t="s">
        <v>539</v>
      </c>
      <c r="D117" s="182" t="s">
        <v>534</v>
      </c>
      <c r="E117" s="183">
        <v>0</v>
      </c>
      <c r="F117" s="184">
        <v>0</v>
      </c>
      <c r="G117" s="184">
        <v>0</v>
      </c>
      <c r="H117" s="184">
        <v>0</v>
      </c>
      <c r="I117" s="184">
        <v>0</v>
      </c>
      <c r="J117" s="184">
        <v>0</v>
      </c>
      <c r="K117" s="184">
        <v>0</v>
      </c>
      <c r="L117" s="184">
        <v>0</v>
      </c>
      <c r="M117" s="184">
        <v>0</v>
      </c>
      <c r="N117" s="184">
        <v>0</v>
      </c>
      <c r="O117" s="184">
        <v>0</v>
      </c>
      <c r="P117" s="185">
        <v>0</v>
      </c>
      <c r="Q117" s="186">
        <f>SUM(E117:P117)</f>
        <v>0</v>
      </c>
    </row>
    <row r="118" spans="2:23">
      <c r="B118" s="163"/>
      <c r="C118" s="163"/>
      <c r="D118" s="163"/>
      <c r="E118" s="163"/>
      <c r="F118" s="163"/>
      <c r="G118" s="163"/>
      <c r="H118" s="163"/>
      <c r="I118" s="163"/>
      <c r="J118" s="163"/>
      <c r="K118" s="163"/>
      <c r="L118" s="163"/>
      <c r="M118" s="163"/>
      <c r="N118" s="163"/>
      <c r="O118" s="163"/>
      <c r="P118" s="163"/>
      <c r="Q118" s="163"/>
      <c r="R118" s="163"/>
      <c r="S118" s="163"/>
      <c r="T118" s="162"/>
      <c r="U118" s="163"/>
      <c r="V118" s="163"/>
      <c r="W118" s="163"/>
    </row>
    <row r="119" spans="2:23">
      <c r="B119" s="187" t="s">
        <v>556</v>
      </c>
      <c r="C119" s="163"/>
      <c r="D119" s="163"/>
      <c r="E119" s="163"/>
      <c r="F119" s="163"/>
      <c r="G119" s="163"/>
      <c r="H119" s="163"/>
      <c r="I119" s="163"/>
      <c r="J119" s="163"/>
      <c r="K119" s="163"/>
      <c r="L119" s="163"/>
      <c r="M119" s="163"/>
      <c r="N119" s="163"/>
      <c r="O119" s="163"/>
      <c r="P119" s="163"/>
      <c r="Q119" s="163"/>
      <c r="R119" s="163"/>
      <c r="S119" s="163"/>
      <c r="T119" s="162"/>
      <c r="U119" s="163"/>
      <c r="V119" s="163"/>
      <c r="W119" s="163"/>
    </row>
    <row r="120" spans="2:23">
      <c r="B120" s="164" t="s">
        <v>557</v>
      </c>
      <c r="C120" s="188"/>
      <c r="D120" s="189"/>
      <c r="E120" s="190" t="s">
        <v>545</v>
      </c>
      <c r="F120" s="191"/>
      <c r="G120" s="190" t="s">
        <v>546</v>
      </c>
    </row>
    <row r="121" spans="2:23">
      <c r="B121" s="192" t="s">
        <v>27</v>
      </c>
      <c r="C121" s="193"/>
      <c r="D121" s="194" t="s">
        <v>558</v>
      </c>
      <c r="E121" s="195">
        <v>43.3</v>
      </c>
      <c r="F121" s="194" t="s">
        <v>316</v>
      </c>
      <c r="G121" s="195">
        <v>0.84</v>
      </c>
    </row>
    <row r="122" spans="2:23">
      <c r="B122" s="196" t="s">
        <v>319</v>
      </c>
      <c r="C122" s="197"/>
      <c r="D122" s="198" t="s">
        <v>558</v>
      </c>
      <c r="E122" s="199">
        <v>41.7</v>
      </c>
      <c r="F122" s="198" t="s">
        <v>316</v>
      </c>
      <c r="G122" s="199">
        <v>0.98</v>
      </c>
    </row>
    <row r="123" spans="2:23" ht="15.75">
      <c r="B123" s="200" t="s">
        <v>553</v>
      </c>
      <c r="C123" s="201"/>
      <c r="D123" s="202" t="s">
        <v>558</v>
      </c>
      <c r="E123" s="203">
        <v>52.2</v>
      </c>
      <c r="F123" s="202" t="s">
        <v>551</v>
      </c>
      <c r="G123" s="203">
        <v>0.55000000000000004</v>
      </c>
    </row>
    <row r="124" spans="2:23">
      <c r="D124" s="49"/>
      <c r="E124" s="49"/>
      <c r="F124" s="49"/>
      <c r="G124" s="49"/>
      <c r="H124" s="49"/>
      <c r="I124" s="49"/>
      <c r="J124" s="49"/>
    </row>
    <row r="125" spans="2:23">
      <c r="B125" s="204" t="s">
        <v>559</v>
      </c>
      <c r="C125" s="163"/>
      <c r="D125" s="163"/>
      <c r="E125" s="163"/>
      <c r="F125" s="163"/>
      <c r="G125" s="163"/>
      <c r="H125" s="163"/>
      <c r="I125" s="163"/>
      <c r="J125" s="163"/>
      <c r="K125" s="163"/>
      <c r="L125" s="163"/>
      <c r="M125" s="163"/>
      <c r="N125" s="163"/>
      <c r="O125" s="163"/>
      <c r="P125" s="163"/>
      <c r="Q125" s="163"/>
      <c r="R125" s="163"/>
      <c r="S125" s="163"/>
      <c r="T125" s="162"/>
      <c r="U125" s="163"/>
      <c r="V125" s="163"/>
      <c r="W125" s="163"/>
    </row>
    <row r="126" spans="2:23">
      <c r="B126" s="164"/>
      <c r="C126" s="165"/>
      <c r="D126" s="166"/>
      <c r="E126" s="205" t="s">
        <v>465</v>
      </c>
      <c r="F126" s="205" t="s">
        <v>466</v>
      </c>
      <c r="G126" s="205" t="s">
        <v>467</v>
      </c>
      <c r="H126" s="205" t="s">
        <v>468</v>
      </c>
      <c r="I126" s="205" t="s">
        <v>469</v>
      </c>
      <c r="J126" s="205" t="s">
        <v>470</v>
      </c>
      <c r="K126" s="205" t="s">
        <v>471</v>
      </c>
      <c r="L126" s="205" t="s">
        <v>472</v>
      </c>
      <c r="M126" s="205" t="s">
        <v>473</v>
      </c>
      <c r="N126" s="205" t="s">
        <v>474</v>
      </c>
      <c r="O126" s="205" t="s">
        <v>475</v>
      </c>
      <c r="P126" s="206" t="s">
        <v>476</v>
      </c>
      <c r="Q126" s="190" t="s">
        <v>388</v>
      </c>
    </row>
    <row r="127" spans="2:23" ht="16.5">
      <c r="B127" s="168" t="s">
        <v>27</v>
      </c>
      <c r="C127" s="169" t="s">
        <v>542</v>
      </c>
      <c r="D127" s="207" t="s">
        <v>534</v>
      </c>
      <c r="E127" s="208">
        <v>0</v>
      </c>
      <c r="F127" s="209">
        <v>0</v>
      </c>
      <c r="G127" s="209">
        <v>0</v>
      </c>
      <c r="H127" s="209">
        <v>0</v>
      </c>
      <c r="I127" s="209">
        <v>0</v>
      </c>
      <c r="J127" s="209">
        <v>0</v>
      </c>
      <c r="K127" s="209">
        <v>0</v>
      </c>
      <c r="L127" s="209">
        <v>0</v>
      </c>
      <c r="M127" s="209">
        <v>0</v>
      </c>
      <c r="N127" s="209">
        <v>0</v>
      </c>
      <c r="O127" s="209">
        <v>0</v>
      </c>
      <c r="P127" s="210">
        <v>0</v>
      </c>
      <c r="Q127" s="174">
        <f>+SUM(E127:P127)</f>
        <v>0</v>
      </c>
    </row>
    <row r="128" spans="2:23" ht="16.5">
      <c r="B128" s="175" t="s">
        <v>319</v>
      </c>
      <c r="C128" s="176" t="s">
        <v>542</v>
      </c>
      <c r="D128" s="207" t="s">
        <v>493</v>
      </c>
      <c r="E128" s="211">
        <v>0</v>
      </c>
      <c r="F128" s="212">
        <v>0</v>
      </c>
      <c r="G128" s="212">
        <v>0</v>
      </c>
      <c r="H128" s="212">
        <v>0</v>
      </c>
      <c r="I128" s="212">
        <v>0</v>
      </c>
      <c r="J128" s="212">
        <v>0</v>
      </c>
      <c r="K128" s="212">
        <v>0</v>
      </c>
      <c r="L128" s="212">
        <v>0</v>
      </c>
      <c r="M128" s="212">
        <v>0</v>
      </c>
      <c r="N128" s="212">
        <v>0</v>
      </c>
      <c r="O128" s="212">
        <v>0</v>
      </c>
      <c r="P128" s="213">
        <v>0</v>
      </c>
      <c r="Q128" s="179">
        <f t="shared" ref="Q128:Q129" si="23">+SUM(E128:P128)</f>
        <v>0</v>
      </c>
    </row>
    <row r="129" spans="2:23" ht="16.5">
      <c r="B129" s="180" t="s">
        <v>555</v>
      </c>
      <c r="C129" s="181" t="s">
        <v>543</v>
      </c>
      <c r="D129" s="214" t="s">
        <v>534</v>
      </c>
      <c r="E129" s="215">
        <v>0</v>
      </c>
      <c r="F129" s="216">
        <v>0</v>
      </c>
      <c r="G129" s="216">
        <v>0</v>
      </c>
      <c r="H129" s="216">
        <v>0</v>
      </c>
      <c r="I129" s="216">
        <v>0</v>
      </c>
      <c r="J129" s="216">
        <v>0</v>
      </c>
      <c r="K129" s="216">
        <v>0</v>
      </c>
      <c r="L129" s="216">
        <v>0</v>
      </c>
      <c r="M129" s="216">
        <v>0</v>
      </c>
      <c r="N129" s="216">
        <v>0</v>
      </c>
      <c r="O129" s="216">
        <v>0</v>
      </c>
      <c r="P129" s="217">
        <v>0</v>
      </c>
      <c r="Q129" s="186">
        <f t="shared" si="23"/>
        <v>0</v>
      </c>
    </row>
    <row r="130" spans="2:23">
      <c r="D130" s="49"/>
      <c r="E130" s="49"/>
      <c r="F130" s="49"/>
      <c r="G130" s="49"/>
      <c r="H130" s="49"/>
      <c r="I130" s="49"/>
      <c r="J130" s="49"/>
      <c r="N130" s="163"/>
      <c r="O130" s="163"/>
      <c r="P130" s="163"/>
      <c r="Q130" s="163"/>
      <c r="R130" s="163"/>
      <c r="S130" s="163"/>
      <c r="T130" s="163"/>
      <c r="U130" s="163"/>
      <c r="V130" s="163"/>
      <c r="W130" s="163"/>
    </row>
    <row r="131" spans="2:23">
      <c r="D131" s="49"/>
      <c r="E131" s="49"/>
      <c r="F131" s="49"/>
      <c r="G131" s="49"/>
      <c r="H131" s="49"/>
      <c r="I131" s="49"/>
      <c r="J131" s="49"/>
      <c r="N131" s="163"/>
      <c r="O131" s="163"/>
      <c r="P131" s="163"/>
      <c r="Q131" s="163"/>
      <c r="R131" s="163"/>
      <c r="S131" s="163"/>
      <c r="T131" s="163"/>
      <c r="U131" s="163"/>
      <c r="V131" s="163"/>
      <c r="W131" s="163"/>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W127"/>
  <sheetViews>
    <sheetView topLeftCell="B9" zoomScale="60" zoomScaleNormal="60" workbookViewId="0">
      <selection activeCell="B38" sqref="A38:XFD38"/>
    </sheetView>
  </sheetViews>
  <sheetFormatPr defaultColWidth="11.5703125" defaultRowHeight="12.75"/>
  <cols>
    <col min="1" max="1" width="2.140625" style="4" customWidth="1"/>
    <col min="2" max="2" width="83.5703125" style="4" customWidth="1"/>
    <col min="3" max="3" width="21.5703125" style="4" customWidth="1"/>
    <col min="4" max="4" width="17.85546875" style="4" bestFit="1" customWidth="1"/>
    <col min="5" max="5" width="21.5703125" style="4" bestFit="1" customWidth="1"/>
    <col min="6" max="6" width="24.140625" style="4" bestFit="1" customWidth="1"/>
    <col min="7" max="11" width="12.5703125" style="4" bestFit="1" customWidth="1"/>
    <col min="12" max="12" width="11.5703125" style="4" bestFit="1" customWidth="1"/>
    <col min="13" max="16" width="12.5703125" style="4" bestFit="1" customWidth="1"/>
    <col min="17" max="17" width="10.7109375" style="4" bestFit="1" customWidth="1"/>
    <col min="18" max="22" width="9.140625" style="4" customWidth="1"/>
    <col min="23" max="23" width="8.85546875" style="4" bestFit="1" customWidth="1"/>
    <col min="24" max="16384" width="11.5703125" style="4"/>
  </cols>
  <sheetData>
    <row r="2" spans="2:17" ht="23.25">
      <c r="B2" s="1" t="s">
        <v>249</v>
      </c>
      <c r="C2" s="2"/>
      <c r="D2" s="3"/>
      <c r="E2" s="3"/>
      <c r="F2" s="3"/>
      <c r="G2" s="3"/>
      <c r="H2" s="3"/>
      <c r="I2" s="3"/>
      <c r="J2" s="3"/>
    </row>
    <row r="4" spans="2:17" ht="18.75">
      <c r="B4" s="5" t="s">
        <v>561</v>
      </c>
      <c r="C4" s="6"/>
      <c r="D4" s="7"/>
      <c r="E4" s="7"/>
      <c r="F4" s="7"/>
      <c r="G4" s="7"/>
      <c r="H4" s="7"/>
      <c r="I4" s="7"/>
      <c r="J4" s="7"/>
    </row>
    <row r="9" spans="2:17">
      <c r="B9" s="8" t="s">
        <v>464</v>
      </c>
      <c r="C9" s="9"/>
      <c r="D9" s="10"/>
      <c r="E9" s="10"/>
      <c r="F9" s="10"/>
      <c r="G9" s="10"/>
      <c r="H9" s="10"/>
      <c r="I9" s="10"/>
      <c r="J9" s="10"/>
    </row>
    <row r="11" spans="2:17">
      <c r="B11" s="11"/>
      <c r="C11" s="12"/>
      <c r="D11" s="13"/>
      <c r="E11" s="14" t="s">
        <v>465</v>
      </c>
      <c r="F11" s="14" t="s">
        <v>466</v>
      </c>
      <c r="G11" s="14" t="s">
        <v>467</v>
      </c>
      <c r="H11" s="14" t="s">
        <v>468</v>
      </c>
      <c r="I11" s="14" t="s">
        <v>469</v>
      </c>
      <c r="J11" s="14" t="s">
        <v>470</v>
      </c>
      <c r="K11" s="14" t="s">
        <v>471</v>
      </c>
      <c r="L11" s="14" t="s">
        <v>472</v>
      </c>
      <c r="M11" s="14" t="s">
        <v>473</v>
      </c>
      <c r="N11" s="14" t="s">
        <v>474</v>
      </c>
      <c r="O11" s="14" t="s">
        <v>475</v>
      </c>
      <c r="P11" s="15" t="s">
        <v>476</v>
      </c>
      <c r="Q11" s="16" t="s">
        <v>388</v>
      </c>
    </row>
    <row r="12" spans="2:17" ht="16.5">
      <c r="B12" s="17" t="s">
        <v>477</v>
      </c>
      <c r="C12" s="18" t="s">
        <v>478</v>
      </c>
      <c r="D12" s="19" t="s">
        <v>479</v>
      </c>
      <c r="E12" s="20">
        <v>25049.962938476561</v>
      </c>
      <c r="F12" s="20">
        <v>25821.81019934082</v>
      </c>
      <c r="G12" s="20">
        <v>29378.205520996093</v>
      </c>
      <c r="H12" s="20">
        <v>28030.870714752196</v>
      </c>
      <c r="I12" s="20">
        <v>27909.909440549374</v>
      </c>
      <c r="J12" s="20">
        <v>28340.400805419922</v>
      </c>
      <c r="K12" s="20">
        <v>25808.968518798829</v>
      </c>
      <c r="L12" s="20">
        <v>29604.858144714355</v>
      </c>
      <c r="M12" s="20">
        <v>24019.119199218749</v>
      </c>
      <c r="N12" s="20">
        <v>26429.366827148438</v>
      </c>
      <c r="O12" s="20">
        <v>13691.218991752245</v>
      </c>
      <c r="P12" s="20">
        <v>26508.96114959407</v>
      </c>
      <c r="Q12" s="21">
        <f t="shared" ref="Q12:Q17" si="0">SUM(E12:P12)</f>
        <v>310593.65245076164</v>
      </c>
    </row>
    <row r="13" spans="2:17" ht="16.5">
      <c r="B13" s="22" t="s">
        <v>480</v>
      </c>
      <c r="C13" s="23" t="s">
        <v>481</v>
      </c>
      <c r="D13" s="24" t="s">
        <v>479</v>
      </c>
      <c r="E13" s="20">
        <v>4.1154299089908601</v>
      </c>
      <c r="F13" s="20">
        <v>0</v>
      </c>
      <c r="G13" s="20">
        <v>0</v>
      </c>
      <c r="H13" s="20">
        <v>50.814002595782277</v>
      </c>
      <c r="I13" s="20">
        <v>0</v>
      </c>
      <c r="J13" s="20">
        <v>5.9927210559844974</v>
      </c>
      <c r="K13" s="20">
        <v>21.435814325392247</v>
      </c>
      <c r="L13" s="20">
        <v>6.9822641912698744</v>
      </c>
      <c r="M13" s="20">
        <v>6.6177795114517215</v>
      </c>
      <c r="N13" s="20">
        <v>0</v>
      </c>
      <c r="O13" s="20">
        <v>270.06694872160256</v>
      </c>
      <c r="P13" s="20">
        <v>170.97697484898566</v>
      </c>
      <c r="Q13" s="21">
        <f t="shared" si="0"/>
        <v>537.00193515945966</v>
      </c>
    </row>
    <row r="14" spans="2:17" ht="16.5">
      <c r="B14" s="25" t="s">
        <v>482</v>
      </c>
      <c r="C14" s="23" t="s">
        <v>483</v>
      </c>
      <c r="D14" s="24" t="s">
        <v>479</v>
      </c>
      <c r="E14" s="20">
        <v>3570.0714746882118</v>
      </c>
      <c r="F14" s="20">
        <v>3436.2340278292099</v>
      </c>
      <c r="G14" s="20">
        <v>3807.7574589648643</v>
      </c>
      <c r="H14" s="20">
        <v>3683.1584130602278</v>
      </c>
      <c r="I14" s="20">
        <v>3690.561399189929</v>
      </c>
      <c r="J14" s="20">
        <v>3710.668933361093</v>
      </c>
      <c r="K14" s="20">
        <v>3624.3627695033947</v>
      </c>
      <c r="L14" s="20">
        <v>3873.3866633717216</v>
      </c>
      <c r="M14" s="20">
        <v>3561.0468270730175</v>
      </c>
      <c r="N14" s="20">
        <v>3746.2715887678064</v>
      </c>
      <c r="O14" s="20">
        <v>2308.692684697623</v>
      </c>
      <c r="P14" s="20">
        <v>3694.3462316899695</v>
      </c>
      <c r="Q14" s="21">
        <f t="shared" si="0"/>
        <v>42706.558472197066</v>
      </c>
    </row>
    <row r="15" spans="2:17">
      <c r="B15" s="25" t="s">
        <v>484</v>
      </c>
      <c r="C15" s="23"/>
      <c r="D15" s="24" t="s">
        <v>479</v>
      </c>
      <c r="E15" s="20">
        <v>3315.9048080215453</v>
      </c>
      <c r="F15" s="20">
        <v>3182.0673611625434</v>
      </c>
      <c r="G15" s="20">
        <v>3553.5907922981978</v>
      </c>
      <c r="H15" s="20">
        <v>3428.9917463935612</v>
      </c>
      <c r="I15" s="20">
        <v>3436.3947325232625</v>
      </c>
      <c r="J15" s="20">
        <v>3456.5022666944265</v>
      </c>
      <c r="K15" s="20">
        <v>3370.1961028367282</v>
      </c>
      <c r="L15" s="20">
        <v>3619.2199967050551</v>
      </c>
      <c r="M15" s="20">
        <v>3306.880160406351</v>
      </c>
      <c r="N15" s="20">
        <v>3492.1049221011399</v>
      </c>
      <c r="O15" s="20">
        <v>2054.5260180309565</v>
      </c>
      <c r="P15" s="20">
        <v>3440.179565023303</v>
      </c>
      <c r="Q15" s="21">
        <f t="shared" si="0"/>
        <v>39656.558472197074</v>
      </c>
    </row>
    <row r="16" spans="2:17">
      <c r="B16" s="26" t="s">
        <v>485</v>
      </c>
      <c r="C16" s="27"/>
      <c r="D16" s="24" t="s">
        <v>479</v>
      </c>
      <c r="E16" s="20">
        <f t="shared" ref="E16:I16" si="1">3.05*1000/(12)</f>
        <v>254.16666666666666</v>
      </c>
      <c r="F16" s="20">
        <f t="shared" si="1"/>
        <v>254.16666666666666</v>
      </c>
      <c r="G16" s="20">
        <f t="shared" si="1"/>
        <v>254.16666666666666</v>
      </c>
      <c r="H16" s="20">
        <f t="shared" si="1"/>
        <v>254.16666666666666</v>
      </c>
      <c r="I16" s="20">
        <f t="shared" si="1"/>
        <v>254.16666666666666</v>
      </c>
      <c r="J16" s="20">
        <f>3.05*1000/(12)</f>
        <v>254.16666666666666</v>
      </c>
      <c r="K16" s="20">
        <f>3.05*1000/(12)</f>
        <v>254.16666666666666</v>
      </c>
      <c r="L16" s="20">
        <f t="shared" ref="L16:P16" si="2">3.05*1000/(12)</f>
        <v>254.16666666666666</v>
      </c>
      <c r="M16" s="20">
        <f t="shared" si="2"/>
        <v>254.16666666666666</v>
      </c>
      <c r="N16" s="20">
        <f t="shared" si="2"/>
        <v>254.16666666666666</v>
      </c>
      <c r="O16" s="20">
        <f t="shared" si="2"/>
        <v>254.16666666666666</v>
      </c>
      <c r="P16" s="20">
        <f t="shared" si="2"/>
        <v>254.16666666666666</v>
      </c>
      <c r="Q16" s="21">
        <f t="shared" si="0"/>
        <v>3049.9999999999995</v>
      </c>
    </row>
    <row r="17" spans="2:23">
      <c r="B17" s="28" t="s">
        <v>337</v>
      </c>
      <c r="C17" s="29"/>
      <c r="D17" s="30" t="s">
        <v>479</v>
      </c>
      <c r="E17" s="30">
        <f t="shared" ref="E17:J17" si="3">+E12+E13-E14</f>
        <v>21484.00689369734</v>
      </c>
      <c r="F17" s="30">
        <f t="shared" si="3"/>
        <v>22385.57617151161</v>
      </c>
      <c r="G17" s="30">
        <f t="shared" si="3"/>
        <v>25570.448062031228</v>
      </c>
      <c r="H17" s="30">
        <f t="shared" si="3"/>
        <v>24398.526304287752</v>
      </c>
      <c r="I17" s="30">
        <f t="shared" si="3"/>
        <v>24219.348041359444</v>
      </c>
      <c r="J17" s="30">
        <f t="shared" si="3"/>
        <v>24635.724593114814</v>
      </c>
      <c r="K17" s="30">
        <f>+K12+K13-K14</f>
        <v>22206.041563620827</v>
      </c>
      <c r="L17" s="30">
        <f t="shared" ref="L17:P17" si="4">+L12+L13-L14</f>
        <v>25738.453745533901</v>
      </c>
      <c r="M17" s="30">
        <f t="shared" si="4"/>
        <v>20464.690151657185</v>
      </c>
      <c r="N17" s="30">
        <f t="shared" si="4"/>
        <v>22683.095238380633</v>
      </c>
      <c r="O17" s="30">
        <f t="shared" si="4"/>
        <v>11652.593255776224</v>
      </c>
      <c r="P17" s="30">
        <f t="shared" si="4"/>
        <v>22985.591892753087</v>
      </c>
      <c r="Q17" s="31">
        <f t="shared" si="0"/>
        <v>268424.09591372398</v>
      </c>
    </row>
    <row r="18" spans="2:23">
      <c r="B18" s="32"/>
    </row>
    <row r="19" spans="2:23">
      <c r="B19" s="11" t="s">
        <v>486</v>
      </c>
      <c r="C19" s="12"/>
      <c r="D19" s="33" t="s">
        <v>487</v>
      </c>
      <c r="E19" s="34">
        <v>0.95</v>
      </c>
      <c r="F19" s="34">
        <v>0</v>
      </c>
      <c r="G19" s="34">
        <v>0</v>
      </c>
      <c r="H19" s="34">
        <v>15.42</v>
      </c>
      <c r="I19" s="34">
        <v>26.99</v>
      </c>
      <c r="J19" s="34">
        <v>0.8</v>
      </c>
      <c r="K19" s="34">
        <v>15.27</v>
      </c>
      <c r="L19" s="34">
        <v>2.82</v>
      </c>
      <c r="M19" s="34">
        <v>1.8</v>
      </c>
      <c r="N19" s="34">
        <v>0</v>
      </c>
      <c r="O19" s="34">
        <f>240+69.22</f>
        <v>309.22000000000003</v>
      </c>
      <c r="P19" s="34">
        <v>48.73</v>
      </c>
      <c r="Q19" s="35">
        <f>SUM(E19:P19)</f>
        <v>422.00000000000006</v>
      </c>
    </row>
    <row r="20" spans="2:23">
      <c r="B20" s="11" t="s">
        <v>488</v>
      </c>
      <c r="C20" s="12"/>
      <c r="D20" s="33" t="s">
        <v>489</v>
      </c>
      <c r="E20" s="36">
        <f t="shared" ref="E20:P20" si="5">E19/24</f>
        <v>3.9583333333333331E-2</v>
      </c>
      <c r="F20" s="36">
        <f t="shared" si="5"/>
        <v>0</v>
      </c>
      <c r="G20" s="36">
        <f t="shared" si="5"/>
        <v>0</v>
      </c>
      <c r="H20" s="36">
        <f t="shared" si="5"/>
        <v>0.64249999999999996</v>
      </c>
      <c r="I20" s="36">
        <f t="shared" si="5"/>
        <v>1.1245833333333333</v>
      </c>
      <c r="J20" s="36">
        <f t="shared" si="5"/>
        <v>3.3333333333333333E-2</v>
      </c>
      <c r="K20" s="36">
        <f t="shared" si="5"/>
        <v>0.63624999999999998</v>
      </c>
      <c r="L20" s="36">
        <f t="shared" si="5"/>
        <v>0.11749999999999999</v>
      </c>
      <c r="M20" s="36">
        <f t="shared" si="5"/>
        <v>7.4999999999999997E-2</v>
      </c>
      <c r="N20" s="36">
        <f t="shared" si="5"/>
        <v>0</v>
      </c>
      <c r="O20" s="36">
        <f t="shared" si="5"/>
        <v>12.884166666666667</v>
      </c>
      <c r="P20" s="36">
        <f t="shared" si="5"/>
        <v>2.0304166666666665</v>
      </c>
      <c r="Q20" s="35">
        <f>SUM(E20:P20)</f>
        <v>17.583333333333336</v>
      </c>
    </row>
    <row r="22" spans="2:23">
      <c r="B22" s="8" t="s">
        <v>490</v>
      </c>
    </row>
    <row r="24" spans="2:23">
      <c r="B24" s="11"/>
      <c r="C24" s="37" t="s">
        <v>491</v>
      </c>
      <c r="D24" s="19"/>
      <c r="E24" s="14" t="s">
        <v>465</v>
      </c>
      <c r="F24" s="14" t="s">
        <v>466</v>
      </c>
      <c r="G24" s="14" t="s">
        <v>467</v>
      </c>
      <c r="H24" s="14" t="s">
        <v>468</v>
      </c>
      <c r="I24" s="14" t="s">
        <v>469</v>
      </c>
      <c r="J24" s="14" t="s">
        <v>470</v>
      </c>
      <c r="K24" s="14" t="s">
        <v>471</v>
      </c>
      <c r="L24" s="14" t="s">
        <v>472</v>
      </c>
      <c r="M24" s="14" t="s">
        <v>473</v>
      </c>
      <c r="N24" s="14" t="s">
        <v>474</v>
      </c>
      <c r="O24" s="14" t="s">
        <v>475</v>
      </c>
      <c r="P24" s="15" t="s">
        <v>476</v>
      </c>
      <c r="Q24" s="16" t="s">
        <v>388</v>
      </c>
    </row>
    <row r="25" spans="2:23">
      <c r="B25" s="17" t="s">
        <v>347</v>
      </c>
      <c r="C25" s="38" t="s">
        <v>492</v>
      </c>
      <c r="D25" s="19" t="s">
        <v>493</v>
      </c>
      <c r="E25" s="39">
        <v>114080.9964466095</v>
      </c>
      <c r="F25" s="39">
        <v>117021.98180389404</v>
      </c>
      <c r="G25" s="39">
        <v>131883.55390930176</v>
      </c>
      <c r="H25" s="39">
        <v>126664.81077548314</v>
      </c>
      <c r="I25" s="39">
        <v>127269.77676522921</v>
      </c>
      <c r="J25" s="39">
        <v>129258.99614948034</v>
      </c>
      <c r="K25" s="39">
        <v>119586.16127568204</v>
      </c>
      <c r="L25" s="39">
        <v>135262.33527443887</v>
      </c>
      <c r="M25" s="39">
        <v>111658.95957565308</v>
      </c>
      <c r="N25" s="39">
        <v>125016.91263580322</v>
      </c>
      <c r="O25" s="39">
        <v>65188.871831410652</v>
      </c>
      <c r="P25" s="39">
        <v>129819.70756530762</v>
      </c>
      <c r="Q25" s="40">
        <f>SUM(E25:P25)</f>
        <v>1432713.0640082932</v>
      </c>
    </row>
    <row r="26" spans="2:23">
      <c r="B26" s="22" t="s">
        <v>354</v>
      </c>
      <c r="C26" s="41" t="s">
        <v>494</v>
      </c>
      <c r="D26" s="24" t="s">
        <v>493</v>
      </c>
      <c r="E26" s="42">
        <v>4526.1106824874878</v>
      </c>
      <c r="F26" s="42">
        <v>6852.1076545715332</v>
      </c>
      <c r="G26" s="42">
        <v>7657.050268098712</v>
      </c>
      <c r="H26" s="42">
        <v>7738.8945855200291</v>
      </c>
      <c r="I26" s="42">
        <v>7999.5814452171326</v>
      </c>
      <c r="J26" s="42">
        <v>8199.9515261650085</v>
      </c>
      <c r="K26" s="42">
        <v>6984.6707451343536</v>
      </c>
      <c r="L26" s="42">
        <v>9424.5845133364201</v>
      </c>
      <c r="M26" s="42">
        <v>7523.2277040481567</v>
      </c>
      <c r="N26" s="42">
        <v>7002.1763730533421</v>
      </c>
      <c r="O26" s="42">
        <v>5397.5745985507965</v>
      </c>
      <c r="P26" s="42">
        <v>7436.4366610497236</v>
      </c>
      <c r="Q26" s="21">
        <f t="shared" ref="Q26:Q27" si="6">SUM(E26:P26)</f>
        <v>86742.366757232696</v>
      </c>
    </row>
    <row r="27" spans="2:23">
      <c r="B27" s="22" t="s">
        <v>495</v>
      </c>
      <c r="C27" s="41" t="s">
        <v>496</v>
      </c>
      <c r="D27" s="43" t="s">
        <v>493</v>
      </c>
      <c r="E27" s="42">
        <v>12327.819867059588</v>
      </c>
      <c r="F27" s="42">
        <v>14496.603587627411</v>
      </c>
      <c r="G27" s="42">
        <v>14662.928883552551</v>
      </c>
      <c r="H27" s="42">
        <v>14426.913376808167</v>
      </c>
      <c r="I27" s="42">
        <v>14600.275829672813</v>
      </c>
      <c r="J27" s="42">
        <v>15742.267196416855</v>
      </c>
      <c r="K27" s="42">
        <v>16474.395660400391</v>
      </c>
      <c r="L27" s="42">
        <v>18314.241062164307</v>
      </c>
      <c r="M27" s="42">
        <v>15201.613892316818</v>
      </c>
      <c r="N27" s="42">
        <v>10400.429875850677</v>
      </c>
      <c r="O27" s="42">
        <v>8109.6322200298309</v>
      </c>
      <c r="P27" s="42">
        <v>14606.404210090637</v>
      </c>
      <c r="Q27" s="44">
        <f t="shared" si="6"/>
        <v>169363.52566199005</v>
      </c>
      <c r="R27" s="45"/>
    </row>
    <row r="28" spans="2:23">
      <c r="B28" s="12" t="s">
        <v>497</v>
      </c>
      <c r="C28" s="46" t="s">
        <v>498</v>
      </c>
      <c r="D28" s="47"/>
      <c r="E28" s="48"/>
      <c r="F28" s="48"/>
      <c r="G28" s="48"/>
      <c r="H28" s="48"/>
      <c r="I28" s="48"/>
      <c r="J28" s="48"/>
      <c r="K28" s="48"/>
      <c r="L28" s="48"/>
      <c r="M28" s="48"/>
      <c r="N28" s="48"/>
      <c r="O28" s="48"/>
      <c r="P28" s="48"/>
      <c r="Q28" s="48"/>
      <c r="R28" s="49"/>
      <c r="S28" s="49"/>
      <c r="T28" s="49"/>
      <c r="U28" s="49"/>
      <c r="V28" s="49"/>
      <c r="W28" s="47"/>
    </row>
    <row r="29" spans="2:23">
      <c r="T29" s="49"/>
      <c r="W29" s="50"/>
    </row>
    <row r="30" spans="2:23">
      <c r="B30" s="8" t="s">
        <v>499</v>
      </c>
      <c r="C30" s="9"/>
      <c r="D30" s="10"/>
      <c r="E30" s="10"/>
      <c r="F30" s="10"/>
      <c r="G30" s="10"/>
      <c r="H30" s="10"/>
      <c r="I30" s="10"/>
      <c r="J30" s="10"/>
      <c r="K30" s="10"/>
      <c r="L30" s="10"/>
      <c r="M30" s="10"/>
      <c r="N30" s="10"/>
      <c r="O30" s="10"/>
      <c r="P30" s="10"/>
      <c r="Q30" s="51"/>
      <c r="R30" s="51"/>
      <c r="S30" s="51"/>
      <c r="T30" s="49"/>
    </row>
    <row r="31" spans="2:23">
      <c r="K31" s="52"/>
      <c r="L31" s="52"/>
      <c r="M31" s="52"/>
      <c r="N31" s="52"/>
      <c r="O31" s="52"/>
      <c r="P31" s="52"/>
      <c r="T31" s="49"/>
    </row>
    <row r="32" spans="2:23">
      <c r="B32" s="11"/>
      <c r="C32" s="12"/>
      <c r="D32" s="53"/>
      <c r="E32" s="14" t="s">
        <v>465</v>
      </c>
      <c r="F32" s="14" t="s">
        <v>466</v>
      </c>
      <c r="G32" s="14" t="s">
        <v>467</v>
      </c>
      <c r="H32" s="14" t="s">
        <v>468</v>
      </c>
      <c r="I32" s="14" t="s">
        <v>469</v>
      </c>
      <c r="J32" s="14" t="s">
        <v>470</v>
      </c>
      <c r="K32" s="14" t="s">
        <v>471</v>
      </c>
      <c r="L32" s="14" t="s">
        <v>472</v>
      </c>
      <c r="M32" s="14" t="s">
        <v>473</v>
      </c>
      <c r="N32" s="14" t="s">
        <v>474</v>
      </c>
      <c r="O32" s="14" t="s">
        <v>475</v>
      </c>
      <c r="P32" s="15" t="s">
        <v>476</v>
      </c>
      <c r="Q32" s="54" t="s">
        <v>388</v>
      </c>
    </row>
    <row r="33" spans="2:23" ht="14.25">
      <c r="B33" s="55" t="s">
        <v>500</v>
      </c>
      <c r="C33" s="56" t="s">
        <v>501</v>
      </c>
      <c r="D33" s="57" t="s">
        <v>493</v>
      </c>
      <c r="E33" s="623">
        <v>11162</v>
      </c>
      <c r="F33" s="623">
        <v>13258</v>
      </c>
      <c r="G33" s="623">
        <v>13741</v>
      </c>
      <c r="H33" s="623">
        <v>14918</v>
      </c>
      <c r="I33" s="623">
        <v>14489</v>
      </c>
      <c r="J33" s="623">
        <v>16208</v>
      </c>
      <c r="K33" s="623">
        <v>15133</v>
      </c>
      <c r="L33" s="623">
        <v>14557</v>
      </c>
      <c r="M33" s="623">
        <v>11980</v>
      </c>
      <c r="N33" s="623">
        <v>17079</v>
      </c>
      <c r="O33" s="623">
        <v>12642</v>
      </c>
      <c r="P33" s="623">
        <v>15550</v>
      </c>
      <c r="Q33" s="21">
        <f>SUM(E33:P33)</f>
        <v>170717</v>
      </c>
    </row>
    <row r="34" spans="2:23">
      <c r="B34" s="55"/>
      <c r="C34" s="56"/>
      <c r="D34" s="57"/>
      <c r="E34" s="753">
        <f>E36+E39</f>
        <v>10686.35</v>
      </c>
      <c r="F34" s="753">
        <f t="shared" ref="F34:P34" si="7">F36+F39</f>
        <v>13258</v>
      </c>
      <c r="G34" s="753">
        <f t="shared" si="7"/>
        <v>13741</v>
      </c>
      <c r="H34" s="753">
        <f t="shared" si="7"/>
        <v>14918</v>
      </c>
      <c r="I34" s="753">
        <f t="shared" si="7"/>
        <v>14489</v>
      </c>
      <c r="J34" s="753">
        <f t="shared" si="7"/>
        <v>16208</v>
      </c>
      <c r="K34" s="753">
        <f t="shared" si="7"/>
        <v>15132</v>
      </c>
      <c r="L34" s="753">
        <f t="shared" si="7"/>
        <v>14557</v>
      </c>
      <c r="M34" s="753">
        <f t="shared" si="7"/>
        <v>11979</v>
      </c>
      <c r="N34" s="753">
        <f t="shared" si="7"/>
        <v>17079</v>
      </c>
      <c r="O34" s="753">
        <f t="shared" si="7"/>
        <v>12642</v>
      </c>
      <c r="P34" s="753">
        <f t="shared" si="7"/>
        <v>15549</v>
      </c>
      <c r="Q34" s="21">
        <f>SUM(E34:P34)</f>
        <v>170238.35</v>
      </c>
      <c r="R34" s="4" t="s">
        <v>619</v>
      </c>
    </row>
    <row r="35" spans="2:23">
      <c r="B35" s="55"/>
      <c r="C35" s="56"/>
      <c r="D35" s="57"/>
      <c r="E35" s="715">
        <f>E36+E38</f>
        <v>11637.65</v>
      </c>
      <c r="F35" s="715">
        <f t="shared" ref="F35:P35" si="8">F36+F38</f>
        <v>13258</v>
      </c>
      <c r="G35" s="715">
        <f t="shared" si="8"/>
        <v>13741</v>
      </c>
      <c r="H35" s="715">
        <f t="shared" si="8"/>
        <v>14918</v>
      </c>
      <c r="I35" s="715">
        <f t="shared" si="8"/>
        <v>14489</v>
      </c>
      <c r="J35" s="715">
        <f t="shared" si="8"/>
        <v>16208</v>
      </c>
      <c r="K35" s="715">
        <f t="shared" si="8"/>
        <v>15132</v>
      </c>
      <c r="L35" s="715">
        <f t="shared" si="8"/>
        <v>14557</v>
      </c>
      <c r="M35" s="715">
        <f t="shared" si="8"/>
        <v>11979</v>
      </c>
      <c r="N35" s="715">
        <f t="shared" si="8"/>
        <v>17079</v>
      </c>
      <c r="O35" s="715">
        <f t="shared" si="8"/>
        <v>12642</v>
      </c>
      <c r="P35" s="715">
        <f t="shared" si="8"/>
        <v>15549</v>
      </c>
      <c r="Q35" s="716">
        <f>SUM(E35:P35)</f>
        <v>171189.65</v>
      </c>
      <c r="R35" s="4" t="s">
        <v>617</v>
      </c>
    </row>
    <row r="36" spans="2:23">
      <c r="B36" s="55" t="s">
        <v>502</v>
      </c>
      <c r="C36" s="56"/>
      <c r="D36" s="57"/>
      <c r="E36" s="624">
        <v>1649</v>
      </c>
      <c r="F36" s="624">
        <v>2602</v>
      </c>
      <c r="G36" s="624">
        <v>2035</v>
      </c>
      <c r="H36" s="624">
        <v>2488</v>
      </c>
      <c r="I36" s="624">
        <v>2309</v>
      </c>
      <c r="J36" s="624">
        <v>2456</v>
      </c>
      <c r="K36" s="624">
        <v>2357</v>
      </c>
      <c r="L36" s="624">
        <v>1699</v>
      </c>
      <c r="M36" s="624">
        <v>2486</v>
      </c>
      <c r="N36" s="624">
        <v>3717</v>
      </c>
      <c r="O36" s="624">
        <v>2368</v>
      </c>
      <c r="P36" s="624">
        <v>2513</v>
      </c>
      <c r="Q36" s="21">
        <f t="shared" ref="Q36:Q43" si="9">SUM(E36:P36)</f>
        <v>28679</v>
      </c>
    </row>
    <row r="37" spans="2:23">
      <c r="B37" s="55" t="s">
        <v>503</v>
      </c>
      <c r="C37" s="56"/>
      <c r="D37" s="57"/>
      <c r="E37" s="660">
        <v>9513</v>
      </c>
      <c r="F37" s="624">
        <v>10656</v>
      </c>
      <c r="G37" s="624">
        <v>11706</v>
      </c>
      <c r="H37" s="624">
        <v>12430</v>
      </c>
      <c r="I37" s="624">
        <v>12180</v>
      </c>
      <c r="J37" s="624">
        <v>13752</v>
      </c>
      <c r="K37" s="624">
        <v>12775</v>
      </c>
      <c r="L37" s="624">
        <v>12858</v>
      </c>
      <c r="M37" s="624">
        <v>9493</v>
      </c>
      <c r="N37" s="624">
        <v>13362</v>
      </c>
      <c r="O37" s="624">
        <v>10274</v>
      </c>
      <c r="P37" s="624">
        <v>13036</v>
      </c>
      <c r="Q37" s="21">
        <f t="shared" si="9"/>
        <v>142035</v>
      </c>
    </row>
    <row r="38" spans="2:23">
      <c r="B38" s="55"/>
      <c r="C38" s="56"/>
      <c r="D38" s="57" t="s">
        <v>578</v>
      </c>
      <c r="E38" s="624">
        <f>E37*(1+0.05)</f>
        <v>9988.65</v>
      </c>
      <c r="F38" s="624">
        <f>F37</f>
        <v>10656</v>
      </c>
      <c r="G38" s="624">
        <f t="shared" ref="G38:P38" si="10">G37</f>
        <v>11706</v>
      </c>
      <c r="H38" s="624">
        <f t="shared" si="10"/>
        <v>12430</v>
      </c>
      <c r="I38" s="624">
        <f t="shared" si="10"/>
        <v>12180</v>
      </c>
      <c r="J38" s="624">
        <f t="shared" si="10"/>
        <v>13752</v>
      </c>
      <c r="K38" s="624">
        <f t="shared" si="10"/>
        <v>12775</v>
      </c>
      <c r="L38" s="624">
        <f t="shared" si="10"/>
        <v>12858</v>
      </c>
      <c r="M38" s="624">
        <f t="shared" si="10"/>
        <v>9493</v>
      </c>
      <c r="N38" s="624">
        <f t="shared" si="10"/>
        <v>13362</v>
      </c>
      <c r="O38" s="624">
        <f t="shared" si="10"/>
        <v>10274</v>
      </c>
      <c r="P38" s="624">
        <f t="shared" si="10"/>
        <v>13036</v>
      </c>
      <c r="Q38" s="662">
        <f t="shared" si="9"/>
        <v>142510.65</v>
      </c>
    </row>
    <row r="39" spans="2:23">
      <c r="B39" s="55"/>
      <c r="C39" s="56"/>
      <c r="D39" s="57" t="s">
        <v>618</v>
      </c>
      <c r="E39" s="624">
        <f>E37*(1-0.05)</f>
        <v>9037.35</v>
      </c>
      <c r="F39" s="624">
        <f>F37</f>
        <v>10656</v>
      </c>
      <c r="G39" s="624">
        <f t="shared" ref="G39:P39" si="11">G37</f>
        <v>11706</v>
      </c>
      <c r="H39" s="624">
        <f t="shared" si="11"/>
        <v>12430</v>
      </c>
      <c r="I39" s="624">
        <f t="shared" si="11"/>
        <v>12180</v>
      </c>
      <c r="J39" s="624">
        <f t="shared" si="11"/>
        <v>13752</v>
      </c>
      <c r="K39" s="624">
        <f t="shared" si="11"/>
        <v>12775</v>
      </c>
      <c r="L39" s="624">
        <f t="shared" si="11"/>
        <v>12858</v>
      </c>
      <c r="M39" s="624">
        <f t="shared" si="11"/>
        <v>9493</v>
      </c>
      <c r="N39" s="624">
        <f t="shared" si="11"/>
        <v>13362</v>
      </c>
      <c r="O39" s="624">
        <f t="shared" si="11"/>
        <v>10274</v>
      </c>
      <c r="P39" s="624">
        <f t="shared" si="11"/>
        <v>13036</v>
      </c>
      <c r="Q39" s="662">
        <f t="shared" si="9"/>
        <v>141559.35</v>
      </c>
    </row>
    <row r="40" spans="2:23" ht="14.25">
      <c r="B40" s="25" t="s">
        <v>504</v>
      </c>
      <c r="C40" s="56" t="s">
        <v>119</v>
      </c>
      <c r="D40" s="57" t="s">
        <v>493</v>
      </c>
      <c r="E40" s="655">
        <v>39615</v>
      </c>
      <c r="F40" s="623">
        <v>19823</v>
      </c>
      <c r="G40" s="623">
        <v>20094</v>
      </c>
      <c r="H40" s="623">
        <v>21464</v>
      </c>
      <c r="I40" s="623">
        <v>23431</v>
      </c>
      <c r="J40" s="623">
        <v>28816</v>
      </c>
      <c r="K40" s="623">
        <v>28093</v>
      </c>
      <c r="L40" s="623">
        <v>32720</v>
      </c>
      <c r="M40" s="623">
        <v>25550</v>
      </c>
      <c r="N40" s="623">
        <v>27737</v>
      </c>
      <c r="O40" s="623">
        <v>29852</v>
      </c>
      <c r="P40" s="623">
        <v>22478</v>
      </c>
      <c r="Q40" s="21">
        <f t="shared" si="9"/>
        <v>319673</v>
      </c>
    </row>
    <row r="41" spans="2:23">
      <c r="B41" s="25"/>
      <c r="C41" s="56"/>
      <c r="D41" s="57" t="s">
        <v>578</v>
      </c>
      <c r="E41" s="715">
        <f>E40*(1+0.05)</f>
        <v>41595.75</v>
      </c>
      <c r="F41" s="715">
        <f>F40</f>
        <v>19823</v>
      </c>
      <c r="G41" s="715">
        <f t="shared" ref="G41:P41" si="12">G40</f>
        <v>20094</v>
      </c>
      <c r="H41" s="715">
        <f t="shared" si="12"/>
        <v>21464</v>
      </c>
      <c r="I41" s="715">
        <f t="shared" si="12"/>
        <v>23431</v>
      </c>
      <c r="J41" s="715">
        <f t="shared" si="12"/>
        <v>28816</v>
      </c>
      <c r="K41" s="715">
        <f t="shared" si="12"/>
        <v>28093</v>
      </c>
      <c r="L41" s="715">
        <f t="shared" si="12"/>
        <v>32720</v>
      </c>
      <c r="M41" s="715">
        <f t="shared" si="12"/>
        <v>25550</v>
      </c>
      <c r="N41" s="715">
        <f t="shared" si="12"/>
        <v>27737</v>
      </c>
      <c r="O41" s="715">
        <f t="shared" si="12"/>
        <v>29852</v>
      </c>
      <c r="P41" s="715">
        <f t="shared" si="12"/>
        <v>22478</v>
      </c>
      <c r="Q41" s="716">
        <f t="shared" si="9"/>
        <v>321653.75</v>
      </c>
    </row>
    <row r="42" spans="2:23">
      <c r="B42" s="25"/>
      <c r="C42" s="56"/>
      <c r="D42" s="57" t="s">
        <v>618</v>
      </c>
      <c r="E42" s="623">
        <f>E40*(1-0.05)</f>
        <v>37634.25</v>
      </c>
      <c r="F42" s="623">
        <f>F40</f>
        <v>19823</v>
      </c>
      <c r="G42" s="623">
        <f t="shared" ref="G42:P42" si="13">G40</f>
        <v>20094</v>
      </c>
      <c r="H42" s="623">
        <f t="shared" si="13"/>
        <v>21464</v>
      </c>
      <c r="I42" s="623">
        <f t="shared" si="13"/>
        <v>23431</v>
      </c>
      <c r="J42" s="623">
        <f t="shared" si="13"/>
        <v>28816</v>
      </c>
      <c r="K42" s="623">
        <f t="shared" si="13"/>
        <v>28093</v>
      </c>
      <c r="L42" s="623">
        <f t="shared" si="13"/>
        <v>32720</v>
      </c>
      <c r="M42" s="623">
        <f t="shared" si="13"/>
        <v>25550</v>
      </c>
      <c r="N42" s="623">
        <f t="shared" si="13"/>
        <v>27737</v>
      </c>
      <c r="O42" s="623">
        <f t="shared" si="13"/>
        <v>29852</v>
      </c>
      <c r="P42" s="623">
        <f t="shared" si="13"/>
        <v>22478</v>
      </c>
      <c r="Q42" s="21">
        <f t="shared" si="9"/>
        <v>317692.25</v>
      </c>
    </row>
    <row r="43" spans="2:23" ht="14.25">
      <c r="B43" s="26" t="s">
        <v>505</v>
      </c>
      <c r="C43" s="59" t="s">
        <v>121</v>
      </c>
      <c r="D43" s="60" t="s">
        <v>493</v>
      </c>
      <c r="E43" s="625">
        <v>0</v>
      </c>
      <c r="F43" s="625">
        <v>0</v>
      </c>
      <c r="G43" s="625">
        <v>0</v>
      </c>
      <c r="H43" s="625">
        <v>0</v>
      </c>
      <c r="I43" s="625">
        <v>0</v>
      </c>
      <c r="J43" s="625">
        <v>0</v>
      </c>
      <c r="K43" s="625">
        <v>0</v>
      </c>
      <c r="L43" s="625">
        <v>0</v>
      </c>
      <c r="M43" s="625">
        <v>0</v>
      </c>
      <c r="N43" s="625">
        <v>0</v>
      </c>
      <c r="O43" s="625">
        <v>0</v>
      </c>
      <c r="P43" s="625">
        <v>0</v>
      </c>
      <c r="Q43" s="21">
        <f t="shared" si="9"/>
        <v>0</v>
      </c>
    </row>
    <row r="44" spans="2:23">
      <c r="B44" s="62" t="s">
        <v>388</v>
      </c>
      <c r="C44" s="63"/>
      <c r="D44" s="64" t="s">
        <v>493</v>
      </c>
      <c r="E44" s="64">
        <f t="shared" ref="E44:J44" si="14">E33+E40+E43</f>
        <v>50777</v>
      </c>
      <c r="F44" s="65">
        <f t="shared" si="14"/>
        <v>33081</v>
      </c>
      <c r="G44" s="65">
        <f t="shared" si="14"/>
        <v>33835</v>
      </c>
      <c r="H44" s="65">
        <f t="shared" si="14"/>
        <v>36382</v>
      </c>
      <c r="I44" s="65">
        <f t="shared" si="14"/>
        <v>37920</v>
      </c>
      <c r="J44" s="65">
        <f t="shared" si="14"/>
        <v>45024</v>
      </c>
      <c r="K44" s="65">
        <f>K33+K40+K43</f>
        <v>43226</v>
      </c>
      <c r="L44" s="65">
        <f t="shared" ref="L44:P44" si="15">L33+L40+L43</f>
        <v>47277</v>
      </c>
      <c r="M44" s="65">
        <f t="shared" si="15"/>
        <v>37530</v>
      </c>
      <c r="N44" s="65">
        <f t="shared" si="15"/>
        <v>44816</v>
      </c>
      <c r="O44" s="65">
        <f t="shared" si="15"/>
        <v>42494</v>
      </c>
      <c r="P44" s="54">
        <f t="shared" si="15"/>
        <v>38028</v>
      </c>
      <c r="Q44" s="31">
        <f>SUM(E44:P44)</f>
        <v>490390</v>
      </c>
    </row>
    <row r="45" spans="2:23">
      <c r="B45" s="66"/>
      <c r="C45" s="67"/>
      <c r="D45" s="737"/>
      <c r="E45" s="737">
        <f>E35+E41+E43</f>
        <v>53233.4</v>
      </c>
      <c r="F45" s="737">
        <f t="shared" ref="F45:P45" si="16">F35+F41+F43</f>
        <v>33081</v>
      </c>
      <c r="G45" s="737">
        <f t="shared" si="16"/>
        <v>33835</v>
      </c>
      <c r="H45" s="737">
        <f t="shared" si="16"/>
        <v>36382</v>
      </c>
      <c r="I45" s="737">
        <f t="shared" si="16"/>
        <v>37920</v>
      </c>
      <c r="J45" s="737">
        <f t="shared" si="16"/>
        <v>45024</v>
      </c>
      <c r="K45" s="737">
        <f t="shared" si="16"/>
        <v>43225</v>
      </c>
      <c r="L45" s="737">
        <f t="shared" si="16"/>
        <v>47277</v>
      </c>
      <c r="M45" s="737">
        <f t="shared" si="16"/>
        <v>37529</v>
      </c>
      <c r="N45" s="737">
        <f t="shared" si="16"/>
        <v>44816</v>
      </c>
      <c r="O45" s="737">
        <f t="shared" si="16"/>
        <v>42494</v>
      </c>
      <c r="P45" s="737">
        <f t="shared" si="16"/>
        <v>38027</v>
      </c>
      <c r="Q45" s="31">
        <f>SUM(E45:P45)</f>
        <v>492843.4</v>
      </c>
      <c r="R45" s="4" t="s">
        <v>584</v>
      </c>
    </row>
    <row r="46" spans="2:23">
      <c r="B46" s="265" t="s">
        <v>577</v>
      </c>
      <c r="C46" s="66"/>
      <c r="D46" s="67"/>
      <c r="E46" s="67"/>
      <c r="F46" s="67"/>
      <c r="G46" s="67"/>
      <c r="H46" s="67"/>
      <c r="I46" s="67"/>
      <c r="J46" s="67"/>
      <c r="K46" s="68"/>
      <c r="L46" s="68"/>
      <c r="M46" s="68"/>
      <c r="N46" s="68"/>
      <c r="O46" s="68"/>
      <c r="P46" s="68"/>
      <c r="Q46" s="68"/>
      <c r="R46" s="68"/>
      <c r="S46" s="68"/>
      <c r="T46" s="68"/>
      <c r="U46" s="68"/>
      <c r="V46" s="68"/>
      <c r="W46" s="61"/>
    </row>
    <row r="47" spans="2:23">
      <c r="B47" s="265" t="s">
        <v>575</v>
      </c>
      <c r="C47" s="66"/>
      <c r="D47" s="67"/>
      <c r="E47" s="67"/>
      <c r="F47" s="67"/>
      <c r="G47" s="67"/>
      <c r="H47" s="67"/>
      <c r="I47" s="67"/>
      <c r="J47" s="67"/>
      <c r="K47" s="68"/>
      <c r="L47" s="68"/>
      <c r="M47" s="68"/>
      <c r="N47" s="68"/>
      <c r="O47" s="68"/>
      <c r="P47" s="68"/>
      <c r="Q47" s="68"/>
      <c r="R47" s="68"/>
      <c r="S47" s="68"/>
      <c r="T47" s="68"/>
      <c r="U47" s="68"/>
      <c r="V47" s="68"/>
      <c r="W47" s="61"/>
    </row>
    <row r="48" spans="2:23">
      <c r="B48" s="265" t="s">
        <v>576</v>
      </c>
      <c r="C48" s="66"/>
      <c r="D48" s="67"/>
      <c r="E48" s="67"/>
      <c r="F48" s="67"/>
      <c r="G48" s="67"/>
      <c r="H48" s="67"/>
      <c r="I48" s="67"/>
      <c r="J48" s="67"/>
      <c r="K48" s="68"/>
      <c r="L48" s="68"/>
      <c r="M48" s="68"/>
      <c r="N48" s="68"/>
      <c r="O48" s="68"/>
      <c r="P48" s="68"/>
      <c r="Q48" s="68"/>
      <c r="R48" s="68"/>
      <c r="S48" s="68"/>
      <c r="T48" s="68"/>
      <c r="U48" s="68"/>
      <c r="V48" s="68"/>
      <c r="W48" s="61"/>
    </row>
    <row r="49" spans="2:23">
      <c r="B49" s="4" t="s">
        <v>621</v>
      </c>
    </row>
    <row r="50" spans="2:23">
      <c r="B50" s="69"/>
      <c r="C50" s="9"/>
      <c r="D50" s="10"/>
      <c r="E50" s="70"/>
      <c r="F50" s="70"/>
      <c r="G50" s="70"/>
      <c r="H50" s="70"/>
      <c r="I50" s="70"/>
      <c r="J50" s="70"/>
      <c r="K50" s="70"/>
      <c r="L50" s="70"/>
      <c r="M50" s="70"/>
      <c r="N50" s="70"/>
      <c r="O50" s="70"/>
      <c r="P50" s="70"/>
      <c r="Q50" s="71"/>
      <c r="R50" s="72"/>
      <c r="S50" s="72"/>
      <c r="T50" s="72"/>
      <c r="U50" s="71"/>
      <c r="V50" s="71"/>
      <c r="W50" s="61"/>
    </row>
    <row r="51" spans="2:23">
      <c r="B51" s="73" t="s">
        <v>506</v>
      </c>
      <c r="C51" s="66"/>
      <c r="D51" s="67"/>
      <c r="E51" s="67"/>
      <c r="F51" s="67"/>
      <c r="G51" s="67"/>
      <c r="H51" s="67"/>
      <c r="I51" s="67"/>
      <c r="J51" s="67"/>
      <c r="K51" s="74"/>
      <c r="L51" s="74"/>
      <c r="M51" s="74"/>
      <c r="N51" s="74"/>
      <c r="O51" s="74"/>
      <c r="P51" s="74"/>
      <c r="Q51" s="74"/>
      <c r="R51" s="74"/>
      <c r="S51" s="74"/>
      <c r="T51" s="74"/>
      <c r="U51" s="74"/>
      <c r="V51" s="74"/>
      <c r="W51" s="75"/>
    </row>
    <row r="52" spans="2:23">
      <c r="B52" s="76"/>
      <c r="C52" s="62"/>
      <c r="D52" s="63"/>
      <c r="E52" s="14" t="s">
        <v>465</v>
      </c>
      <c r="F52" s="14" t="s">
        <v>466</v>
      </c>
      <c r="G52" s="14" t="s">
        <v>467</v>
      </c>
      <c r="H52" s="14" t="s">
        <v>468</v>
      </c>
      <c r="I52" s="14" t="s">
        <v>469</v>
      </c>
      <c r="J52" s="14" t="s">
        <v>470</v>
      </c>
      <c r="K52" s="14" t="s">
        <v>471</v>
      </c>
      <c r="L52" s="14" t="s">
        <v>472</v>
      </c>
      <c r="M52" s="14" t="s">
        <v>473</v>
      </c>
      <c r="N52" s="14" t="s">
        <v>474</v>
      </c>
      <c r="O52" s="14" t="s">
        <v>475</v>
      </c>
      <c r="P52" s="15" t="s">
        <v>476</v>
      </c>
      <c r="Q52" s="54" t="s">
        <v>388</v>
      </c>
    </row>
    <row r="53" spans="2:23">
      <c r="B53" s="77" t="s">
        <v>507</v>
      </c>
      <c r="C53" s="22"/>
      <c r="D53" s="78" t="s">
        <v>114</v>
      </c>
      <c r="E53" s="79">
        <v>0.40160046713409314</v>
      </c>
      <c r="F53" s="79">
        <v>0.37256272612148111</v>
      </c>
      <c r="G53" s="79">
        <v>0.41839282860909938</v>
      </c>
      <c r="H53" s="79">
        <v>0.42221337237606993</v>
      </c>
      <c r="I53" s="79">
        <v>0.43419791958946496</v>
      </c>
      <c r="J53" s="79">
        <v>0.44167636111243952</v>
      </c>
      <c r="K53" s="79">
        <v>0.4443030429211966</v>
      </c>
      <c r="L53" s="79">
        <v>0.44522034997942445</v>
      </c>
      <c r="M53" s="79">
        <v>0.36497134627947575</v>
      </c>
      <c r="N53" s="79">
        <v>0.41045288577842975</v>
      </c>
      <c r="O53" s="79">
        <v>0.39722889416176677</v>
      </c>
      <c r="P53" s="79">
        <v>0.40264476619045925</v>
      </c>
      <c r="Q53" s="80">
        <f>AVERAGE(E53:P53)</f>
        <v>0.41295541335445002</v>
      </c>
    </row>
    <row r="54" spans="2:23">
      <c r="B54" s="77" t="s">
        <v>508</v>
      </c>
      <c r="C54" s="22"/>
      <c r="D54" s="78" t="s">
        <v>114</v>
      </c>
      <c r="E54" s="79">
        <v>0.39654288836148627</v>
      </c>
      <c r="F54" s="79">
        <v>0.35237286624888903</v>
      </c>
      <c r="G54" s="79">
        <v>0.36601045858120412</v>
      </c>
      <c r="H54" s="79">
        <v>0.39768175013689699</v>
      </c>
      <c r="I54" s="79">
        <v>0.40450330097894271</v>
      </c>
      <c r="J54" s="79">
        <v>0.4522023890644572</v>
      </c>
      <c r="K54" s="79">
        <v>0.49822412735316579</v>
      </c>
      <c r="L54" s="79">
        <v>0.44287308426107774</v>
      </c>
      <c r="M54" s="79">
        <v>0.44290764527378718</v>
      </c>
      <c r="N54" s="79">
        <v>0.45170101814461522</v>
      </c>
      <c r="O54" s="79">
        <v>0.41208184786451613</v>
      </c>
      <c r="P54" s="79">
        <v>0.32085089370303971</v>
      </c>
      <c r="Q54" s="81">
        <f>AVERAGE(E54:P54)</f>
        <v>0.41149602249767314</v>
      </c>
    </row>
    <row r="55" spans="2:23">
      <c r="B55" s="82" t="s">
        <v>509</v>
      </c>
      <c r="C55" s="83"/>
      <c r="D55" s="84" t="s">
        <v>114</v>
      </c>
      <c r="E55" s="85" t="s">
        <v>250</v>
      </c>
      <c r="F55" s="85" t="s">
        <v>250</v>
      </c>
      <c r="G55" s="85" t="s">
        <v>250</v>
      </c>
      <c r="H55" s="85" t="s">
        <v>250</v>
      </c>
      <c r="I55" s="85" t="s">
        <v>250</v>
      </c>
      <c r="J55" s="85" t="s">
        <v>250</v>
      </c>
      <c r="K55" s="86" t="s">
        <v>250</v>
      </c>
      <c r="L55" s="86" t="s">
        <v>250</v>
      </c>
      <c r="M55" s="86" t="s">
        <v>250</v>
      </c>
      <c r="N55" s="86" t="s">
        <v>250</v>
      </c>
      <c r="O55" s="86" t="s">
        <v>250</v>
      </c>
      <c r="P55" s="86" t="s">
        <v>250</v>
      </c>
      <c r="Q55" s="87" t="str">
        <f>IFERROR(AVERAGE(E55:P55),"-")</f>
        <v>-</v>
      </c>
    </row>
    <row r="56" spans="2:23">
      <c r="B56" s="69"/>
      <c r="C56" s="49"/>
      <c r="D56" s="88"/>
      <c r="E56" s="88"/>
      <c r="F56" s="88"/>
      <c r="G56" s="88"/>
      <c r="H56" s="88"/>
      <c r="I56" s="88"/>
      <c r="J56" s="88"/>
      <c r="K56" s="89"/>
      <c r="L56" s="89"/>
      <c r="M56" s="89"/>
      <c r="N56" s="89"/>
      <c r="O56" s="89"/>
      <c r="P56" s="89"/>
      <c r="Q56" s="89"/>
      <c r="R56" s="89"/>
      <c r="S56" s="89"/>
      <c r="T56" s="89"/>
      <c r="U56" s="89"/>
      <c r="V56" s="89"/>
      <c r="W56" s="90"/>
    </row>
    <row r="57" spans="2:23">
      <c r="K57" s="69"/>
      <c r="L57" s="69"/>
      <c r="M57" s="69"/>
    </row>
    <row r="58" spans="2:23">
      <c r="B58" s="91" t="s">
        <v>510</v>
      </c>
      <c r="M58" s="92"/>
      <c r="N58" s="92"/>
      <c r="U58" s="47"/>
      <c r="W58" s="49"/>
    </row>
    <row r="59" spans="2:23" ht="50.85" customHeight="1">
      <c r="B59" s="91"/>
      <c r="E59" s="93" t="s">
        <v>511</v>
      </c>
      <c r="F59" s="94" t="s">
        <v>512</v>
      </c>
      <c r="G59" s="94" t="s">
        <v>585</v>
      </c>
      <c r="M59" s="47"/>
      <c r="O59" s="95"/>
      <c r="Q59" s="49"/>
    </row>
    <row r="60" spans="2:23" ht="14.25" customHeight="1">
      <c r="B60" s="96" t="s">
        <v>513</v>
      </c>
      <c r="C60" s="97" t="s">
        <v>514</v>
      </c>
      <c r="D60" s="98" t="s">
        <v>515</v>
      </c>
      <c r="E60" s="689">
        <f>(4315+4310+4302)/3</f>
        <v>4309</v>
      </c>
      <c r="F60" s="688">
        <f>(4431+4264)/2</f>
        <v>4347.5</v>
      </c>
      <c r="G60" s="675"/>
      <c r="H60" s="52"/>
      <c r="M60" s="47"/>
      <c r="Q60" s="49"/>
    </row>
    <row r="61" spans="2:23" ht="12.75" customHeight="1">
      <c r="B61" s="82"/>
      <c r="C61" s="99"/>
      <c r="D61" s="84" t="s">
        <v>268</v>
      </c>
      <c r="E61" s="100">
        <f>E60*4.18*1000/1000000</f>
        <v>18.011620000000001</v>
      </c>
      <c r="F61" s="100">
        <f>F60*4.18*1000/1000000</f>
        <v>18.172550000000001</v>
      </c>
      <c r="G61" s="676">
        <f>AVERAGE(E61:F61)</f>
        <v>18.092085000000001</v>
      </c>
      <c r="H61" s="52"/>
      <c r="I61" s="49"/>
      <c r="J61" s="52"/>
      <c r="K61" s="52"/>
      <c r="L61" s="52"/>
      <c r="Q61" s="49"/>
    </row>
    <row r="62" spans="2:23" ht="14.25" customHeight="1">
      <c r="B62" s="96" t="s">
        <v>516</v>
      </c>
      <c r="C62" s="97" t="s">
        <v>517</v>
      </c>
      <c r="D62" s="98" t="s">
        <v>515</v>
      </c>
      <c r="E62" s="688">
        <f>(4449+4403+4264)/3</f>
        <v>4372</v>
      </c>
      <c r="F62" s="689">
        <f>(4377+4228)/2</f>
        <v>4302.5</v>
      </c>
      <c r="G62" s="675">
        <f t="shared" ref="G62:G63" si="17">AVERAGE(E62:F62)</f>
        <v>4337.25</v>
      </c>
      <c r="I62" s="52"/>
      <c r="J62" s="52"/>
      <c r="K62" s="52"/>
      <c r="L62" s="52"/>
      <c r="M62" s="47"/>
      <c r="Q62" s="49"/>
    </row>
    <row r="63" spans="2:23" ht="12.75" customHeight="1">
      <c r="B63" s="82"/>
      <c r="C63" s="99"/>
      <c r="D63" s="84" t="s">
        <v>268</v>
      </c>
      <c r="E63" s="100">
        <f>E62*4.18*1000/1000000</f>
        <v>18.27496</v>
      </c>
      <c r="F63" s="100">
        <f>F62*4.18*1000/1000000</f>
        <v>17.984449999999995</v>
      </c>
      <c r="G63" s="676">
        <f t="shared" si="17"/>
        <v>18.129704999999998</v>
      </c>
      <c r="H63" s="52"/>
      <c r="I63" s="52"/>
      <c r="J63" s="52"/>
      <c r="K63" s="52"/>
      <c r="L63" s="52"/>
      <c r="M63" s="47"/>
      <c r="Q63" s="49"/>
    </row>
    <row r="64" spans="2:23" ht="14.25" customHeight="1">
      <c r="B64" s="77" t="s">
        <v>518</v>
      </c>
      <c r="C64" s="101" t="s">
        <v>519</v>
      </c>
      <c r="D64" s="78" t="s">
        <v>515</v>
      </c>
      <c r="E64" s="102" t="s">
        <v>250</v>
      </c>
      <c r="F64" s="21" t="s">
        <v>250</v>
      </c>
      <c r="G64" s="35"/>
      <c r="I64" s="49"/>
      <c r="J64" s="52"/>
      <c r="K64" s="52"/>
      <c r="L64" s="52"/>
      <c r="M64" s="47"/>
      <c r="Q64" s="49"/>
    </row>
    <row r="65" spans="2:20">
      <c r="B65" s="82"/>
      <c r="C65" s="99"/>
      <c r="D65" s="84" t="s">
        <v>268</v>
      </c>
      <c r="E65" s="100">
        <f>+IFERROR(E64*4.18*1000/1000000,0)</f>
        <v>0</v>
      </c>
      <c r="F65" s="100">
        <f>+IFERROR(F64*4.18*1000/1000000,0)</f>
        <v>0</v>
      </c>
      <c r="G65" s="676"/>
      <c r="M65" s="47"/>
      <c r="Q65" s="49"/>
    </row>
    <row r="67" spans="2:20">
      <c r="B67" s="9" t="s">
        <v>520</v>
      </c>
      <c r="C67" s="9"/>
      <c r="D67" s="10"/>
      <c r="E67" s="10"/>
      <c r="F67" s="10"/>
      <c r="H67" s="10"/>
      <c r="I67" s="10"/>
      <c r="J67" s="10"/>
      <c r="K67" s="103"/>
    </row>
    <row r="69" spans="2:20">
      <c r="B69" s="104"/>
      <c r="C69" s="97"/>
      <c r="D69" s="105"/>
      <c r="E69" s="14" t="s">
        <v>465</v>
      </c>
      <c r="F69" s="14" t="s">
        <v>466</v>
      </c>
      <c r="G69" s="14" t="s">
        <v>467</v>
      </c>
      <c r="H69" s="14" t="s">
        <v>468</v>
      </c>
      <c r="I69" s="14" t="s">
        <v>469</v>
      </c>
      <c r="J69" s="14" t="s">
        <v>470</v>
      </c>
      <c r="K69" s="14" t="s">
        <v>471</v>
      </c>
      <c r="L69" s="14" t="s">
        <v>472</v>
      </c>
      <c r="M69" s="14" t="s">
        <v>473</v>
      </c>
      <c r="N69" s="14" t="s">
        <v>474</v>
      </c>
      <c r="O69" s="14" t="s">
        <v>475</v>
      </c>
      <c r="P69" s="15" t="s">
        <v>476</v>
      </c>
      <c r="Q69" s="106" t="s">
        <v>388</v>
      </c>
    </row>
    <row r="70" spans="2:20" ht="14.25">
      <c r="B70" s="96" t="s">
        <v>521</v>
      </c>
      <c r="C70" s="18" t="s">
        <v>427</v>
      </c>
      <c r="D70" s="98" t="s">
        <v>374</v>
      </c>
      <c r="E70" s="107">
        <f>E40+E37</f>
        <v>49128</v>
      </c>
      <c r="F70" s="107">
        <f t="shared" ref="F70:P70" si="18">F40+F37</f>
        <v>30479</v>
      </c>
      <c r="G70" s="107">
        <f t="shared" si="18"/>
        <v>31800</v>
      </c>
      <c r="H70" s="107">
        <f t="shared" si="18"/>
        <v>33894</v>
      </c>
      <c r="I70" s="107">
        <f t="shared" si="18"/>
        <v>35611</v>
      </c>
      <c r="J70" s="107">
        <f t="shared" si="18"/>
        <v>42568</v>
      </c>
      <c r="K70" s="107">
        <f t="shared" si="18"/>
        <v>40868</v>
      </c>
      <c r="L70" s="107">
        <f t="shared" si="18"/>
        <v>45578</v>
      </c>
      <c r="M70" s="107">
        <f t="shared" si="18"/>
        <v>35043</v>
      </c>
      <c r="N70" s="107">
        <f t="shared" si="18"/>
        <v>41099</v>
      </c>
      <c r="O70" s="107">
        <f t="shared" si="18"/>
        <v>40126</v>
      </c>
      <c r="P70" s="107">
        <f t="shared" si="18"/>
        <v>35514</v>
      </c>
      <c r="Q70" s="40">
        <f>SUM(E70:P70)</f>
        <v>461708</v>
      </c>
    </row>
    <row r="71" spans="2:20">
      <c r="B71" s="77"/>
      <c r="C71" s="23"/>
      <c r="D71" s="98" t="s">
        <v>374</v>
      </c>
      <c r="E71" s="663">
        <f>E41+E38</f>
        <v>51584.4</v>
      </c>
      <c r="F71" s="61">
        <f t="shared" ref="F71:P71" si="19">F41+F38</f>
        <v>30479</v>
      </c>
      <c r="G71" s="61">
        <f t="shared" si="19"/>
        <v>31800</v>
      </c>
      <c r="H71" s="61">
        <f t="shared" si="19"/>
        <v>33894</v>
      </c>
      <c r="I71" s="61">
        <f t="shared" si="19"/>
        <v>35611</v>
      </c>
      <c r="J71" s="61">
        <f t="shared" si="19"/>
        <v>42568</v>
      </c>
      <c r="K71" s="61">
        <f t="shared" si="19"/>
        <v>40868</v>
      </c>
      <c r="L71" s="61">
        <f t="shared" si="19"/>
        <v>45578</v>
      </c>
      <c r="M71" s="61">
        <f t="shared" si="19"/>
        <v>35043</v>
      </c>
      <c r="N71" s="61">
        <f t="shared" si="19"/>
        <v>41099</v>
      </c>
      <c r="O71" s="61">
        <f t="shared" si="19"/>
        <v>40126</v>
      </c>
      <c r="P71" s="61">
        <f t="shared" si="19"/>
        <v>35514</v>
      </c>
      <c r="Q71" s="664">
        <f>SUM(E71:P71)</f>
        <v>464164.4</v>
      </c>
      <c r="R71" s="4" t="s">
        <v>578</v>
      </c>
    </row>
    <row r="72" spans="2:20">
      <c r="B72" s="77" t="s">
        <v>523</v>
      </c>
      <c r="C72" s="23" t="s">
        <v>524</v>
      </c>
      <c r="D72" s="78" t="s">
        <v>525</v>
      </c>
      <c r="E72" s="109"/>
      <c r="F72" s="109"/>
      <c r="G72" s="109"/>
      <c r="H72" s="109"/>
      <c r="I72" s="109"/>
      <c r="J72" s="109"/>
      <c r="L72" s="61"/>
      <c r="M72" s="61"/>
      <c r="N72" s="61"/>
      <c r="O72" s="61"/>
      <c r="P72" s="110"/>
      <c r="Q72" s="40">
        <f>SUM(E72:P72)</f>
        <v>0</v>
      </c>
    </row>
    <row r="73" spans="2:20" ht="14.25">
      <c r="B73" s="111" t="s">
        <v>526</v>
      </c>
      <c r="C73" s="27" t="s">
        <v>527</v>
      </c>
      <c r="D73" s="84" t="s">
        <v>528</v>
      </c>
      <c r="E73" s="112">
        <v>129</v>
      </c>
      <c r="F73" s="112">
        <v>129</v>
      </c>
      <c r="G73" s="112">
        <v>129</v>
      </c>
      <c r="H73" s="112">
        <v>129</v>
      </c>
      <c r="I73" s="112">
        <v>129</v>
      </c>
      <c r="J73" s="112">
        <v>129</v>
      </c>
      <c r="K73" s="112">
        <v>129</v>
      </c>
      <c r="L73" s="112">
        <v>129</v>
      </c>
      <c r="M73" s="112">
        <v>129</v>
      </c>
      <c r="N73" s="112">
        <v>129</v>
      </c>
      <c r="O73" s="112">
        <v>129</v>
      </c>
      <c r="P73" s="113">
        <v>129</v>
      </c>
      <c r="Q73" s="43">
        <v>129</v>
      </c>
    </row>
    <row r="75" spans="2:20">
      <c r="T75" s="49"/>
    </row>
    <row r="76" spans="2:20">
      <c r="B76" s="9" t="s">
        <v>529</v>
      </c>
      <c r="C76" s="9"/>
      <c r="D76" s="10"/>
      <c r="E76" s="10"/>
      <c r="F76" s="10"/>
      <c r="G76" s="10"/>
      <c r="H76" s="10"/>
      <c r="I76" s="10"/>
      <c r="J76" s="10"/>
      <c r="T76" s="49"/>
    </row>
    <row r="77" spans="2:20">
      <c r="T77" s="49"/>
    </row>
    <row r="78" spans="2:20">
      <c r="B78" s="49" t="s">
        <v>530</v>
      </c>
      <c r="T78" s="49"/>
    </row>
    <row r="79" spans="2:20">
      <c r="B79" s="11"/>
      <c r="C79" s="114"/>
      <c r="D79" s="115"/>
      <c r="E79" s="14" t="s">
        <v>531</v>
      </c>
      <c r="F79" s="14" t="s">
        <v>466</v>
      </c>
      <c r="G79" s="14" t="s">
        <v>467</v>
      </c>
      <c r="H79" s="14" t="s">
        <v>532</v>
      </c>
      <c r="I79" s="14" t="s">
        <v>469</v>
      </c>
      <c r="J79" s="14" t="s">
        <v>470</v>
      </c>
      <c r="K79" s="14" t="s">
        <v>471</v>
      </c>
      <c r="L79" s="14" t="s">
        <v>472</v>
      </c>
      <c r="M79" s="14" t="s">
        <v>473</v>
      </c>
      <c r="N79" s="14" t="s">
        <v>474</v>
      </c>
      <c r="O79" s="14" t="s">
        <v>475</v>
      </c>
      <c r="P79" s="15" t="s">
        <v>476</v>
      </c>
      <c r="Q79" s="116" t="s">
        <v>388</v>
      </c>
    </row>
    <row r="80" spans="2:20" ht="16.5">
      <c r="B80" s="104" t="s">
        <v>27</v>
      </c>
      <c r="C80" s="117" t="s">
        <v>533</v>
      </c>
      <c r="D80" s="118" t="s">
        <v>534</v>
      </c>
      <c r="E80" s="119">
        <v>190.45450885640284</v>
      </c>
      <c r="F80" s="107">
        <v>187.77476840737071</v>
      </c>
      <c r="G80" s="107">
        <v>298.60028614224842</v>
      </c>
      <c r="H80" s="107">
        <v>156.47304889255074</v>
      </c>
      <c r="I80" s="107">
        <v>6498.8264670260232</v>
      </c>
      <c r="J80" s="107">
        <v>67.133126289566079</v>
      </c>
      <c r="K80" s="107">
        <v>203.61248038057693</v>
      </c>
      <c r="L80" s="120">
        <v>0</v>
      </c>
      <c r="M80" s="107">
        <v>0</v>
      </c>
      <c r="N80" s="107">
        <v>0</v>
      </c>
      <c r="O80" s="107">
        <v>22993.312807346862</v>
      </c>
      <c r="P80" s="108">
        <v>619.19468087398047</v>
      </c>
      <c r="Q80" s="121">
        <f>SUM(E80:P80)</f>
        <v>31215.382174215581</v>
      </c>
    </row>
    <row r="81" spans="2:23" ht="16.5">
      <c r="B81" s="122" t="s">
        <v>319</v>
      </c>
      <c r="C81" s="56" t="s">
        <v>533</v>
      </c>
      <c r="D81" s="118" t="s">
        <v>493</v>
      </c>
      <c r="E81" s="123">
        <v>0</v>
      </c>
      <c r="F81" s="61">
        <v>0</v>
      </c>
      <c r="G81" s="61">
        <v>0</v>
      </c>
      <c r="H81" s="61">
        <v>0</v>
      </c>
      <c r="I81" s="61">
        <v>0</v>
      </c>
      <c r="J81" s="61">
        <v>0</v>
      </c>
      <c r="K81" s="61">
        <v>0</v>
      </c>
      <c r="L81" s="61">
        <v>0</v>
      </c>
      <c r="M81" s="61">
        <v>0</v>
      </c>
      <c r="N81" s="61">
        <v>0</v>
      </c>
      <c r="O81" s="61">
        <v>0</v>
      </c>
      <c r="P81" s="110">
        <v>0</v>
      </c>
      <c r="Q81" s="124">
        <f>SUM(E81:P81)</f>
        <v>0</v>
      </c>
    </row>
    <row r="82" spans="2:23" ht="16.5">
      <c r="B82" s="125" t="s">
        <v>535</v>
      </c>
      <c r="C82" s="59" t="s">
        <v>533</v>
      </c>
      <c r="D82" s="126" t="s">
        <v>534</v>
      </c>
      <c r="E82" s="127">
        <f>+E80/625</f>
        <v>0.30472721417024456</v>
      </c>
      <c r="F82" s="128">
        <f t="shared" ref="F82:N82" si="20">+F80/625</f>
        <v>0.30043962945179314</v>
      </c>
      <c r="G82" s="128">
        <f t="shared" si="20"/>
        <v>0.47776045782759746</v>
      </c>
      <c r="H82" s="128">
        <f t="shared" si="20"/>
        <v>0.25035687822808117</v>
      </c>
      <c r="I82" s="128">
        <f t="shared" si="20"/>
        <v>10.398122347241637</v>
      </c>
      <c r="J82" s="128">
        <f t="shared" si="20"/>
        <v>0.10741300206330573</v>
      </c>
      <c r="K82" s="128">
        <f t="shared" si="20"/>
        <v>0.32577996860892311</v>
      </c>
      <c r="L82" s="128">
        <f t="shared" si="20"/>
        <v>0</v>
      </c>
      <c r="M82" s="128">
        <f t="shared" si="20"/>
        <v>0</v>
      </c>
      <c r="N82" s="128">
        <f t="shared" si="20"/>
        <v>0</v>
      </c>
      <c r="O82" s="129">
        <f>+O80/625</f>
        <v>36.789300491754979</v>
      </c>
      <c r="P82" s="129">
        <f>+P80/625</f>
        <v>0.99071148939836873</v>
      </c>
      <c r="Q82" s="130">
        <f>SUM(E82:P82)</f>
        <v>49.944611478744932</v>
      </c>
    </row>
    <row r="83" spans="2:23">
      <c r="T83" s="49"/>
    </row>
    <row r="84" spans="2:23" hidden="1">
      <c r="T84" s="49"/>
    </row>
    <row r="85" spans="2:23" hidden="1">
      <c r="B85" s="49" t="s">
        <v>536</v>
      </c>
      <c r="T85" s="49"/>
    </row>
    <row r="86" spans="2:23" hidden="1">
      <c r="B86" s="11"/>
      <c r="C86" s="131"/>
      <c r="D86" s="97"/>
      <c r="E86" s="97"/>
      <c r="F86" s="97"/>
      <c r="G86" s="97"/>
      <c r="H86" s="97"/>
      <c r="I86" s="97"/>
      <c r="J86" s="97"/>
      <c r="K86" s="30" t="s">
        <v>465</v>
      </c>
      <c r="L86" s="30" t="s">
        <v>466</v>
      </c>
      <c r="M86" s="30" t="s">
        <v>467</v>
      </c>
      <c r="N86" s="30" t="s">
        <v>468</v>
      </c>
      <c r="O86" s="30" t="s">
        <v>469</v>
      </c>
      <c r="P86" s="30" t="s">
        <v>470</v>
      </c>
      <c r="Q86" s="30" t="s">
        <v>471</v>
      </c>
      <c r="R86" s="30" t="s">
        <v>537</v>
      </c>
      <c r="S86" s="30" t="s">
        <v>473</v>
      </c>
      <c r="T86" s="30" t="s">
        <v>474</v>
      </c>
      <c r="U86" s="30" t="s">
        <v>475</v>
      </c>
      <c r="V86" s="30" t="s">
        <v>538</v>
      </c>
      <c r="W86" s="116" t="s">
        <v>388</v>
      </c>
    </row>
    <row r="87" spans="2:23" ht="16.5" hidden="1">
      <c r="B87" s="104" t="s">
        <v>27</v>
      </c>
      <c r="C87" s="48"/>
      <c r="D87" s="117" t="s">
        <v>539</v>
      </c>
      <c r="E87" s="117"/>
      <c r="F87" s="117"/>
      <c r="G87" s="117"/>
      <c r="H87" s="117"/>
      <c r="I87" s="117"/>
      <c r="J87" s="117"/>
      <c r="K87" s="40"/>
      <c r="L87" s="40"/>
      <c r="M87" s="40"/>
      <c r="N87" s="40"/>
      <c r="O87" s="40"/>
      <c r="P87" s="40"/>
      <c r="Q87" s="40"/>
      <c r="R87" s="40"/>
      <c r="S87" s="40"/>
      <c r="T87" s="40"/>
      <c r="U87" s="40"/>
      <c r="V87" s="40"/>
      <c r="W87" s="121"/>
    </row>
    <row r="88" spans="2:23" ht="16.5" hidden="1">
      <c r="B88" s="122" t="s">
        <v>319</v>
      </c>
      <c r="C88" s="49"/>
      <c r="D88" s="56" t="s">
        <v>539</v>
      </c>
      <c r="E88" s="56"/>
      <c r="F88" s="56"/>
      <c r="G88" s="56"/>
      <c r="H88" s="56"/>
      <c r="I88" s="56"/>
      <c r="J88" s="56"/>
      <c r="K88" s="21"/>
      <c r="L88" s="21"/>
      <c r="M88" s="21"/>
      <c r="N88" s="21"/>
      <c r="O88" s="21"/>
      <c r="P88" s="21"/>
      <c r="Q88" s="21"/>
      <c r="R88" s="21"/>
      <c r="S88" s="21"/>
      <c r="T88" s="21"/>
      <c r="U88" s="21"/>
      <c r="V88" s="21"/>
      <c r="W88" s="124"/>
    </row>
    <row r="89" spans="2:23" ht="16.5" hidden="1">
      <c r="B89" s="125" t="s">
        <v>540</v>
      </c>
      <c r="C89" s="132"/>
      <c r="D89" s="59" t="s">
        <v>539</v>
      </c>
      <c r="E89" s="59"/>
      <c r="F89" s="59"/>
      <c r="G89" s="59"/>
      <c r="H89" s="59"/>
      <c r="I89" s="59"/>
      <c r="J89" s="59"/>
      <c r="K89" s="44"/>
      <c r="L89" s="44"/>
      <c r="M89" s="44"/>
      <c r="N89" s="44"/>
      <c r="O89" s="44"/>
      <c r="P89" s="44"/>
      <c r="Q89" s="44"/>
      <c r="R89" s="44"/>
      <c r="S89" s="44"/>
      <c r="T89" s="44"/>
      <c r="U89" s="44"/>
      <c r="V89" s="44"/>
      <c r="W89" s="130"/>
    </row>
    <row r="90" spans="2:23" hidden="1">
      <c r="T90" s="49"/>
    </row>
    <row r="91" spans="2:23" hidden="1">
      <c r="T91" s="49"/>
    </row>
    <row r="92" spans="2:23" hidden="1">
      <c r="B92" s="49" t="s">
        <v>541</v>
      </c>
      <c r="T92" s="49"/>
    </row>
    <row r="93" spans="2:23" hidden="1">
      <c r="B93" s="11"/>
      <c r="C93" s="131"/>
      <c r="D93" s="97"/>
      <c r="E93" s="97"/>
      <c r="F93" s="97"/>
      <c r="G93" s="97"/>
      <c r="H93" s="97"/>
      <c r="I93" s="97"/>
      <c r="J93" s="97"/>
      <c r="K93" s="30" t="s">
        <v>465</v>
      </c>
      <c r="L93" s="30" t="s">
        <v>466</v>
      </c>
      <c r="M93" s="30" t="s">
        <v>467</v>
      </c>
      <c r="N93" s="30" t="s">
        <v>468</v>
      </c>
      <c r="O93" s="30" t="s">
        <v>469</v>
      </c>
      <c r="P93" s="30" t="s">
        <v>470</v>
      </c>
      <c r="Q93" s="30" t="s">
        <v>471</v>
      </c>
      <c r="R93" s="30" t="s">
        <v>537</v>
      </c>
      <c r="S93" s="30" t="s">
        <v>473</v>
      </c>
      <c r="T93" s="30" t="s">
        <v>474</v>
      </c>
      <c r="U93" s="30" t="s">
        <v>475</v>
      </c>
      <c r="V93" s="30" t="s">
        <v>538</v>
      </c>
      <c r="W93" s="16" t="s">
        <v>388</v>
      </c>
    </row>
    <row r="94" spans="2:23" ht="16.5" hidden="1">
      <c r="B94" s="104" t="s">
        <v>27</v>
      </c>
      <c r="C94" s="48"/>
      <c r="D94" s="117" t="s">
        <v>542</v>
      </c>
      <c r="E94" s="117"/>
      <c r="F94" s="117"/>
      <c r="G94" s="117"/>
      <c r="H94" s="117"/>
      <c r="I94" s="117"/>
      <c r="J94" s="117"/>
      <c r="K94" s="133"/>
      <c r="L94" s="134"/>
      <c r="M94" s="133"/>
      <c r="N94" s="134"/>
      <c r="O94" s="133"/>
      <c r="P94" s="134"/>
      <c r="Q94" s="133"/>
      <c r="R94" s="134"/>
      <c r="S94" s="133"/>
      <c r="T94" s="134"/>
      <c r="U94" s="133"/>
      <c r="V94" s="135"/>
      <c r="W94" s="121">
        <v>0</v>
      </c>
    </row>
    <row r="95" spans="2:23" ht="16.5" hidden="1">
      <c r="B95" s="122" t="s">
        <v>319</v>
      </c>
      <c r="C95" s="49"/>
      <c r="D95" s="56" t="s">
        <v>542</v>
      </c>
      <c r="E95" s="56"/>
      <c r="F95" s="56"/>
      <c r="G95" s="56"/>
      <c r="H95" s="56"/>
      <c r="I95" s="56"/>
      <c r="J95" s="56"/>
      <c r="K95" s="136"/>
      <c r="L95" s="134"/>
      <c r="M95" s="136"/>
      <c r="N95" s="134"/>
      <c r="O95" s="136"/>
      <c r="P95" s="134"/>
      <c r="Q95" s="136"/>
      <c r="R95" s="134"/>
      <c r="S95" s="136"/>
      <c r="T95" s="134"/>
      <c r="U95" s="136"/>
      <c r="V95" s="135"/>
      <c r="W95" s="124">
        <v>0</v>
      </c>
    </row>
    <row r="96" spans="2:23" ht="16.5" hidden="1">
      <c r="B96" s="125" t="s">
        <v>540</v>
      </c>
      <c r="C96" s="132"/>
      <c r="D96" s="59" t="s">
        <v>543</v>
      </c>
      <c r="E96" s="59"/>
      <c r="F96" s="59"/>
      <c r="G96" s="59"/>
      <c r="H96" s="59"/>
      <c r="I96" s="59"/>
      <c r="J96" s="59"/>
      <c r="K96" s="137"/>
      <c r="L96" s="138"/>
      <c r="M96" s="137"/>
      <c r="N96" s="138"/>
      <c r="O96" s="137"/>
      <c r="P96" s="138"/>
      <c r="Q96" s="137"/>
      <c r="R96" s="138"/>
      <c r="S96" s="137"/>
      <c r="T96" s="138"/>
      <c r="U96" s="137"/>
      <c r="V96" s="139"/>
      <c r="W96" s="130">
        <v>0</v>
      </c>
    </row>
    <row r="97" spans="2:23" hidden="1"/>
    <row r="98" spans="2:23" hidden="1">
      <c r="B98" s="49" t="s">
        <v>544</v>
      </c>
    </row>
    <row r="99" spans="2:23" hidden="1">
      <c r="B99" s="140"/>
      <c r="C99" s="131"/>
      <c r="D99" s="97"/>
      <c r="E99" s="97"/>
      <c r="F99" s="97"/>
      <c r="G99" s="97"/>
      <c r="H99" s="97"/>
      <c r="I99" s="97"/>
      <c r="J99" s="97"/>
      <c r="K99" s="16" t="s">
        <v>545</v>
      </c>
      <c r="L99" s="17"/>
      <c r="M99" s="16" t="s">
        <v>546</v>
      </c>
    </row>
    <row r="100" spans="2:23" ht="14.25" hidden="1">
      <c r="B100" s="104" t="s">
        <v>27</v>
      </c>
      <c r="C100" s="48"/>
      <c r="D100" s="17" t="s">
        <v>547</v>
      </c>
      <c r="E100" s="17"/>
      <c r="F100" s="17"/>
      <c r="G100" s="17"/>
      <c r="H100" s="17"/>
      <c r="I100" s="17"/>
      <c r="J100" s="17"/>
      <c r="K100" s="141"/>
      <c r="L100" s="142" t="s">
        <v>316</v>
      </c>
      <c r="M100" s="141"/>
    </row>
    <row r="101" spans="2:23" ht="14.25" hidden="1">
      <c r="B101" s="122" t="s">
        <v>319</v>
      </c>
      <c r="C101" s="49"/>
      <c r="D101" s="22" t="s">
        <v>548</v>
      </c>
      <c r="E101" s="22"/>
      <c r="F101" s="22"/>
      <c r="G101" s="22"/>
      <c r="H101" s="22"/>
      <c r="I101" s="22"/>
      <c r="J101" s="22"/>
      <c r="K101" s="143"/>
      <c r="L101" s="24" t="s">
        <v>316</v>
      </c>
      <c r="M101" s="144"/>
    </row>
    <row r="102" spans="2:23" ht="16.5" hidden="1">
      <c r="B102" s="125" t="s">
        <v>549</v>
      </c>
      <c r="C102" s="132"/>
      <c r="D102" s="83" t="s">
        <v>550</v>
      </c>
      <c r="E102" s="83"/>
      <c r="F102" s="83"/>
      <c r="G102" s="83"/>
      <c r="H102" s="83"/>
      <c r="I102" s="83"/>
      <c r="J102" s="83"/>
      <c r="K102" s="145"/>
      <c r="L102" s="43" t="s">
        <v>551</v>
      </c>
      <c r="M102" s="146"/>
    </row>
    <row r="103" spans="2:23" hidden="1"/>
    <row r="104" spans="2:23" hidden="1">
      <c r="B104" s="11" t="s">
        <v>552</v>
      </c>
      <c r="C104" s="131"/>
      <c r="D104" s="97"/>
      <c r="E104" s="97"/>
      <c r="F104" s="97"/>
      <c r="G104" s="97"/>
      <c r="H104" s="97"/>
      <c r="I104" s="97"/>
      <c r="J104" s="97"/>
      <c r="K104" s="16" t="s">
        <v>545</v>
      </c>
      <c r="L104" s="17"/>
      <c r="M104" s="16" t="s">
        <v>546</v>
      </c>
    </row>
    <row r="105" spans="2:23" hidden="1">
      <c r="B105" s="147" t="s">
        <v>27</v>
      </c>
      <c r="C105" s="148"/>
      <c r="D105" s="149"/>
      <c r="E105" s="149"/>
      <c r="F105" s="149"/>
      <c r="G105" s="149"/>
      <c r="H105" s="149"/>
      <c r="I105" s="149"/>
      <c r="J105" s="149"/>
      <c r="K105" s="150">
        <v>43.3</v>
      </c>
      <c r="L105" s="151" t="s">
        <v>316</v>
      </c>
      <c r="M105" s="150">
        <v>0.84</v>
      </c>
    </row>
    <row r="106" spans="2:23" hidden="1">
      <c r="B106" s="152" t="s">
        <v>319</v>
      </c>
      <c r="C106" s="153"/>
      <c r="D106" s="154"/>
      <c r="E106" s="154"/>
      <c r="F106" s="154"/>
      <c r="G106" s="154"/>
      <c r="H106" s="154"/>
      <c r="I106" s="154"/>
      <c r="J106" s="154"/>
      <c r="K106" s="155">
        <v>41.7</v>
      </c>
      <c r="L106" s="156" t="s">
        <v>316</v>
      </c>
      <c r="M106" s="155">
        <v>0.98</v>
      </c>
    </row>
    <row r="107" spans="2:23" ht="15.75" hidden="1">
      <c r="B107" s="157" t="s">
        <v>553</v>
      </c>
      <c r="C107" s="158"/>
      <c r="D107" s="159"/>
      <c r="E107" s="159"/>
      <c r="F107" s="159"/>
      <c r="G107" s="159"/>
      <c r="H107" s="159"/>
      <c r="I107" s="159"/>
      <c r="J107" s="159"/>
      <c r="K107" s="160">
        <v>52.2</v>
      </c>
      <c r="L107" s="161" t="s">
        <v>551</v>
      </c>
      <c r="M107" s="160">
        <v>0.55000000000000004</v>
      </c>
    </row>
    <row r="108" spans="2:23" hidden="1">
      <c r="B108" s="91"/>
    </row>
    <row r="109" spans="2:23">
      <c r="B109" s="162" t="s">
        <v>554</v>
      </c>
      <c r="C109" s="163"/>
      <c r="D109" s="163"/>
      <c r="E109" s="163"/>
      <c r="F109" s="163"/>
      <c r="G109" s="163"/>
      <c r="H109" s="163"/>
      <c r="I109" s="163"/>
      <c r="J109" s="163"/>
      <c r="K109" s="163"/>
      <c r="L109" s="163"/>
      <c r="M109" s="163"/>
      <c r="N109" s="163"/>
      <c r="O109" s="163"/>
      <c r="P109" s="163"/>
      <c r="Q109" s="163"/>
      <c r="R109" s="163"/>
      <c r="S109" s="163"/>
      <c r="T109" s="162"/>
      <c r="U109" s="163"/>
      <c r="V109" s="163"/>
      <c r="W109" s="163"/>
    </row>
    <row r="110" spans="2:23">
      <c r="B110" s="164"/>
      <c r="C110" s="165"/>
      <c r="D110" s="166"/>
      <c r="E110" s="14" t="s">
        <v>465</v>
      </c>
      <c r="F110" s="14" t="s">
        <v>466</v>
      </c>
      <c r="G110" s="14" t="s">
        <v>467</v>
      </c>
      <c r="H110" s="14" t="s">
        <v>468</v>
      </c>
      <c r="I110" s="14" t="s">
        <v>469</v>
      </c>
      <c r="J110" s="14" t="s">
        <v>470</v>
      </c>
      <c r="K110" s="14" t="s">
        <v>471</v>
      </c>
      <c r="L110" s="14" t="s">
        <v>472</v>
      </c>
      <c r="M110" s="14" t="s">
        <v>473</v>
      </c>
      <c r="N110" s="14" t="s">
        <v>474</v>
      </c>
      <c r="O110" s="14" t="s">
        <v>475</v>
      </c>
      <c r="P110" s="15" t="s">
        <v>476</v>
      </c>
      <c r="Q110" s="167" t="s">
        <v>388</v>
      </c>
    </row>
    <row r="111" spans="2:23" ht="16.5">
      <c r="B111" s="168" t="s">
        <v>27</v>
      </c>
      <c r="C111" s="169" t="s">
        <v>539</v>
      </c>
      <c r="D111" s="170" t="s">
        <v>534</v>
      </c>
      <c r="E111" s="171">
        <v>7601</v>
      </c>
      <c r="F111" s="172">
        <v>5297</v>
      </c>
      <c r="G111" s="172">
        <v>4864</v>
      </c>
      <c r="H111" s="172">
        <v>7212</v>
      </c>
      <c r="I111" s="172">
        <v>6487</v>
      </c>
      <c r="J111" s="172">
        <v>6974</v>
      </c>
      <c r="K111" s="172">
        <v>7359</v>
      </c>
      <c r="L111" s="172">
        <v>6795</v>
      </c>
      <c r="M111" s="172">
        <v>6884</v>
      </c>
      <c r="N111" s="172">
        <v>6096</v>
      </c>
      <c r="O111" s="172">
        <v>5894</v>
      </c>
      <c r="P111" s="173">
        <v>6395</v>
      </c>
      <c r="Q111" s="174">
        <f>SUM(E111:P111)</f>
        <v>77858</v>
      </c>
    </row>
    <row r="112" spans="2:23" ht="16.5">
      <c r="B112" s="175" t="s">
        <v>319</v>
      </c>
      <c r="C112" s="176" t="s">
        <v>539</v>
      </c>
      <c r="D112" s="170" t="s">
        <v>493</v>
      </c>
      <c r="E112" s="177">
        <v>0</v>
      </c>
      <c r="F112" s="58">
        <v>0</v>
      </c>
      <c r="G112" s="58">
        <v>0</v>
      </c>
      <c r="H112" s="58">
        <v>0</v>
      </c>
      <c r="I112" s="58">
        <v>0</v>
      </c>
      <c r="J112" s="58">
        <v>0</v>
      </c>
      <c r="K112" s="58">
        <v>0</v>
      </c>
      <c r="L112" s="58">
        <v>0</v>
      </c>
      <c r="M112" s="58">
        <v>0</v>
      </c>
      <c r="N112" s="58">
        <v>0</v>
      </c>
      <c r="O112" s="58">
        <v>0</v>
      </c>
      <c r="P112" s="178">
        <v>0</v>
      </c>
      <c r="Q112" s="179">
        <f>SUM(E112:P112)</f>
        <v>0</v>
      </c>
    </row>
    <row r="113" spans="2:23" ht="16.5">
      <c r="B113" s="180" t="s">
        <v>555</v>
      </c>
      <c r="C113" s="181" t="s">
        <v>539</v>
      </c>
      <c r="D113" s="182" t="s">
        <v>534</v>
      </c>
      <c r="E113" s="183">
        <v>0</v>
      </c>
      <c r="F113" s="184">
        <v>0</v>
      </c>
      <c r="G113" s="184">
        <v>0</v>
      </c>
      <c r="H113" s="184">
        <v>0</v>
      </c>
      <c r="I113" s="184">
        <v>0</v>
      </c>
      <c r="J113" s="184">
        <v>0</v>
      </c>
      <c r="K113" s="184">
        <v>0</v>
      </c>
      <c r="L113" s="184">
        <v>0</v>
      </c>
      <c r="M113" s="184">
        <v>0</v>
      </c>
      <c r="N113" s="184">
        <v>0</v>
      </c>
      <c r="O113" s="184">
        <v>0</v>
      </c>
      <c r="P113" s="185">
        <v>0</v>
      </c>
      <c r="Q113" s="186">
        <f>SUM(E113:P113)</f>
        <v>0</v>
      </c>
    </row>
    <row r="114" spans="2:23">
      <c r="B114" s="163"/>
      <c r="C114" s="163"/>
      <c r="D114" s="163"/>
      <c r="E114" s="163"/>
      <c r="F114" s="163"/>
      <c r="G114" s="163"/>
      <c r="H114" s="163"/>
      <c r="I114" s="163"/>
      <c r="J114" s="163"/>
      <c r="K114" s="163"/>
      <c r="L114" s="163"/>
      <c r="M114" s="163"/>
      <c r="N114" s="163"/>
      <c r="O114" s="163"/>
      <c r="P114" s="163"/>
      <c r="Q114" s="163"/>
      <c r="R114" s="163"/>
      <c r="S114" s="163"/>
      <c r="T114" s="162"/>
      <c r="U114" s="163"/>
      <c r="V114" s="163"/>
      <c r="W114" s="163"/>
    </row>
    <row r="115" spans="2:23">
      <c r="B115" s="187" t="s">
        <v>556</v>
      </c>
      <c r="C115" s="163"/>
      <c r="D115" s="163"/>
      <c r="E115" s="163"/>
      <c r="F115" s="163"/>
      <c r="G115" s="163"/>
      <c r="H115" s="163"/>
      <c r="I115" s="163"/>
      <c r="J115" s="163"/>
      <c r="K115" s="163"/>
      <c r="L115" s="163"/>
      <c r="M115" s="163"/>
      <c r="N115" s="163"/>
      <c r="O115" s="163"/>
      <c r="P115" s="163"/>
      <c r="Q115" s="163"/>
      <c r="R115" s="163"/>
      <c r="S115" s="163"/>
      <c r="T115" s="162"/>
      <c r="U115" s="163"/>
      <c r="V115" s="163"/>
      <c r="W115" s="163"/>
    </row>
    <row r="116" spans="2:23">
      <c r="B116" s="164" t="s">
        <v>557</v>
      </c>
      <c r="C116" s="188"/>
      <c r="D116" s="189"/>
      <c r="E116" s="190" t="s">
        <v>545</v>
      </c>
      <c r="F116" s="191"/>
      <c r="G116" s="190" t="s">
        <v>546</v>
      </c>
    </row>
    <row r="117" spans="2:23">
      <c r="B117" s="192" t="s">
        <v>27</v>
      </c>
      <c r="C117" s="193"/>
      <c r="D117" s="194" t="s">
        <v>558</v>
      </c>
      <c r="E117" s="195">
        <v>43.3</v>
      </c>
      <c r="F117" s="194" t="s">
        <v>316</v>
      </c>
      <c r="G117" s="195">
        <v>0.84</v>
      </c>
    </row>
    <row r="118" spans="2:23">
      <c r="B118" s="196" t="s">
        <v>319</v>
      </c>
      <c r="C118" s="197"/>
      <c r="D118" s="198" t="s">
        <v>558</v>
      </c>
      <c r="E118" s="199">
        <v>41.7</v>
      </c>
      <c r="F118" s="198" t="s">
        <v>316</v>
      </c>
      <c r="G118" s="199">
        <v>0.98</v>
      </c>
    </row>
    <row r="119" spans="2:23" ht="15.75">
      <c r="B119" s="200" t="s">
        <v>553</v>
      </c>
      <c r="C119" s="201"/>
      <c r="D119" s="202" t="s">
        <v>558</v>
      </c>
      <c r="E119" s="203">
        <v>52.2</v>
      </c>
      <c r="F119" s="202" t="s">
        <v>551</v>
      </c>
      <c r="G119" s="203">
        <v>0.55000000000000004</v>
      </c>
    </row>
    <row r="120" spans="2:23">
      <c r="D120" s="49"/>
      <c r="E120" s="49"/>
      <c r="F120" s="49"/>
      <c r="G120" s="49"/>
      <c r="H120" s="49"/>
      <c r="I120" s="49"/>
      <c r="J120" s="49"/>
    </row>
    <row r="121" spans="2:23">
      <c r="B121" s="204" t="s">
        <v>559</v>
      </c>
      <c r="C121" s="163"/>
      <c r="D121" s="163"/>
      <c r="E121" s="163"/>
      <c r="F121" s="163"/>
      <c r="G121" s="163"/>
      <c r="H121" s="163"/>
      <c r="I121" s="163"/>
      <c r="J121" s="163"/>
      <c r="K121" s="163"/>
      <c r="L121" s="163"/>
      <c r="M121" s="163"/>
      <c r="N121" s="163"/>
      <c r="O121" s="163"/>
      <c r="P121" s="163"/>
      <c r="Q121" s="163"/>
      <c r="R121" s="163"/>
      <c r="S121" s="163"/>
      <c r="T121" s="162"/>
      <c r="U121" s="163"/>
      <c r="V121" s="163"/>
      <c r="W121" s="163"/>
    </row>
    <row r="122" spans="2:23">
      <c r="B122" s="164"/>
      <c r="C122" s="165"/>
      <c r="D122" s="166"/>
      <c r="E122" s="205" t="s">
        <v>465</v>
      </c>
      <c r="F122" s="205" t="s">
        <v>466</v>
      </c>
      <c r="G122" s="205" t="s">
        <v>467</v>
      </c>
      <c r="H122" s="205" t="s">
        <v>468</v>
      </c>
      <c r="I122" s="205" t="s">
        <v>469</v>
      </c>
      <c r="J122" s="205" t="s">
        <v>470</v>
      </c>
      <c r="K122" s="205" t="s">
        <v>471</v>
      </c>
      <c r="L122" s="205" t="s">
        <v>472</v>
      </c>
      <c r="M122" s="205" t="s">
        <v>473</v>
      </c>
      <c r="N122" s="205" t="s">
        <v>474</v>
      </c>
      <c r="O122" s="205" t="s">
        <v>475</v>
      </c>
      <c r="P122" s="206" t="s">
        <v>476</v>
      </c>
      <c r="Q122" s="190" t="s">
        <v>388</v>
      </c>
    </row>
    <row r="123" spans="2:23" ht="16.5">
      <c r="B123" s="168" t="s">
        <v>27</v>
      </c>
      <c r="C123" s="169" t="s">
        <v>542</v>
      </c>
      <c r="D123" s="207" t="s">
        <v>534</v>
      </c>
      <c r="E123" s="208">
        <v>0</v>
      </c>
      <c r="F123" s="209">
        <v>0</v>
      </c>
      <c r="G123" s="209">
        <v>0</v>
      </c>
      <c r="H123" s="209">
        <v>0</v>
      </c>
      <c r="I123" s="209">
        <v>0</v>
      </c>
      <c r="J123" s="209">
        <v>0</v>
      </c>
      <c r="K123" s="209">
        <v>0</v>
      </c>
      <c r="L123" s="209">
        <v>0</v>
      </c>
      <c r="M123" s="209">
        <v>0</v>
      </c>
      <c r="N123" s="209">
        <v>0</v>
      </c>
      <c r="O123" s="209">
        <v>0</v>
      </c>
      <c r="P123" s="210">
        <v>0</v>
      </c>
      <c r="Q123" s="174">
        <f>+SUM(E123:P123)</f>
        <v>0</v>
      </c>
    </row>
    <row r="124" spans="2:23" ht="16.5">
      <c r="B124" s="175" t="s">
        <v>319</v>
      </c>
      <c r="C124" s="176" t="s">
        <v>542</v>
      </c>
      <c r="D124" s="207" t="s">
        <v>493</v>
      </c>
      <c r="E124" s="211">
        <v>0</v>
      </c>
      <c r="F124" s="212">
        <v>0</v>
      </c>
      <c r="G124" s="212">
        <v>0</v>
      </c>
      <c r="H124" s="212">
        <v>0</v>
      </c>
      <c r="I124" s="212">
        <v>0</v>
      </c>
      <c r="J124" s="212">
        <v>0</v>
      </c>
      <c r="K124" s="212">
        <v>0</v>
      </c>
      <c r="L124" s="212">
        <v>0</v>
      </c>
      <c r="M124" s="212">
        <v>0</v>
      </c>
      <c r="N124" s="212">
        <v>0</v>
      </c>
      <c r="O124" s="212">
        <v>0</v>
      </c>
      <c r="P124" s="213">
        <v>0</v>
      </c>
      <c r="Q124" s="179">
        <f t="shared" ref="Q124:Q125" si="21">+SUM(E124:P124)</f>
        <v>0</v>
      </c>
    </row>
    <row r="125" spans="2:23" ht="16.5">
      <c r="B125" s="180" t="s">
        <v>555</v>
      </c>
      <c r="C125" s="181" t="s">
        <v>543</v>
      </c>
      <c r="D125" s="214" t="s">
        <v>534</v>
      </c>
      <c r="E125" s="215">
        <v>0</v>
      </c>
      <c r="F125" s="216">
        <v>0</v>
      </c>
      <c r="G125" s="216">
        <v>0</v>
      </c>
      <c r="H125" s="216">
        <v>0</v>
      </c>
      <c r="I125" s="216">
        <v>0</v>
      </c>
      <c r="J125" s="216">
        <v>0</v>
      </c>
      <c r="K125" s="216">
        <v>0</v>
      </c>
      <c r="L125" s="216">
        <v>0</v>
      </c>
      <c r="M125" s="216">
        <v>0</v>
      </c>
      <c r="N125" s="216">
        <v>0</v>
      </c>
      <c r="O125" s="216">
        <v>0</v>
      </c>
      <c r="P125" s="217">
        <v>0</v>
      </c>
      <c r="Q125" s="186">
        <f t="shared" si="21"/>
        <v>0</v>
      </c>
    </row>
    <row r="126" spans="2:23">
      <c r="D126" s="49"/>
      <c r="E126" s="49"/>
      <c r="F126" s="49"/>
      <c r="G126" s="49"/>
      <c r="H126" s="49"/>
      <c r="I126" s="49"/>
      <c r="J126" s="49"/>
      <c r="N126" s="163"/>
      <c r="O126" s="163"/>
      <c r="P126" s="163"/>
      <c r="Q126" s="163"/>
      <c r="R126" s="163"/>
      <c r="S126" s="163"/>
      <c r="T126" s="163"/>
      <c r="U126" s="163"/>
      <c r="V126" s="163"/>
      <c r="W126" s="163"/>
    </row>
    <row r="127" spans="2:23">
      <c r="D127" s="49"/>
      <c r="E127" s="49"/>
      <c r="F127" s="49"/>
      <c r="G127" s="49"/>
      <c r="H127" s="49"/>
      <c r="I127" s="49"/>
      <c r="J127" s="49"/>
      <c r="N127" s="163"/>
      <c r="O127" s="163"/>
      <c r="P127" s="163"/>
      <c r="Q127" s="163"/>
      <c r="R127" s="163"/>
      <c r="S127" s="163"/>
      <c r="T127" s="163"/>
      <c r="U127" s="163"/>
      <c r="V127" s="163"/>
      <c r="W127" s="163"/>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127"/>
  <sheetViews>
    <sheetView topLeftCell="A10" zoomScale="70" zoomScaleNormal="70" workbookViewId="0">
      <selection activeCell="A38" sqref="A38:XFD38"/>
    </sheetView>
  </sheetViews>
  <sheetFormatPr defaultColWidth="11.5703125" defaultRowHeight="12.75"/>
  <cols>
    <col min="1" max="1" width="2.140625" style="4" customWidth="1"/>
    <col min="2" max="2" width="83.5703125" style="4" customWidth="1"/>
    <col min="3" max="3" width="21.5703125" style="4" customWidth="1"/>
    <col min="4" max="4" width="17.85546875" style="4" bestFit="1" customWidth="1"/>
    <col min="5" max="5" width="21.5703125" style="4" bestFit="1" customWidth="1"/>
    <col min="6" max="6" width="24.140625" style="4" bestFit="1" customWidth="1"/>
    <col min="7" max="11" width="12.5703125" style="4" bestFit="1" customWidth="1"/>
    <col min="12" max="12" width="11.5703125" style="4" bestFit="1" customWidth="1"/>
    <col min="13" max="16" width="12.5703125" style="4" bestFit="1" customWidth="1"/>
    <col min="17" max="17" width="11.5703125" style="4" customWidth="1"/>
    <col min="18" max="22" width="9.140625" style="4" customWidth="1"/>
    <col min="23" max="23" width="8.85546875" style="4" bestFit="1" customWidth="1"/>
    <col min="24" max="16384" width="11.5703125" style="4"/>
  </cols>
  <sheetData>
    <row r="2" spans="2:17" ht="23.25">
      <c r="B2" s="1" t="s">
        <v>249</v>
      </c>
      <c r="C2" s="2"/>
      <c r="D2" s="3"/>
      <c r="E2" s="3"/>
      <c r="F2" s="3"/>
      <c r="G2" s="3"/>
      <c r="H2" s="3"/>
      <c r="I2" s="3"/>
      <c r="J2" s="3"/>
    </row>
    <row r="4" spans="2:17" ht="18.75">
      <c r="B4" s="5" t="s">
        <v>562</v>
      </c>
      <c r="C4" s="6"/>
      <c r="D4" s="7"/>
      <c r="E4" s="218"/>
      <c r="F4" s="218"/>
      <c r="G4" s="218"/>
      <c r="H4" s="218"/>
      <c r="I4" s="218"/>
      <c r="J4" s="218"/>
      <c r="K4" s="219"/>
      <c r="L4" s="219"/>
      <c r="M4" s="219"/>
      <c r="N4" s="219"/>
      <c r="O4" s="219"/>
    </row>
    <row r="5" spans="2:17">
      <c r="E5" s="219"/>
      <c r="F5" s="219"/>
      <c r="G5" s="219"/>
      <c r="H5" s="219"/>
      <c r="I5" s="219"/>
      <c r="J5" s="219"/>
      <c r="K5" s="219"/>
      <c r="L5" s="219"/>
      <c r="M5" s="219"/>
      <c r="N5" s="219"/>
      <c r="O5" s="219"/>
    </row>
    <row r="9" spans="2:17">
      <c r="B9" s="8" t="s">
        <v>464</v>
      </c>
      <c r="C9" s="9"/>
      <c r="D9" s="10"/>
      <c r="E9" s="10"/>
      <c r="F9" s="10"/>
      <c r="G9" s="10"/>
      <c r="H9" s="10"/>
      <c r="I9" s="10"/>
      <c r="J9" s="10"/>
    </row>
    <row r="11" spans="2:17">
      <c r="B11" s="11"/>
      <c r="C11" s="12"/>
      <c r="D11" s="13"/>
      <c r="E11" s="14" t="s">
        <v>465</v>
      </c>
      <c r="F11" s="14" t="s">
        <v>466</v>
      </c>
      <c r="G11" s="14" t="s">
        <v>467</v>
      </c>
      <c r="H11" s="14" t="s">
        <v>468</v>
      </c>
      <c r="I11" s="14" t="s">
        <v>469</v>
      </c>
      <c r="J11" s="14" t="s">
        <v>470</v>
      </c>
      <c r="K11" s="14" t="s">
        <v>471</v>
      </c>
      <c r="L11" s="14" t="s">
        <v>472</v>
      </c>
      <c r="M11" s="14" t="s">
        <v>473</v>
      </c>
      <c r="N11" s="14" t="s">
        <v>474</v>
      </c>
      <c r="O11" s="14" t="s">
        <v>475</v>
      </c>
      <c r="P11" s="15" t="s">
        <v>476</v>
      </c>
      <c r="Q11" s="16" t="s">
        <v>388</v>
      </c>
    </row>
    <row r="12" spans="2:17" ht="16.5">
      <c r="B12" s="17" t="s">
        <v>477</v>
      </c>
      <c r="C12" s="18" t="s">
        <v>478</v>
      </c>
      <c r="D12" s="19" t="s">
        <v>479</v>
      </c>
      <c r="E12" s="20">
        <v>19828.010583587646</v>
      </c>
      <c r="F12" s="20">
        <v>21412.08769465685</v>
      </c>
      <c r="G12" s="20">
        <v>28107.749606803893</v>
      </c>
      <c r="H12" s="20">
        <v>27877.052898315429</v>
      </c>
      <c r="I12" s="20">
        <v>29295.088487548826</v>
      </c>
      <c r="J12" s="20">
        <v>27414.772439819335</v>
      </c>
      <c r="K12" s="20">
        <v>29213.516263122558</v>
      </c>
      <c r="L12" s="20">
        <v>29627.156921752929</v>
      </c>
      <c r="M12" s="20">
        <v>26468.778118080139</v>
      </c>
      <c r="N12" s="20">
        <v>24768.925441528321</v>
      </c>
      <c r="O12" s="20">
        <v>9776.4291559672347</v>
      </c>
      <c r="P12" s="20">
        <v>8972.4970982208251</v>
      </c>
      <c r="Q12" s="21">
        <f t="shared" ref="Q12:Q17" si="0">SUM(E12:P12)</f>
        <v>282762.06470940402</v>
      </c>
    </row>
    <row r="13" spans="2:17" ht="16.5">
      <c r="B13" s="22" t="s">
        <v>480</v>
      </c>
      <c r="C13" s="23" t="s">
        <v>481</v>
      </c>
      <c r="D13" s="24" t="s">
        <v>479</v>
      </c>
      <c r="E13" s="20">
        <v>37.294773036675529</v>
      </c>
      <c r="F13" s="20">
        <v>47.346386950433256</v>
      </c>
      <c r="G13" s="20">
        <v>21.669616950973868</v>
      </c>
      <c r="H13" s="20">
        <v>0</v>
      </c>
      <c r="I13" s="20">
        <v>0</v>
      </c>
      <c r="J13" s="20">
        <v>16.274858189463615</v>
      </c>
      <c r="K13" s="20">
        <v>12.989830707669258</v>
      </c>
      <c r="L13" s="20">
        <v>4.6830909242630003</v>
      </c>
      <c r="M13" s="20">
        <v>6.6391940307915212</v>
      </c>
      <c r="N13" s="20">
        <v>23.200263912320136</v>
      </c>
      <c r="O13" s="20">
        <v>207.40927226897142</v>
      </c>
      <c r="P13" s="20">
        <v>70.397348421335224</v>
      </c>
      <c r="Q13" s="21">
        <f t="shared" si="0"/>
        <v>447.90463539289681</v>
      </c>
    </row>
    <row r="14" spans="2:17" ht="16.5">
      <c r="B14" s="25" t="s">
        <v>482</v>
      </c>
      <c r="C14" s="23" t="s">
        <v>483</v>
      </c>
      <c r="D14" s="24" t="s">
        <v>479</v>
      </c>
      <c r="E14" s="20">
        <v>2808.3499629657235</v>
      </c>
      <c r="F14" s="20">
        <v>3048.7436155369678</v>
      </c>
      <c r="G14" s="20">
        <v>3606.2724071378957</v>
      </c>
      <c r="H14" s="20">
        <v>3616.9306158386867</v>
      </c>
      <c r="I14" s="20">
        <v>3770.906323095719</v>
      </c>
      <c r="J14" s="20">
        <v>3589.0495929537215</v>
      </c>
      <c r="K14" s="20">
        <v>3731.477303221146</v>
      </c>
      <c r="L14" s="20">
        <v>3763.6920182593863</v>
      </c>
      <c r="M14" s="20">
        <v>3497.1192227183083</v>
      </c>
      <c r="N14" s="20">
        <v>3528.2019677370436</v>
      </c>
      <c r="O14" s="20">
        <v>1810.3672783873085</v>
      </c>
      <c r="P14" s="20">
        <v>2651.5227945238748</v>
      </c>
      <c r="Q14" s="21">
        <f t="shared" si="0"/>
        <v>39422.633102375781</v>
      </c>
    </row>
    <row r="15" spans="2:17">
      <c r="B15" s="25" t="s">
        <v>484</v>
      </c>
      <c r="C15" s="23"/>
      <c r="D15" s="24" t="s">
        <v>479</v>
      </c>
      <c r="E15" s="20">
        <v>2554.183296299057</v>
      </c>
      <c r="F15" s="20">
        <v>2794.5769488703013</v>
      </c>
      <c r="G15" s="20">
        <v>3352.1057404712292</v>
      </c>
      <c r="H15" s="20">
        <v>3362.7639491720201</v>
      </c>
      <c r="I15" s="20">
        <v>3516.7396564290525</v>
      </c>
      <c r="J15" s="20">
        <v>3334.8829262870549</v>
      </c>
      <c r="K15" s="20">
        <v>3477.3106365544795</v>
      </c>
      <c r="L15" s="20">
        <v>3509.5253515927197</v>
      </c>
      <c r="M15" s="20">
        <v>3242.9525560516417</v>
      </c>
      <c r="N15" s="20">
        <v>3274.035301070377</v>
      </c>
      <c r="O15" s="20">
        <v>1556.200611720642</v>
      </c>
      <c r="P15" s="20">
        <v>2397.3561278572083</v>
      </c>
      <c r="Q15" s="21">
        <f t="shared" si="0"/>
        <v>36372.633102375781</v>
      </c>
    </row>
    <row r="16" spans="2:17">
      <c r="B16" s="26" t="s">
        <v>485</v>
      </c>
      <c r="C16" s="27"/>
      <c r="D16" s="24" t="s">
        <v>479</v>
      </c>
      <c r="E16" s="20">
        <f t="shared" ref="E16:I16" si="1">3.05*1000/(12)</f>
        <v>254.16666666666666</v>
      </c>
      <c r="F16" s="20">
        <f t="shared" si="1"/>
        <v>254.16666666666666</v>
      </c>
      <c r="G16" s="20">
        <f t="shared" si="1"/>
        <v>254.16666666666666</v>
      </c>
      <c r="H16" s="20">
        <f t="shared" si="1"/>
        <v>254.16666666666666</v>
      </c>
      <c r="I16" s="20">
        <f t="shared" si="1"/>
        <v>254.16666666666666</v>
      </c>
      <c r="J16" s="20">
        <f>3.05*1000/(12)</f>
        <v>254.16666666666666</v>
      </c>
      <c r="K16" s="20">
        <f>3.05*1000/(12)</f>
        <v>254.16666666666666</v>
      </c>
      <c r="L16" s="20">
        <f t="shared" ref="L16:P16" si="2">3.05*1000/(12)</f>
        <v>254.16666666666666</v>
      </c>
      <c r="M16" s="20">
        <f t="shared" si="2"/>
        <v>254.16666666666666</v>
      </c>
      <c r="N16" s="20">
        <f t="shared" si="2"/>
        <v>254.16666666666666</v>
      </c>
      <c r="O16" s="20">
        <f t="shared" si="2"/>
        <v>254.16666666666666</v>
      </c>
      <c r="P16" s="20">
        <f t="shared" si="2"/>
        <v>254.16666666666666</v>
      </c>
      <c r="Q16" s="21">
        <f t="shared" si="0"/>
        <v>3049.9999999999995</v>
      </c>
    </row>
    <row r="17" spans="2:23">
      <c r="B17" s="28" t="s">
        <v>337</v>
      </c>
      <c r="C17" s="29"/>
      <c r="D17" s="30" t="s">
        <v>479</v>
      </c>
      <c r="E17" s="30">
        <f t="shared" ref="E17:P17" si="3">+E12+E13-E14</f>
        <v>17056.955393658598</v>
      </c>
      <c r="F17" s="30">
        <f t="shared" si="3"/>
        <v>18410.690466070315</v>
      </c>
      <c r="G17" s="30">
        <f t="shared" si="3"/>
        <v>24523.146816616973</v>
      </c>
      <c r="H17" s="30">
        <f t="shared" si="3"/>
        <v>24260.122282476743</v>
      </c>
      <c r="I17" s="30">
        <f t="shared" si="3"/>
        <v>25524.182164453108</v>
      </c>
      <c r="J17" s="30">
        <f t="shared" si="3"/>
        <v>23841.997705055077</v>
      </c>
      <c r="K17" s="30">
        <f t="shared" si="3"/>
        <v>25495.028790609082</v>
      </c>
      <c r="L17" s="30">
        <f t="shared" si="3"/>
        <v>25868.147994417806</v>
      </c>
      <c r="M17" s="30">
        <f t="shared" si="3"/>
        <v>22978.298089392621</v>
      </c>
      <c r="N17" s="30">
        <f t="shared" si="3"/>
        <v>21263.923737703597</v>
      </c>
      <c r="O17" s="30">
        <f t="shared" si="3"/>
        <v>8173.4711498488978</v>
      </c>
      <c r="P17" s="30">
        <f t="shared" si="3"/>
        <v>6391.3716521182851</v>
      </c>
      <c r="Q17" s="31">
        <f t="shared" si="0"/>
        <v>243787.33624242109</v>
      </c>
    </row>
    <row r="18" spans="2:23">
      <c r="B18" s="32"/>
    </row>
    <row r="19" spans="2:23">
      <c r="B19" s="11" t="s">
        <v>486</v>
      </c>
      <c r="C19" s="12"/>
      <c r="D19" s="33" t="s">
        <v>487</v>
      </c>
      <c r="E19" s="34">
        <v>153.03</v>
      </c>
      <c r="F19" s="34">
        <v>44.2</v>
      </c>
      <c r="G19" s="34">
        <v>21.67</v>
      </c>
      <c r="H19" s="34">
        <v>0</v>
      </c>
      <c r="I19" s="34">
        <v>0</v>
      </c>
      <c r="J19" s="34">
        <v>20.14</v>
      </c>
      <c r="K19" s="34">
        <v>13.2</v>
      </c>
      <c r="L19" s="34">
        <v>2.23</v>
      </c>
      <c r="M19" s="34">
        <v>3.27</v>
      </c>
      <c r="N19" s="34">
        <v>8.23</v>
      </c>
      <c r="O19" s="34">
        <f>129.1+240</f>
        <v>369.1</v>
      </c>
      <c r="P19" s="34">
        <v>66.180000000000007</v>
      </c>
      <c r="Q19" s="35">
        <f>SUM(E19:P19)</f>
        <v>701.25</v>
      </c>
    </row>
    <row r="20" spans="2:23">
      <c r="B20" s="11" t="s">
        <v>488</v>
      </c>
      <c r="C20" s="12"/>
      <c r="D20" s="33" t="s">
        <v>489</v>
      </c>
      <c r="E20" s="36">
        <f t="shared" ref="E20:P20" si="4">E19/24</f>
        <v>6.3762499999999998</v>
      </c>
      <c r="F20" s="36">
        <f t="shared" si="4"/>
        <v>1.8416666666666668</v>
      </c>
      <c r="G20" s="36">
        <f t="shared" si="4"/>
        <v>0.9029166666666667</v>
      </c>
      <c r="H20" s="36">
        <f t="shared" si="4"/>
        <v>0</v>
      </c>
      <c r="I20" s="36">
        <f t="shared" si="4"/>
        <v>0</v>
      </c>
      <c r="J20" s="36">
        <f t="shared" si="4"/>
        <v>0.83916666666666673</v>
      </c>
      <c r="K20" s="36">
        <f t="shared" si="4"/>
        <v>0.54999999999999993</v>
      </c>
      <c r="L20" s="36">
        <f t="shared" si="4"/>
        <v>9.2916666666666661E-2</v>
      </c>
      <c r="M20" s="36">
        <f t="shared" si="4"/>
        <v>0.13625000000000001</v>
      </c>
      <c r="N20" s="36">
        <f t="shared" si="4"/>
        <v>0.3429166666666667</v>
      </c>
      <c r="O20" s="36">
        <f t="shared" si="4"/>
        <v>15.379166666666668</v>
      </c>
      <c r="P20" s="36">
        <f t="shared" si="4"/>
        <v>2.7575000000000003</v>
      </c>
      <c r="Q20" s="35">
        <f>SUM(E20:P20)</f>
        <v>29.218750000000007</v>
      </c>
    </row>
    <row r="22" spans="2:23">
      <c r="B22" s="8" t="s">
        <v>490</v>
      </c>
    </row>
    <row r="24" spans="2:23">
      <c r="B24" s="11"/>
      <c r="C24" s="37" t="s">
        <v>491</v>
      </c>
      <c r="D24" s="19"/>
      <c r="E24" s="14" t="s">
        <v>465</v>
      </c>
      <c r="F24" s="14" t="s">
        <v>466</v>
      </c>
      <c r="G24" s="14" t="s">
        <v>467</v>
      </c>
      <c r="H24" s="14" t="s">
        <v>468</v>
      </c>
      <c r="I24" s="14" t="s">
        <v>469</v>
      </c>
      <c r="J24" s="14" t="s">
        <v>470</v>
      </c>
      <c r="K24" s="14" t="s">
        <v>471</v>
      </c>
      <c r="L24" s="14" t="s">
        <v>472</v>
      </c>
      <c r="M24" s="14" t="s">
        <v>473</v>
      </c>
      <c r="N24" s="14" t="s">
        <v>474</v>
      </c>
      <c r="O24" s="14" t="s">
        <v>475</v>
      </c>
      <c r="P24" s="15" t="s">
        <v>476</v>
      </c>
      <c r="Q24" s="16" t="s">
        <v>388</v>
      </c>
    </row>
    <row r="25" spans="2:23">
      <c r="B25" s="17" t="s">
        <v>347</v>
      </c>
      <c r="C25" s="38" t="s">
        <v>492</v>
      </c>
      <c r="D25" s="19" t="s">
        <v>493</v>
      </c>
      <c r="E25" s="39">
        <v>103942.52508722246</v>
      </c>
      <c r="F25" s="39">
        <v>98028.554896057394</v>
      </c>
      <c r="G25" s="39">
        <v>125813.72464277595</v>
      </c>
      <c r="H25" s="39">
        <v>134500.07461547852</v>
      </c>
      <c r="I25" s="39">
        <v>137565.37845611572</v>
      </c>
      <c r="J25" s="39">
        <v>129831.78114888072</v>
      </c>
      <c r="K25" s="39">
        <v>133066.44302108884</v>
      </c>
      <c r="L25" s="39">
        <v>134920.05613592267</v>
      </c>
      <c r="M25" s="39">
        <v>121333.96397401299</v>
      </c>
      <c r="N25" s="39">
        <v>116107.80500607193</v>
      </c>
      <c r="O25" s="39">
        <v>52972.590614153545</v>
      </c>
      <c r="P25" s="39">
        <v>49499.70062555527</v>
      </c>
      <c r="Q25" s="40">
        <f>SUM(E25:P25)</f>
        <v>1337582.598223336</v>
      </c>
    </row>
    <row r="26" spans="2:23">
      <c r="B26" s="22" t="s">
        <v>354</v>
      </c>
      <c r="C26" s="41" t="s">
        <v>494</v>
      </c>
      <c r="D26" s="24" t="s">
        <v>493</v>
      </c>
      <c r="E26" s="42">
        <v>6986.9055200517178</v>
      </c>
      <c r="F26" s="42">
        <v>6651.6192665100098</v>
      </c>
      <c r="G26" s="42">
        <v>5377.3138053407893</v>
      </c>
      <c r="H26" s="42">
        <v>7124.9804792702198</v>
      </c>
      <c r="I26" s="42">
        <v>9590.8478105813265</v>
      </c>
      <c r="J26" s="42">
        <v>9608.745130687952</v>
      </c>
      <c r="K26" s="42">
        <v>9118.6869085729122</v>
      </c>
      <c r="L26" s="42">
        <v>7908.1544401347637</v>
      </c>
      <c r="M26" s="42">
        <v>7481.9650271832943</v>
      </c>
      <c r="N26" s="42">
        <v>8324.7967903912067</v>
      </c>
      <c r="O26" s="42">
        <v>3374.7718458473682</v>
      </c>
      <c r="P26" s="42">
        <v>0</v>
      </c>
      <c r="Q26" s="21">
        <f>SUM(E26:P26)</f>
        <v>81548.78702457156</v>
      </c>
    </row>
    <row r="27" spans="2:23">
      <c r="B27" s="22" t="s">
        <v>495</v>
      </c>
      <c r="C27" s="41" t="s">
        <v>496</v>
      </c>
      <c r="D27" s="43" t="s">
        <v>493</v>
      </c>
      <c r="E27" s="42">
        <v>12041.139122068882</v>
      </c>
      <c r="F27" s="42">
        <v>11603.070043951273</v>
      </c>
      <c r="G27" s="42">
        <v>14183.740837812424</v>
      </c>
      <c r="H27" s="42">
        <v>16570.39292595163</v>
      </c>
      <c r="I27" s="42">
        <v>17934.849628686905</v>
      </c>
      <c r="J27" s="42">
        <v>16882.332623273134</v>
      </c>
      <c r="K27" s="42">
        <v>17795.430986881256</v>
      </c>
      <c r="L27" s="42">
        <v>16494.373925209045</v>
      </c>
      <c r="M27" s="42">
        <v>15507.934810698032</v>
      </c>
      <c r="N27" s="42">
        <v>16056.685271235183</v>
      </c>
      <c r="O27" s="42">
        <v>5668.2787869140511</v>
      </c>
      <c r="P27" s="42">
        <v>3457.9783891439438</v>
      </c>
      <c r="Q27" s="44">
        <f>SUM(E27:P27)</f>
        <v>164196.20735182575</v>
      </c>
      <c r="R27" s="45"/>
    </row>
    <row r="28" spans="2:23">
      <c r="B28" s="12" t="s">
        <v>497</v>
      </c>
      <c r="C28" s="46" t="s">
        <v>498</v>
      </c>
      <c r="D28" s="47"/>
      <c r="E28" s="48"/>
      <c r="F28" s="48"/>
      <c r="G28" s="48"/>
      <c r="H28" s="48"/>
      <c r="I28" s="48"/>
      <c r="J28" s="48"/>
      <c r="K28" s="48"/>
      <c r="L28" s="48"/>
      <c r="M28" s="48"/>
      <c r="N28" s="48"/>
      <c r="O28" s="48"/>
      <c r="P28" s="48"/>
      <c r="Q28" s="48"/>
      <c r="R28" s="49"/>
      <c r="S28" s="49"/>
      <c r="T28" s="49"/>
      <c r="U28" s="49"/>
      <c r="V28" s="49"/>
      <c r="W28" s="47"/>
    </row>
    <row r="29" spans="2:23">
      <c r="T29" s="49"/>
      <c r="W29" s="50"/>
    </row>
    <row r="30" spans="2:23">
      <c r="B30" s="8" t="s">
        <v>499</v>
      </c>
      <c r="C30" s="9"/>
      <c r="D30" s="10"/>
      <c r="E30" s="10"/>
      <c r="F30" s="10"/>
      <c r="G30" s="10"/>
      <c r="H30" s="10"/>
      <c r="I30" s="10"/>
      <c r="J30" s="10"/>
      <c r="K30" s="10"/>
      <c r="L30" s="10"/>
      <c r="M30" s="10"/>
      <c r="N30" s="10"/>
      <c r="O30" s="10"/>
      <c r="P30" s="10"/>
      <c r="Q30" s="51"/>
      <c r="R30" s="51"/>
      <c r="S30" s="51"/>
      <c r="T30" s="49"/>
    </row>
    <row r="31" spans="2:23">
      <c r="K31" s="52"/>
      <c r="L31" s="52"/>
      <c r="M31" s="52"/>
      <c r="N31" s="52"/>
      <c r="O31" s="52"/>
      <c r="P31" s="52"/>
      <c r="T31" s="49"/>
    </row>
    <row r="32" spans="2:23">
      <c r="B32" s="11"/>
      <c r="C32" s="12"/>
      <c r="D32" s="53"/>
      <c r="E32" s="14" t="s">
        <v>465</v>
      </c>
      <c r="F32" s="14" t="s">
        <v>466</v>
      </c>
      <c r="G32" s="14" t="s">
        <v>467</v>
      </c>
      <c r="H32" s="14" t="s">
        <v>468</v>
      </c>
      <c r="I32" s="14" t="s">
        <v>469</v>
      </c>
      <c r="J32" s="14" t="s">
        <v>470</v>
      </c>
      <c r="K32" s="14" t="s">
        <v>471</v>
      </c>
      <c r="L32" s="14" t="s">
        <v>472</v>
      </c>
      <c r="M32" s="14" t="s">
        <v>473</v>
      </c>
      <c r="N32" s="14" t="s">
        <v>474</v>
      </c>
      <c r="O32" s="14" t="s">
        <v>475</v>
      </c>
      <c r="P32" s="15" t="s">
        <v>476</v>
      </c>
      <c r="Q32" s="54" t="s">
        <v>388</v>
      </c>
    </row>
    <row r="33" spans="2:23" ht="14.25">
      <c r="B33" s="55" t="s">
        <v>500</v>
      </c>
      <c r="C33" s="56" t="s">
        <v>501</v>
      </c>
      <c r="D33" s="57" t="s">
        <v>493</v>
      </c>
      <c r="E33" s="623">
        <f>E36+E37</f>
        <v>8333.9187687499998</v>
      </c>
      <c r="F33" s="623">
        <f>F36+F37</f>
        <v>10257.5597153125</v>
      </c>
      <c r="G33" s="623">
        <f t="shared" ref="G33:P33" si="5">G36+G37</f>
        <v>10399.69227125</v>
      </c>
      <c r="H33" s="623">
        <f t="shared" si="5"/>
        <v>12207.691956250001</v>
      </c>
      <c r="I33" s="623">
        <f t="shared" si="5"/>
        <v>14393.311157812501</v>
      </c>
      <c r="J33" s="623">
        <f t="shared" si="5"/>
        <v>12949.743700937501</v>
      </c>
      <c r="K33" s="623">
        <f t="shared" si="5"/>
        <v>13634.298092499999</v>
      </c>
      <c r="L33" s="623">
        <f t="shared" si="5"/>
        <v>17353.14</v>
      </c>
      <c r="M33" s="623">
        <f t="shared" si="5"/>
        <v>10404.11960625</v>
      </c>
      <c r="N33" s="623">
        <f t="shared" si="5"/>
        <v>11206.107099999999</v>
      </c>
      <c r="O33" s="623">
        <f t="shared" si="5"/>
        <v>6370.1523556249995</v>
      </c>
      <c r="P33" s="623">
        <f t="shared" si="5"/>
        <v>1208.5</v>
      </c>
      <c r="Q33" s="21">
        <f t="shared" ref="Q33:Q45" si="6">SUM(E33:P33)</f>
        <v>128718.2347246875</v>
      </c>
    </row>
    <row r="34" spans="2:23">
      <c r="B34" s="55"/>
      <c r="C34" s="56"/>
      <c r="D34" s="57"/>
      <c r="E34" s="753">
        <f>E39+E36</f>
        <v>7989.7228303124994</v>
      </c>
      <c r="F34" s="753">
        <f t="shared" ref="F34:P34" si="7">F39+F36</f>
        <v>9888.9317295468754</v>
      </c>
      <c r="G34" s="753">
        <f t="shared" si="7"/>
        <v>10399.69227125</v>
      </c>
      <c r="H34" s="753">
        <f t="shared" si="7"/>
        <v>12207.691956250001</v>
      </c>
      <c r="I34" s="753">
        <f t="shared" si="7"/>
        <v>14393.311157812501</v>
      </c>
      <c r="J34" s="753">
        <f t="shared" si="7"/>
        <v>12949.743700937501</v>
      </c>
      <c r="K34" s="753">
        <f t="shared" si="7"/>
        <v>13634.298092499999</v>
      </c>
      <c r="L34" s="753">
        <f t="shared" si="7"/>
        <v>17353.14</v>
      </c>
      <c r="M34" s="753">
        <f t="shared" si="7"/>
        <v>10404.11960625</v>
      </c>
      <c r="N34" s="753">
        <f t="shared" si="7"/>
        <v>11206.107099999999</v>
      </c>
      <c r="O34" s="753">
        <f t="shared" si="7"/>
        <v>6370.1523556249995</v>
      </c>
      <c r="P34" s="753">
        <f t="shared" si="7"/>
        <v>1208.5</v>
      </c>
      <c r="Q34" s="21"/>
      <c r="R34" s="4" t="s">
        <v>619</v>
      </c>
    </row>
    <row r="35" spans="2:23">
      <c r="B35" s="55"/>
      <c r="C35" s="56"/>
      <c r="D35" s="57"/>
      <c r="E35" s="755">
        <f>E36+E38</f>
        <v>8678.1147071875002</v>
      </c>
      <c r="F35" s="755">
        <f>F36+F38</f>
        <v>10626.187701078125</v>
      </c>
      <c r="G35" s="755"/>
      <c r="H35" s="755"/>
      <c r="I35" s="755"/>
      <c r="J35" s="755"/>
      <c r="K35" s="755"/>
      <c r="L35" s="755"/>
      <c r="M35" s="755"/>
      <c r="N35" s="755"/>
      <c r="O35" s="755"/>
      <c r="P35" s="755"/>
      <c r="Q35" s="21"/>
      <c r="R35" s="4" t="s">
        <v>617</v>
      </c>
    </row>
    <row r="36" spans="2:23">
      <c r="B36" s="55" t="s">
        <v>502</v>
      </c>
      <c r="C36" s="56"/>
      <c r="D36" s="57"/>
      <c r="E36" s="624">
        <v>1450</v>
      </c>
      <c r="F36" s="624">
        <v>2885</v>
      </c>
      <c r="G36" s="624">
        <v>2893</v>
      </c>
      <c r="H36" s="624">
        <v>2311</v>
      </c>
      <c r="I36" s="624">
        <v>2059</v>
      </c>
      <c r="J36" s="624">
        <v>3069</v>
      </c>
      <c r="K36" s="624">
        <v>3004</v>
      </c>
      <c r="L36" s="624">
        <v>2964</v>
      </c>
      <c r="M36" s="624">
        <v>2369</v>
      </c>
      <c r="N36" s="624">
        <v>1617</v>
      </c>
      <c r="O36" s="624">
        <v>1832</v>
      </c>
      <c r="P36" s="626">
        <v>963</v>
      </c>
      <c r="Q36" s="21">
        <f t="shared" si="6"/>
        <v>27416</v>
      </c>
    </row>
    <row r="37" spans="2:23">
      <c r="B37" s="55" t="s">
        <v>503</v>
      </c>
      <c r="C37" s="56"/>
      <c r="D37" s="57"/>
      <c r="E37" s="660">
        <v>6883.9187687499998</v>
      </c>
      <c r="F37" s="660">
        <v>7372.5597153125</v>
      </c>
      <c r="G37" s="624">
        <v>7506.69227125</v>
      </c>
      <c r="H37" s="624">
        <v>9896.6919562500007</v>
      </c>
      <c r="I37" s="624">
        <v>12334.311157812501</v>
      </c>
      <c r="J37" s="624">
        <v>9880.7437009375008</v>
      </c>
      <c r="K37" s="624">
        <v>10630.298092499999</v>
      </c>
      <c r="L37" s="624">
        <v>14389.14</v>
      </c>
      <c r="M37" s="624">
        <v>8035.1196062500003</v>
      </c>
      <c r="N37" s="624">
        <v>9589.1070999999993</v>
      </c>
      <c r="O37" s="624">
        <v>4538.1523556249995</v>
      </c>
      <c r="P37" s="626">
        <v>245.5</v>
      </c>
      <c r="Q37" s="21">
        <f t="shared" si="6"/>
        <v>101302.2347246875</v>
      </c>
      <c r="R37" s="52"/>
    </row>
    <row r="38" spans="2:23">
      <c r="B38" s="55"/>
      <c r="C38" s="56"/>
      <c r="D38" s="57" t="s">
        <v>578</v>
      </c>
      <c r="E38" s="624">
        <f>E37*(1+0.05)</f>
        <v>7228.1147071875002</v>
      </c>
      <c r="F38" s="624">
        <f>F37*(1+0.05)</f>
        <v>7741.1877010781254</v>
      </c>
      <c r="G38" s="624">
        <f>G37</f>
        <v>7506.69227125</v>
      </c>
      <c r="H38" s="624">
        <f t="shared" ref="H38:P38" si="8">H37</f>
        <v>9896.6919562500007</v>
      </c>
      <c r="I38" s="624">
        <f t="shared" si="8"/>
        <v>12334.311157812501</v>
      </c>
      <c r="J38" s="624">
        <f t="shared" si="8"/>
        <v>9880.7437009375008</v>
      </c>
      <c r="K38" s="624">
        <f t="shared" si="8"/>
        <v>10630.298092499999</v>
      </c>
      <c r="L38" s="624">
        <f t="shared" si="8"/>
        <v>14389.14</v>
      </c>
      <c r="M38" s="624">
        <f t="shared" si="8"/>
        <v>8035.1196062500003</v>
      </c>
      <c r="N38" s="624">
        <f t="shared" si="8"/>
        <v>9589.1070999999993</v>
      </c>
      <c r="O38" s="624">
        <f t="shared" si="8"/>
        <v>4538.1523556249995</v>
      </c>
      <c r="P38" s="624">
        <f t="shared" si="8"/>
        <v>245.5</v>
      </c>
      <c r="Q38" s="662">
        <f t="shared" si="6"/>
        <v>102015.05864889061</v>
      </c>
    </row>
    <row r="39" spans="2:23">
      <c r="B39" s="55"/>
      <c r="C39" s="56"/>
      <c r="D39" s="57" t="s">
        <v>618</v>
      </c>
      <c r="E39" s="624">
        <f>E37*(1-0.05)</f>
        <v>6539.7228303124994</v>
      </c>
      <c r="F39" s="624">
        <f>F37*(1-0.05)</f>
        <v>7003.9317295468745</v>
      </c>
      <c r="G39" s="624">
        <f>G37</f>
        <v>7506.69227125</v>
      </c>
      <c r="H39" s="624">
        <f t="shared" ref="H39:P39" si="9">H37</f>
        <v>9896.6919562500007</v>
      </c>
      <c r="I39" s="624">
        <f t="shared" si="9"/>
        <v>12334.311157812501</v>
      </c>
      <c r="J39" s="624">
        <f t="shared" si="9"/>
        <v>9880.7437009375008</v>
      </c>
      <c r="K39" s="624">
        <f t="shared" si="9"/>
        <v>10630.298092499999</v>
      </c>
      <c r="L39" s="624">
        <f t="shared" si="9"/>
        <v>14389.14</v>
      </c>
      <c r="M39" s="624">
        <f t="shared" si="9"/>
        <v>8035.1196062500003</v>
      </c>
      <c r="N39" s="624">
        <f t="shared" si="9"/>
        <v>9589.1070999999993</v>
      </c>
      <c r="O39" s="624">
        <f t="shared" si="9"/>
        <v>4538.1523556249995</v>
      </c>
      <c r="P39" s="624">
        <f t="shared" si="9"/>
        <v>245.5</v>
      </c>
      <c r="Q39" s="662">
        <f t="shared" si="6"/>
        <v>100589.41080048436</v>
      </c>
    </row>
    <row r="40" spans="2:23" ht="14.25">
      <c r="B40" s="25" t="s">
        <v>504</v>
      </c>
      <c r="C40" s="56" t="s">
        <v>119</v>
      </c>
      <c r="D40" s="57" t="s">
        <v>493</v>
      </c>
      <c r="E40" s="655">
        <v>19298.64</v>
      </c>
      <c r="F40" s="655">
        <v>15113.4</v>
      </c>
      <c r="G40" s="623">
        <v>20371.62</v>
      </c>
      <c r="H40" s="623">
        <v>24208.701000000001</v>
      </c>
      <c r="I40" s="623">
        <v>27094.822</v>
      </c>
      <c r="J40" s="623">
        <v>26945.074000000001</v>
      </c>
      <c r="K40" s="623">
        <v>28200.240000000002</v>
      </c>
      <c r="L40" s="623">
        <v>28165.16</v>
      </c>
      <c r="M40" s="623">
        <v>33604.767</v>
      </c>
      <c r="N40" s="623">
        <v>34065.606</v>
      </c>
      <c r="O40" s="623">
        <v>13634.02</v>
      </c>
      <c r="P40" s="623">
        <v>4771.57</v>
      </c>
      <c r="Q40" s="21">
        <f t="shared" si="6"/>
        <v>275473.62</v>
      </c>
    </row>
    <row r="41" spans="2:23">
      <c r="B41" s="25"/>
      <c r="C41" s="56"/>
      <c r="D41" s="57" t="s">
        <v>578</v>
      </c>
      <c r="E41" s="715">
        <f>E40*(1+0.05)</f>
        <v>20263.572</v>
      </c>
      <c r="F41" s="715">
        <f>F40*(1+0.05)</f>
        <v>15869.07</v>
      </c>
      <c r="G41" s="715">
        <f>G40</f>
        <v>20371.62</v>
      </c>
      <c r="H41" s="715">
        <f t="shared" ref="H41:P41" si="10">H40</f>
        <v>24208.701000000001</v>
      </c>
      <c r="I41" s="715">
        <f t="shared" si="10"/>
        <v>27094.822</v>
      </c>
      <c r="J41" s="715">
        <f t="shared" si="10"/>
        <v>26945.074000000001</v>
      </c>
      <c r="K41" s="715">
        <f t="shared" si="10"/>
        <v>28200.240000000002</v>
      </c>
      <c r="L41" s="715">
        <f t="shared" si="10"/>
        <v>28165.16</v>
      </c>
      <c r="M41" s="715">
        <f t="shared" si="10"/>
        <v>33604.767</v>
      </c>
      <c r="N41" s="715">
        <f t="shared" si="10"/>
        <v>34065.606</v>
      </c>
      <c r="O41" s="715">
        <f t="shared" si="10"/>
        <v>13634.02</v>
      </c>
      <c r="P41" s="715">
        <f t="shared" si="10"/>
        <v>4771.57</v>
      </c>
      <c r="Q41" s="716">
        <f t="shared" si="6"/>
        <v>277194.22200000001</v>
      </c>
      <c r="R41" s="4" t="s">
        <v>578</v>
      </c>
    </row>
    <row r="42" spans="2:23">
      <c r="B42" s="25"/>
      <c r="C42" s="56"/>
      <c r="D42" s="57" t="s">
        <v>618</v>
      </c>
      <c r="E42" s="753">
        <f>E40*(1-0.05)</f>
        <v>18333.707999999999</v>
      </c>
      <c r="F42" s="753">
        <f>F40*(1-0.05)</f>
        <v>14357.73</v>
      </c>
      <c r="G42" s="753">
        <f>G40</f>
        <v>20371.62</v>
      </c>
      <c r="H42" s="753">
        <f t="shared" ref="H42:P42" si="11">H40</f>
        <v>24208.701000000001</v>
      </c>
      <c r="I42" s="753">
        <f t="shared" si="11"/>
        <v>27094.822</v>
      </c>
      <c r="J42" s="753">
        <f t="shared" si="11"/>
        <v>26945.074000000001</v>
      </c>
      <c r="K42" s="753">
        <f t="shared" si="11"/>
        <v>28200.240000000002</v>
      </c>
      <c r="L42" s="753">
        <f t="shared" si="11"/>
        <v>28165.16</v>
      </c>
      <c r="M42" s="753">
        <f t="shared" si="11"/>
        <v>33604.767</v>
      </c>
      <c r="N42" s="753">
        <f t="shared" si="11"/>
        <v>34065.606</v>
      </c>
      <c r="O42" s="753">
        <f t="shared" si="11"/>
        <v>13634.02</v>
      </c>
      <c r="P42" s="753">
        <f t="shared" si="11"/>
        <v>4771.57</v>
      </c>
      <c r="Q42" s="754">
        <f t="shared" si="6"/>
        <v>273753.01799999998</v>
      </c>
    </row>
    <row r="43" spans="2:23" ht="14.25">
      <c r="B43" s="26" t="s">
        <v>505</v>
      </c>
      <c r="C43" s="59" t="s">
        <v>121</v>
      </c>
      <c r="D43" s="60" t="s">
        <v>493</v>
      </c>
      <c r="E43" s="625">
        <v>0</v>
      </c>
      <c r="F43" s="625">
        <v>0</v>
      </c>
      <c r="G43" s="625">
        <v>0</v>
      </c>
      <c r="H43" s="625">
        <v>0</v>
      </c>
      <c r="I43" s="625">
        <v>0</v>
      </c>
      <c r="J43" s="625">
        <v>0</v>
      </c>
      <c r="K43" s="625">
        <v>0</v>
      </c>
      <c r="L43" s="625">
        <v>0</v>
      </c>
      <c r="M43" s="625">
        <v>0</v>
      </c>
      <c r="N43" s="625">
        <v>0</v>
      </c>
      <c r="O43" s="625">
        <v>0</v>
      </c>
      <c r="P43" s="625">
        <v>0</v>
      </c>
      <c r="Q43" s="21">
        <f t="shared" si="6"/>
        <v>0</v>
      </c>
    </row>
    <row r="44" spans="2:23">
      <c r="B44" s="62" t="s">
        <v>388</v>
      </c>
      <c r="C44" s="63"/>
      <c r="D44" s="64" t="s">
        <v>493</v>
      </c>
      <c r="E44" s="64">
        <f t="shared" ref="E44:P44" si="12">E33+E40+E43</f>
        <v>27632.558768750001</v>
      </c>
      <c r="F44" s="65">
        <f t="shared" si="12"/>
        <v>25370.9597153125</v>
      </c>
      <c r="G44" s="65">
        <f t="shared" si="12"/>
        <v>30771.312271249997</v>
      </c>
      <c r="H44" s="65">
        <f t="shared" si="12"/>
        <v>36416.392956249998</v>
      </c>
      <c r="I44" s="65">
        <f t="shared" si="12"/>
        <v>41488.133157812503</v>
      </c>
      <c r="J44" s="65">
        <f t="shared" si="12"/>
        <v>39894.817700937499</v>
      </c>
      <c r="K44" s="65">
        <f t="shared" si="12"/>
        <v>41834.538092499999</v>
      </c>
      <c r="L44" s="65">
        <f t="shared" si="12"/>
        <v>45518.3</v>
      </c>
      <c r="M44" s="65">
        <f t="shared" si="12"/>
        <v>44008.886606250002</v>
      </c>
      <c r="N44" s="65">
        <f t="shared" si="12"/>
        <v>45271.713100000001</v>
      </c>
      <c r="O44" s="65">
        <f t="shared" si="12"/>
        <v>20004.172355625</v>
      </c>
      <c r="P44" s="54">
        <f t="shared" si="12"/>
        <v>5980.07</v>
      </c>
      <c r="Q44" s="31">
        <f t="shared" si="6"/>
        <v>404191.85472468752</v>
      </c>
    </row>
    <row r="45" spans="2:23">
      <c r="B45" s="66"/>
      <c r="C45" s="66"/>
      <c r="D45" s="67"/>
      <c r="E45" s="737">
        <f>E33+E41+E43</f>
        <v>28597.490768750002</v>
      </c>
      <c r="F45" s="737">
        <f t="shared" ref="F45:P45" si="13">F33+F41+F43</f>
        <v>26126.629715312498</v>
      </c>
      <c r="G45" s="737">
        <f t="shared" si="13"/>
        <v>30771.312271249997</v>
      </c>
      <c r="H45" s="737">
        <f t="shared" si="13"/>
        <v>36416.392956249998</v>
      </c>
      <c r="I45" s="737">
        <f t="shared" si="13"/>
        <v>41488.133157812503</v>
      </c>
      <c r="J45" s="737">
        <f t="shared" si="13"/>
        <v>39894.817700937499</v>
      </c>
      <c r="K45" s="737">
        <f t="shared" si="13"/>
        <v>41834.538092499999</v>
      </c>
      <c r="L45" s="737">
        <f t="shared" si="13"/>
        <v>45518.3</v>
      </c>
      <c r="M45" s="737">
        <f t="shared" si="13"/>
        <v>44008.886606250002</v>
      </c>
      <c r="N45" s="737">
        <f t="shared" si="13"/>
        <v>45271.713100000001</v>
      </c>
      <c r="O45" s="737">
        <f t="shared" si="13"/>
        <v>20004.172355625</v>
      </c>
      <c r="P45" s="737">
        <f t="shared" si="13"/>
        <v>5980.07</v>
      </c>
      <c r="Q45" s="31">
        <f t="shared" si="6"/>
        <v>405912.45672468754</v>
      </c>
      <c r="R45" s="68" t="s">
        <v>584</v>
      </c>
      <c r="S45" s="68"/>
      <c r="T45" s="68"/>
      <c r="U45" s="68"/>
      <c r="V45" s="68"/>
      <c r="W45" s="61"/>
    </row>
    <row r="46" spans="2:23">
      <c r="B46" s="265" t="s">
        <v>577</v>
      </c>
      <c r="C46" s="66"/>
      <c r="D46" s="67"/>
      <c r="E46" s="737"/>
      <c r="F46" s="737"/>
      <c r="G46" s="737"/>
      <c r="H46" s="737"/>
      <c r="I46" s="737"/>
      <c r="J46" s="737"/>
      <c r="K46" s="737"/>
      <c r="L46" s="737"/>
      <c r="M46" s="737"/>
      <c r="N46" s="737"/>
      <c r="O46" s="737"/>
      <c r="P46" s="737"/>
      <c r="Q46" s="75"/>
      <c r="R46" s="68"/>
      <c r="S46" s="68"/>
      <c r="T46" s="68"/>
      <c r="U46" s="68"/>
      <c r="V46" s="68"/>
      <c r="W46" s="61"/>
    </row>
    <row r="47" spans="2:23">
      <c r="B47" s="265" t="s">
        <v>575</v>
      </c>
      <c r="C47" s="66"/>
      <c r="D47" s="67"/>
      <c r="E47" s="737"/>
      <c r="F47" s="737"/>
      <c r="G47" s="737"/>
      <c r="H47" s="737"/>
      <c r="I47" s="737"/>
      <c r="J47" s="737"/>
      <c r="K47" s="737"/>
      <c r="L47" s="737"/>
      <c r="M47" s="737"/>
      <c r="N47" s="737"/>
      <c r="O47" s="737"/>
      <c r="P47" s="737"/>
      <c r="Q47" s="75"/>
      <c r="R47" s="68"/>
      <c r="S47" s="68"/>
      <c r="T47" s="68"/>
      <c r="U47" s="68"/>
      <c r="V47" s="68"/>
      <c r="W47" s="61"/>
    </row>
    <row r="48" spans="2:23">
      <c r="B48" s="265" t="s">
        <v>576</v>
      </c>
    </row>
    <row r="49" spans="2:23">
      <c r="B49" s="4" t="s">
        <v>621</v>
      </c>
      <c r="C49" s="9"/>
      <c r="D49" s="10"/>
      <c r="E49" s="70"/>
      <c r="F49" s="70"/>
      <c r="G49" s="70"/>
      <c r="H49" s="70"/>
      <c r="I49" s="70"/>
      <c r="J49" s="70"/>
      <c r="K49" s="70"/>
      <c r="L49" s="70"/>
      <c r="M49" s="70"/>
      <c r="N49" s="70"/>
      <c r="O49" s="70"/>
      <c r="P49" s="70"/>
      <c r="Q49" s="71"/>
      <c r="R49" s="72"/>
      <c r="S49" s="72"/>
      <c r="T49" s="72"/>
      <c r="U49" s="71"/>
      <c r="V49" s="71"/>
      <c r="W49" s="61"/>
    </row>
    <row r="50" spans="2:23">
      <c r="C50" s="9"/>
      <c r="D50" s="10"/>
      <c r="E50" s="70"/>
      <c r="F50" s="70"/>
      <c r="G50" s="70"/>
      <c r="H50" s="70"/>
      <c r="I50" s="70"/>
      <c r="J50" s="70"/>
      <c r="K50" s="70"/>
      <c r="L50" s="70"/>
      <c r="M50" s="70"/>
      <c r="N50" s="70"/>
      <c r="O50" s="70"/>
      <c r="P50" s="70"/>
      <c r="Q50" s="71"/>
      <c r="R50" s="72"/>
      <c r="S50" s="72"/>
      <c r="T50" s="72"/>
      <c r="U50" s="71"/>
      <c r="V50" s="71"/>
      <c r="W50" s="61"/>
    </row>
    <row r="51" spans="2:23">
      <c r="B51" s="73" t="s">
        <v>506</v>
      </c>
      <c r="C51" s="66"/>
      <c r="D51" s="67"/>
      <c r="E51" s="67"/>
      <c r="F51" s="67"/>
      <c r="G51" s="67"/>
      <c r="H51" s="67"/>
      <c r="I51" s="67"/>
      <c r="J51" s="67"/>
      <c r="K51" s="74"/>
      <c r="L51" s="74"/>
      <c r="M51" s="74"/>
      <c r="N51" s="74"/>
      <c r="O51" s="74"/>
      <c r="P51" s="74"/>
      <c r="Q51" s="74"/>
      <c r="R51" s="74"/>
      <c r="S51" s="74"/>
      <c r="T51" s="74"/>
      <c r="U51" s="74"/>
      <c r="V51" s="74"/>
      <c r="W51" s="75"/>
    </row>
    <row r="52" spans="2:23">
      <c r="B52" s="76"/>
      <c r="C52" s="62"/>
      <c r="D52" s="63"/>
      <c r="E52" s="14" t="s">
        <v>465</v>
      </c>
      <c r="F52" s="14" t="s">
        <v>466</v>
      </c>
      <c r="G52" s="14" t="s">
        <v>467</v>
      </c>
      <c r="H52" s="14" t="s">
        <v>468</v>
      </c>
      <c r="I52" s="14" t="s">
        <v>469</v>
      </c>
      <c r="J52" s="14" t="s">
        <v>470</v>
      </c>
      <c r="K52" s="14" t="s">
        <v>471</v>
      </c>
      <c r="L52" s="14" t="s">
        <v>472</v>
      </c>
      <c r="M52" s="14" t="s">
        <v>473</v>
      </c>
      <c r="N52" s="14" t="s">
        <v>474</v>
      </c>
      <c r="O52" s="14" t="s">
        <v>475</v>
      </c>
      <c r="P52" s="15" t="s">
        <v>476</v>
      </c>
      <c r="Q52" s="54" t="s">
        <v>388</v>
      </c>
    </row>
    <row r="53" spans="2:23">
      <c r="B53" s="653" t="s">
        <v>507</v>
      </c>
      <c r="C53" s="22"/>
      <c r="D53" s="78" t="s">
        <v>114</v>
      </c>
      <c r="E53" s="654">
        <v>0.45041233851024548</v>
      </c>
      <c r="F53" s="654">
        <v>0.45419802470165355</v>
      </c>
      <c r="G53" s="654">
        <v>0.42841577565618344</v>
      </c>
      <c r="H53" s="654">
        <v>0.45804362052651626</v>
      </c>
      <c r="I53" s="654">
        <v>0.48999755870215683</v>
      </c>
      <c r="J53" s="654">
        <v>0.51406015518758896</v>
      </c>
      <c r="K53" s="654">
        <v>0.53507941601196085</v>
      </c>
      <c r="L53" s="654">
        <v>0.40998102552605004</v>
      </c>
      <c r="M53" s="654">
        <v>0.52482689832075569</v>
      </c>
      <c r="N53" s="654">
        <v>0.50649595138604597</v>
      </c>
      <c r="O53" s="654">
        <v>0.47597373574303053</v>
      </c>
      <c r="P53" s="654">
        <v>9.8516156568510066E-2</v>
      </c>
      <c r="Q53" s="80">
        <f>AVERAGE(E53:P53)</f>
        <v>0.44550005473672477</v>
      </c>
    </row>
    <row r="54" spans="2:23">
      <c r="B54" s="653" t="s">
        <v>508</v>
      </c>
      <c r="C54" s="22"/>
      <c r="D54" s="78" t="s">
        <v>114</v>
      </c>
      <c r="E54" s="79">
        <v>0.45790521449015475</v>
      </c>
      <c r="F54" s="79">
        <v>0.44978396558579076</v>
      </c>
      <c r="G54" s="654">
        <v>0.41035304628897057</v>
      </c>
      <c r="H54" s="79">
        <v>0.43808028104080027</v>
      </c>
      <c r="I54" s="79">
        <v>0.47536314298515575</v>
      </c>
      <c r="J54" s="79">
        <v>0.49734393327151794</v>
      </c>
      <c r="K54" s="79">
        <v>0.50996348923494772</v>
      </c>
      <c r="L54" s="79">
        <v>0.53612517949998451</v>
      </c>
      <c r="M54" s="79">
        <v>0.521686247891888</v>
      </c>
      <c r="N54" s="79">
        <v>0.49540638594335268</v>
      </c>
      <c r="O54" s="79">
        <v>0.51646219340328925</v>
      </c>
      <c r="P54" s="79">
        <v>0.43008096587834099</v>
      </c>
      <c r="Q54" s="81">
        <f>AVERAGE(E54:P54)</f>
        <v>0.47821283712618273</v>
      </c>
    </row>
    <row r="55" spans="2:23">
      <c r="B55" s="82" t="s">
        <v>509</v>
      </c>
      <c r="C55" s="83"/>
      <c r="D55" s="84" t="s">
        <v>114</v>
      </c>
      <c r="E55" s="85" t="s">
        <v>250</v>
      </c>
      <c r="F55" s="85" t="s">
        <v>250</v>
      </c>
      <c r="G55" s="85" t="s">
        <v>250</v>
      </c>
      <c r="H55" s="85" t="s">
        <v>250</v>
      </c>
      <c r="I55" s="85" t="s">
        <v>250</v>
      </c>
      <c r="J55" s="85" t="s">
        <v>250</v>
      </c>
      <c r="K55" s="86" t="s">
        <v>250</v>
      </c>
      <c r="L55" s="86" t="s">
        <v>250</v>
      </c>
      <c r="M55" s="86" t="s">
        <v>250</v>
      </c>
      <c r="N55" s="86" t="s">
        <v>250</v>
      </c>
      <c r="O55" s="86" t="s">
        <v>250</v>
      </c>
      <c r="P55" s="86" t="s">
        <v>250</v>
      </c>
      <c r="Q55" s="87" t="str">
        <f>IFERROR(AVERAGE(E55:P55),"-")</f>
        <v>-</v>
      </c>
    </row>
    <row r="56" spans="2:23">
      <c r="B56" s="69"/>
      <c r="C56" s="49"/>
      <c r="D56" s="88"/>
      <c r="E56" s="88"/>
      <c r="F56" s="88"/>
      <c r="G56" s="88"/>
      <c r="H56" s="88"/>
      <c r="I56" s="88"/>
      <c r="J56" s="88"/>
      <c r="K56" s="89"/>
      <c r="L56" s="89"/>
      <c r="M56" s="89"/>
      <c r="N56" s="89"/>
      <c r="O56" s="89"/>
      <c r="P56" s="89"/>
      <c r="Q56" s="89"/>
      <c r="R56" s="89"/>
      <c r="S56" s="89"/>
      <c r="T56" s="89"/>
      <c r="U56" s="89"/>
      <c r="V56" s="89"/>
      <c r="W56" s="90"/>
    </row>
    <row r="57" spans="2:23">
      <c r="K57" s="69"/>
      <c r="L57" s="69"/>
      <c r="M57" s="69"/>
    </row>
    <row r="58" spans="2:23">
      <c r="B58" s="91" t="s">
        <v>510</v>
      </c>
      <c r="M58" s="92"/>
      <c r="N58" s="92"/>
      <c r="U58" s="47"/>
      <c r="W58" s="49"/>
    </row>
    <row r="59" spans="2:23" ht="50.85" customHeight="1">
      <c r="B59" s="91"/>
      <c r="E59" s="93" t="s">
        <v>511</v>
      </c>
      <c r="F59" s="94" t="s">
        <v>512</v>
      </c>
      <c r="G59" s="94" t="s">
        <v>585</v>
      </c>
      <c r="M59" s="47"/>
      <c r="O59" s="95"/>
      <c r="Q59" s="49"/>
    </row>
    <row r="60" spans="2:23" ht="22.7" customHeight="1">
      <c r="B60" s="96" t="s">
        <v>513</v>
      </c>
      <c r="C60" s="97" t="s">
        <v>514</v>
      </c>
      <c r="D60" s="98" t="s">
        <v>515</v>
      </c>
      <c r="E60" s="656">
        <f>(4429+4500+4480)/3</f>
        <v>4469.666666666667</v>
      </c>
      <c r="F60" s="687">
        <f>(4387+4545+4372)/3</f>
        <v>4434.666666666667</v>
      </c>
      <c r="G60" s="675"/>
      <c r="H60" s="52"/>
      <c r="M60" s="47"/>
      <c r="Q60" s="49"/>
    </row>
    <row r="61" spans="2:23" ht="22.7" customHeight="1">
      <c r="B61" s="82"/>
      <c r="C61" s="99"/>
      <c r="D61" s="84" t="s">
        <v>268</v>
      </c>
      <c r="E61" s="100">
        <f>E60*4.18*1000/1000000</f>
        <v>18.683206666666663</v>
      </c>
      <c r="F61" s="100">
        <f>F60*4.18*1000/1000000</f>
        <v>18.536906666666663</v>
      </c>
      <c r="G61" s="676">
        <f>AVERAGE(E61:F61)</f>
        <v>18.610056666666665</v>
      </c>
      <c r="H61" s="52"/>
      <c r="I61" s="49"/>
      <c r="J61" s="52"/>
      <c r="K61" s="52"/>
      <c r="L61" s="52"/>
      <c r="Q61" s="49"/>
    </row>
    <row r="62" spans="2:23" ht="22.7" customHeight="1">
      <c r="B62" s="96" t="s">
        <v>516</v>
      </c>
      <c r="C62" s="97" t="s">
        <v>517</v>
      </c>
      <c r="D62" s="98" t="s">
        <v>515</v>
      </c>
      <c r="E62" s="688">
        <f>(4306+4172+4190)/3</f>
        <v>4222.666666666667</v>
      </c>
      <c r="F62" s="687">
        <f>(4450+4385+4469)/3</f>
        <v>4434.666666666667</v>
      </c>
      <c r="G62" s="675">
        <f t="shared" ref="G62:G63" si="14">AVERAGE(E62:F62)</f>
        <v>4328.666666666667</v>
      </c>
      <c r="I62" s="52"/>
      <c r="J62" s="52"/>
      <c r="K62" s="52"/>
      <c r="L62" s="52"/>
      <c r="M62" s="47"/>
      <c r="Q62" s="49"/>
    </row>
    <row r="63" spans="2:23" ht="22.7" customHeight="1">
      <c r="B63" s="82"/>
      <c r="C63" s="99"/>
      <c r="D63" s="84" t="s">
        <v>268</v>
      </c>
      <c r="E63" s="100">
        <f>E62*4.18*1000/1000000</f>
        <v>17.650746666666663</v>
      </c>
      <c r="F63" s="100">
        <f>F62*4.18*1000/1000000</f>
        <v>18.536906666666663</v>
      </c>
      <c r="G63" s="676">
        <f t="shared" si="14"/>
        <v>18.093826666666665</v>
      </c>
      <c r="H63" s="52"/>
      <c r="I63" s="52"/>
      <c r="J63" s="52"/>
      <c r="K63" s="52"/>
      <c r="L63" s="52"/>
      <c r="M63" s="47"/>
      <c r="Q63" s="49"/>
    </row>
    <row r="64" spans="2:23" ht="22.7" customHeight="1">
      <c r="B64" s="77" t="s">
        <v>518</v>
      </c>
      <c r="C64" s="101" t="s">
        <v>519</v>
      </c>
      <c r="D64" s="78" t="s">
        <v>515</v>
      </c>
      <c r="E64" s="102" t="s">
        <v>250</v>
      </c>
      <c r="F64" s="21" t="s">
        <v>250</v>
      </c>
      <c r="G64" s="35"/>
      <c r="I64" s="49"/>
      <c r="J64" s="52"/>
      <c r="K64" s="52"/>
      <c r="L64" s="52"/>
      <c r="M64" s="47"/>
      <c r="Q64" s="49"/>
    </row>
    <row r="65" spans="2:20" ht="22.7" customHeight="1">
      <c r="B65" s="82"/>
      <c r="C65" s="99"/>
      <c r="D65" s="84" t="s">
        <v>268</v>
      </c>
      <c r="E65" s="100">
        <f>+IFERROR(E64*4.18*1000/1000000,0)</f>
        <v>0</v>
      </c>
      <c r="F65" s="100">
        <f>+IFERROR(F64*4.18*1000/1000000,0)</f>
        <v>0</v>
      </c>
      <c r="G65" s="676"/>
      <c r="M65" s="47"/>
      <c r="Q65" s="49"/>
    </row>
    <row r="67" spans="2:20">
      <c r="B67" s="9" t="s">
        <v>520</v>
      </c>
      <c r="C67" s="9"/>
      <c r="D67" s="10"/>
      <c r="E67" s="10"/>
      <c r="F67" s="10"/>
      <c r="H67" s="10"/>
      <c r="I67" s="10"/>
      <c r="J67" s="10"/>
      <c r="K67" s="103"/>
    </row>
    <row r="69" spans="2:20">
      <c r="B69" s="104"/>
      <c r="C69" s="97"/>
      <c r="D69" s="105"/>
      <c r="E69" s="14" t="s">
        <v>465</v>
      </c>
      <c r="F69" s="14" t="s">
        <v>466</v>
      </c>
      <c r="G69" s="14" t="s">
        <v>467</v>
      </c>
      <c r="H69" s="14" t="s">
        <v>468</v>
      </c>
      <c r="I69" s="14" t="s">
        <v>469</v>
      </c>
      <c r="J69" s="14" t="s">
        <v>470</v>
      </c>
      <c r="K69" s="14" t="s">
        <v>471</v>
      </c>
      <c r="L69" s="14" t="s">
        <v>472</v>
      </c>
      <c r="M69" s="14" t="s">
        <v>473</v>
      </c>
      <c r="N69" s="14" t="s">
        <v>474</v>
      </c>
      <c r="O69" s="14" t="s">
        <v>475</v>
      </c>
      <c r="P69" s="15" t="s">
        <v>476</v>
      </c>
      <c r="Q69" s="106" t="s">
        <v>388</v>
      </c>
    </row>
    <row r="70" spans="2:20" ht="14.25">
      <c r="B70" s="96" t="s">
        <v>521</v>
      </c>
      <c r="C70" s="18" t="s">
        <v>427</v>
      </c>
      <c r="D70" s="98" t="s">
        <v>374</v>
      </c>
      <c r="E70" s="107">
        <f>E40+E37</f>
        <v>26182.558768750001</v>
      </c>
      <c r="F70" s="107">
        <f t="shared" ref="F70:P70" si="15">F40+F37</f>
        <v>22485.9597153125</v>
      </c>
      <c r="G70" s="107">
        <f t="shared" si="15"/>
        <v>27878.312271249997</v>
      </c>
      <c r="H70" s="107">
        <f t="shared" si="15"/>
        <v>34105.392956249998</v>
      </c>
      <c r="I70" s="107">
        <f t="shared" si="15"/>
        <v>39429.133157812503</v>
      </c>
      <c r="J70" s="107">
        <f t="shared" si="15"/>
        <v>36825.817700937499</v>
      </c>
      <c r="K70" s="107">
        <f t="shared" si="15"/>
        <v>38830.538092499999</v>
      </c>
      <c r="L70" s="107">
        <f t="shared" si="15"/>
        <v>42554.3</v>
      </c>
      <c r="M70" s="107">
        <f t="shared" si="15"/>
        <v>41639.886606250002</v>
      </c>
      <c r="N70" s="107">
        <f t="shared" si="15"/>
        <v>43654.713100000001</v>
      </c>
      <c r="O70" s="107">
        <f t="shared" si="15"/>
        <v>18172.172355625</v>
      </c>
      <c r="P70" s="107">
        <f t="shared" si="15"/>
        <v>5017.07</v>
      </c>
      <c r="Q70" s="40">
        <f>SUM(E70:P70)</f>
        <v>376775.85472468752</v>
      </c>
    </row>
    <row r="71" spans="2:20">
      <c r="B71" s="77"/>
      <c r="C71" s="23"/>
      <c r="D71" s="78"/>
      <c r="E71" s="663">
        <f>E41+E38</f>
        <v>27491.686707187502</v>
      </c>
      <c r="F71" s="663">
        <f t="shared" ref="F71:P71" si="16">F41+F38</f>
        <v>23610.257701078124</v>
      </c>
      <c r="G71" s="61">
        <f t="shared" si="16"/>
        <v>27878.312271249997</v>
      </c>
      <c r="H71" s="61">
        <f t="shared" si="16"/>
        <v>34105.392956249998</v>
      </c>
      <c r="I71" s="61">
        <f t="shared" si="16"/>
        <v>39429.133157812503</v>
      </c>
      <c r="J71" s="61">
        <f t="shared" si="16"/>
        <v>36825.817700937499</v>
      </c>
      <c r="K71" s="61">
        <f t="shared" si="16"/>
        <v>38830.538092499999</v>
      </c>
      <c r="L71" s="61">
        <f t="shared" si="16"/>
        <v>42554.3</v>
      </c>
      <c r="M71" s="61">
        <f t="shared" si="16"/>
        <v>41639.886606250002</v>
      </c>
      <c r="N71" s="61">
        <f t="shared" si="16"/>
        <v>43654.713100000001</v>
      </c>
      <c r="O71" s="61">
        <f t="shared" si="16"/>
        <v>18172.172355625</v>
      </c>
      <c r="P71" s="61">
        <f t="shared" si="16"/>
        <v>5017.07</v>
      </c>
      <c r="Q71" s="664">
        <f>SUM(E71:P71)</f>
        <v>379209.28064889065</v>
      </c>
      <c r="R71" s="4" t="s">
        <v>578</v>
      </c>
    </row>
    <row r="72" spans="2:20">
      <c r="B72" s="77" t="s">
        <v>523</v>
      </c>
      <c r="C72" s="23" t="s">
        <v>524</v>
      </c>
      <c r="D72" s="78" t="s">
        <v>525</v>
      </c>
      <c r="E72" s="109"/>
      <c r="F72" s="109"/>
      <c r="G72" s="109"/>
      <c r="H72" s="109"/>
      <c r="I72" s="109"/>
      <c r="J72" s="109"/>
      <c r="L72" s="61"/>
      <c r="M72" s="61"/>
      <c r="N72" s="61"/>
      <c r="O72" s="61"/>
      <c r="P72" s="110"/>
      <c r="Q72" s="21"/>
    </row>
    <row r="73" spans="2:20" ht="14.25">
      <c r="B73" s="111" t="s">
        <v>526</v>
      </c>
      <c r="C73" s="27" t="s">
        <v>527</v>
      </c>
      <c r="D73" s="84" t="s">
        <v>528</v>
      </c>
      <c r="E73" s="112">
        <v>129</v>
      </c>
      <c r="F73" s="112">
        <v>129</v>
      </c>
      <c r="G73" s="112">
        <v>129</v>
      </c>
      <c r="H73" s="112">
        <v>129</v>
      </c>
      <c r="I73" s="112">
        <v>129</v>
      </c>
      <c r="J73" s="112">
        <v>129</v>
      </c>
      <c r="K73" s="112">
        <v>129</v>
      </c>
      <c r="L73" s="112">
        <v>129</v>
      </c>
      <c r="M73" s="112">
        <v>129</v>
      </c>
      <c r="N73" s="112">
        <v>129</v>
      </c>
      <c r="O73" s="112">
        <v>129</v>
      </c>
      <c r="P73" s="113">
        <v>129</v>
      </c>
      <c r="Q73" s="43">
        <v>129</v>
      </c>
    </row>
    <row r="75" spans="2:20">
      <c r="T75" s="49"/>
    </row>
    <row r="76" spans="2:20">
      <c r="B76" s="9" t="s">
        <v>529</v>
      </c>
      <c r="C76" s="9"/>
      <c r="D76" s="10"/>
      <c r="E76" s="10"/>
      <c r="F76" s="10"/>
      <c r="G76" s="10"/>
      <c r="H76" s="10"/>
      <c r="I76" s="10"/>
      <c r="J76" s="10"/>
      <c r="T76" s="49"/>
    </row>
    <row r="77" spans="2:20">
      <c r="T77" s="49"/>
    </row>
    <row r="78" spans="2:20">
      <c r="B78" s="49" t="s">
        <v>530</v>
      </c>
      <c r="T78" s="49"/>
    </row>
    <row r="79" spans="2:20">
      <c r="B79" s="11"/>
      <c r="C79" s="114"/>
      <c r="D79" s="115"/>
      <c r="E79" s="14" t="s">
        <v>531</v>
      </c>
      <c r="F79" s="14" t="s">
        <v>466</v>
      </c>
      <c r="G79" s="14" t="s">
        <v>467</v>
      </c>
      <c r="H79" s="14" t="s">
        <v>532</v>
      </c>
      <c r="I79" s="14" t="s">
        <v>469</v>
      </c>
      <c r="J79" s="14" t="s">
        <v>470</v>
      </c>
      <c r="K79" s="14" t="s">
        <v>471</v>
      </c>
      <c r="L79" s="14" t="s">
        <v>472</v>
      </c>
      <c r="M79" s="14" t="s">
        <v>473</v>
      </c>
      <c r="N79" s="14" t="s">
        <v>474</v>
      </c>
      <c r="O79" s="14" t="s">
        <v>475</v>
      </c>
      <c r="P79" s="15" t="s">
        <v>476</v>
      </c>
      <c r="Q79" s="116" t="s">
        <v>388</v>
      </c>
    </row>
    <row r="80" spans="2:20" ht="16.5">
      <c r="B80" s="104" t="s">
        <v>27</v>
      </c>
      <c r="C80" s="117" t="s">
        <v>533</v>
      </c>
      <c r="D80" s="118" t="s">
        <v>534</v>
      </c>
      <c r="E80" s="119">
        <v>35.612522083948207</v>
      </c>
      <c r="F80" s="107">
        <v>13178.524437765582</v>
      </c>
      <c r="G80" s="107">
        <v>0</v>
      </c>
      <c r="H80" s="107">
        <v>0</v>
      </c>
      <c r="I80" s="107">
        <v>0</v>
      </c>
      <c r="J80" s="107">
        <v>3893.1485630778925</v>
      </c>
      <c r="K80" s="107">
        <v>1977.7749651083332</v>
      </c>
      <c r="L80" s="172">
        <v>16.716941167108654</v>
      </c>
      <c r="M80" s="107">
        <v>0</v>
      </c>
      <c r="N80" s="107">
        <v>10.287687517295826</v>
      </c>
      <c r="O80" s="107">
        <v>52872.634682012009</v>
      </c>
      <c r="P80" s="108">
        <v>14136.044390088089</v>
      </c>
      <c r="Q80" s="121">
        <f>SUM(E80:P80)</f>
        <v>86120.744188820259</v>
      </c>
    </row>
    <row r="81" spans="2:23" ht="16.5">
      <c r="B81" s="122" t="s">
        <v>319</v>
      </c>
      <c r="C81" s="56" t="s">
        <v>533</v>
      </c>
      <c r="D81" s="118" t="s">
        <v>493</v>
      </c>
      <c r="E81" s="123">
        <v>0</v>
      </c>
      <c r="F81" s="61">
        <v>0</v>
      </c>
      <c r="G81" s="61">
        <v>0</v>
      </c>
      <c r="H81" s="61">
        <v>0</v>
      </c>
      <c r="I81" s="61">
        <v>0</v>
      </c>
      <c r="J81" s="61">
        <v>0</v>
      </c>
      <c r="K81" s="61">
        <v>0</v>
      </c>
      <c r="L81" s="61">
        <v>0</v>
      </c>
      <c r="M81" s="61">
        <v>0</v>
      </c>
      <c r="N81" s="61">
        <v>0</v>
      </c>
      <c r="O81" s="61">
        <v>0</v>
      </c>
      <c r="P81" s="110">
        <v>0</v>
      </c>
      <c r="Q81" s="124">
        <f>SUM(E81:P81)</f>
        <v>0</v>
      </c>
    </row>
    <row r="82" spans="2:23" ht="16.5">
      <c r="B82" s="125" t="s">
        <v>535</v>
      </c>
      <c r="C82" s="59" t="s">
        <v>533</v>
      </c>
      <c r="D82" s="126" t="s">
        <v>534</v>
      </c>
      <c r="E82" s="127">
        <f>+E80/625</f>
        <v>5.6980035334317128E-2</v>
      </c>
      <c r="F82" s="128">
        <f>+F80/625</f>
        <v>21.085639100424931</v>
      </c>
      <c r="G82" s="128">
        <f t="shared" ref="G82:P82" si="17">+G80/625</f>
        <v>0</v>
      </c>
      <c r="H82" s="128">
        <f t="shared" si="17"/>
        <v>0</v>
      </c>
      <c r="I82" s="128">
        <f t="shared" si="17"/>
        <v>0</v>
      </c>
      <c r="J82" s="128">
        <f t="shared" si="17"/>
        <v>6.2290377009246276</v>
      </c>
      <c r="K82" s="128">
        <f t="shared" si="17"/>
        <v>3.1644399441733331</v>
      </c>
      <c r="L82" s="128">
        <f t="shared" si="17"/>
        <v>2.6747105867373847E-2</v>
      </c>
      <c r="M82" s="128">
        <f t="shared" si="17"/>
        <v>0</v>
      </c>
      <c r="N82" s="128">
        <f t="shared" si="17"/>
        <v>1.6460300027673323E-2</v>
      </c>
      <c r="O82" s="129">
        <f t="shared" si="17"/>
        <v>84.596215491219212</v>
      </c>
      <c r="P82" s="129">
        <f t="shared" si="17"/>
        <v>22.617671024140943</v>
      </c>
      <c r="Q82" s="130">
        <f>SUM(E82:P82)</f>
        <v>137.79319070211241</v>
      </c>
    </row>
    <row r="83" spans="2:23">
      <c r="T83" s="49"/>
    </row>
    <row r="84" spans="2:23" hidden="1">
      <c r="T84" s="49"/>
    </row>
    <row r="85" spans="2:23" hidden="1">
      <c r="B85" s="49" t="s">
        <v>536</v>
      </c>
      <c r="T85" s="49"/>
    </row>
    <row r="86" spans="2:23" hidden="1">
      <c r="B86" s="11"/>
      <c r="C86" s="131"/>
      <c r="D86" s="97"/>
      <c r="E86" s="97"/>
      <c r="F86" s="97"/>
      <c r="G86" s="97"/>
      <c r="H86" s="97"/>
      <c r="I86" s="97"/>
      <c r="J86" s="97"/>
      <c r="K86" s="30" t="s">
        <v>465</v>
      </c>
      <c r="L86" s="30" t="s">
        <v>466</v>
      </c>
      <c r="M86" s="30" t="s">
        <v>467</v>
      </c>
      <c r="N86" s="30" t="s">
        <v>468</v>
      </c>
      <c r="O86" s="30" t="s">
        <v>469</v>
      </c>
      <c r="P86" s="30" t="s">
        <v>470</v>
      </c>
      <c r="Q86" s="30" t="s">
        <v>471</v>
      </c>
      <c r="R86" s="30" t="s">
        <v>537</v>
      </c>
      <c r="S86" s="30" t="s">
        <v>473</v>
      </c>
      <c r="T86" s="30" t="s">
        <v>474</v>
      </c>
      <c r="U86" s="30" t="s">
        <v>475</v>
      </c>
      <c r="V86" s="30" t="s">
        <v>538</v>
      </c>
      <c r="W86" s="116" t="s">
        <v>388</v>
      </c>
    </row>
    <row r="87" spans="2:23" ht="16.5" hidden="1">
      <c r="B87" s="104" t="s">
        <v>27</v>
      </c>
      <c r="C87" s="48"/>
      <c r="D87" s="117" t="s">
        <v>539</v>
      </c>
      <c r="E87" s="117"/>
      <c r="F87" s="117"/>
      <c r="G87" s="117"/>
      <c r="H87" s="117"/>
      <c r="I87" s="117"/>
      <c r="J87" s="117"/>
      <c r="K87" s="40"/>
      <c r="L87" s="40"/>
      <c r="M87" s="40"/>
      <c r="N87" s="40"/>
      <c r="O87" s="40"/>
      <c r="P87" s="40"/>
      <c r="Q87" s="40"/>
      <c r="R87" s="40"/>
      <c r="S87" s="40"/>
      <c r="T87" s="40"/>
      <c r="U87" s="40"/>
      <c r="V87" s="40"/>
      <c r="W87" s="121"/>
    </row>
    <row r="88" spans="2:23" ht="16.5" hidden="1">
      <c r="B88" s="122" t="s">
        <v>319</v>
      </c>
      <c r="C88" s="49"/>
      <c r="D88" s="56" t="s">
        <v>539</v>
      </c>
      <c r="E88" s="56"/>
      <c r="F88" s="56"/>
      <c r="G88" s="56"/>
      <c r="H88" s="56"/>
      <c r="I88" s="56"/>
      <c r="J88" s="56"/>
      <c r="K88" s="21"/>
      <c r="L88" s="21"/>
      <c r="M88" s="21"/>
      <c r="N88" s="21"/>
      <c r="O88" s="21"/>
      <c r="P88" s="21"/>
      <c r="Q88" s="21"/>
      <c r="R88" s="21"/>
      <c r="S88" s="21"/>
      <c r="T88" s="21"/>
      <c r="U88" s="21"/>
      <c r="V88" s="21"/>
      <c r="W88" s="124"/>
    </row>
    <row r="89" spans="2:23" ht="16.5" hidden="1">
      <c r="B89" s="125" t="s">
        <v>540</v>
      </c>
      <c r="C89" s="132"/>
      <c r="D89" s="59" t="s">
        <v>539</v>
      </c>
      <c r="E89" s="59"/>
      <c r="F89" s="59"/>
      <c r="G89" s="59"/>
      <c r="H89" s="59"/>
      <c r="I89" s="59"/>
      <c r="J89" s="59"/>
      <c r="K89" s="44"/>
      <c r="L89" s="44"/>
      <c r="M89" s="44"/>
      <c r="N89" s="44"/>
      <c r="O89" s="44"/>
      <c r="P89" s="44"/>
      <c r="Q89" s="44"/>
      <c r="R89" s="44"/>
      <c r="S89" s="44"/>
      <c r="T89" s="44"/>
      <c r="U89" s="44"/>
      <c r="V89" s="44"/>
      <c r="W89" s="130"/>
    </row>
    <row r="90" spans="2:23" hidden="1">
      <c r="T90" s="49"/>
    </row>
    <row r="91" spans="2:23" hidden="1">
      <c r="T91" s="49"/>
    </row>
    <row r="92" spans="2:23" hidden="1">
      <c r="B92" s="49" t="s">
        <v>541</v>
      </c>
      <c r="T92" s="49"/>
    </row>
    <row r="93" spans="2:23" hidden="1">
      <c r="B93" s="11"/>
      <c r="C93" s="131"/>
      <c r="D93" s="97"/>
      <c r="E93" s="97"/>
      <c r="F93" s="97"/>
      <c r="G93" s="97"/>
      <c r="H93" s="97"/>
      <c r="I93" s="97"/>
      <c r="J93" s="97"/>
      <c r="K93" s="30" t="s">
        <v>465</v>
      </c>
      <c r="L93" s="30" t="s">
        <v>466</v>
      </c>
      <c r="M93" s="30" t="s">
        <v>467</v>
      </c>
      <c r="N93" s="30" t="s">
        <v>468</v>
      </c>
      <c r="O93" s="30" t="s">
        <v>469</v>
      </c>
      <c r="P93" s="30" t="s">
        <v>470</v>
      </c>
      <c r="Q93" s="30" t="s">
        <v>471</v>
      </c>
      <c r="R93" s="30" t="s">
        <v>537</v>
      </c>
      <c r="S93" s="30" t="s">
        <v>473</v>
      </c>
      <c r="T93" s="30" t="s">
        <v>474</v>
      </c>
      <c r="U93" s="30" t="s">
        <v>475</v>
      </c>
      <c r="V93" s="30" t="s">
        <v>538</v>
      </c>
      <c r="W93" s="16" t="s">
        <v>388</v>
      </c>
    </row>
    <row r="94" spans="2:23" ht="16.5" hidden="1">
      <c r="B94" s="104" t="s">
        <v>27</v>
      </c>
      <c r="C94" s="48"/>
      <c r="D94" s="117" t="s">
        <v>542</v>
      </c>
      <c r="E94" s="117"/>
      <c r="F94" s="117"/>
      <c r="G94" s="117"/>
      <c r="H94" s="117"/>
      <c r="I94" s="117"/>
      <c r="J94" s="117"/>
      <c r="K94" s="133"/>
      <c r="L94" s="134"/>
      <c r="M94" s="133"/>
      <c r="N94" s="134"/>
      <c r="O94" s="133"/>
      <c r="P94" s="134"/>
      <c r="Q94" s="133"/>
      <c r="R94" s="134"/>
      <c r="S94" s="133"/>
      <c r="T94" s="134"/>
      <c r="U94" s="133"/>
      <c r="V94" s="135"/>
      <c r="W94" s="121">
        <v>0</v>
      </c>
    </row>
    <row r="95" spans="2:23" ht="16.5" hidden="1">
      <c r="B95" s="122" t="s">
        <v>319</v>
      </c>
      <c r="C95" s="49"/>
      <c r="D95" s="56" t="s">
        <v>542</v>
      </c>
      <c r="E95" s="56"/>
      <c r="F95" s="56"/>
      <c r="G95" s="56"/>
      <c r="H95" s="56"/>
      <c r="I95" s="56"/>
      <c r="J95" s="56"/>
      <c r="K95" s="136"/>
      <c r="L95" s="134"/>
      <c r="M95" s="136"/>
      <c r="N95" s="134"/>
      <c r="O95" s="136"/>
      <c r="P95" s="134"/>
      <c r="Q95" s="136"/>
      <c r="R95" s="134"/>
      <c r="S95" s="136"/>
      <c r="T95" s="134"/>
      <c r="U95" s="136"/>
      <c r="V95" s="135"/>
      <c r="W95" s="124">
        <v>0</v>
      </c>
    </row>
    <row r="96" spans="2:23" ht="16.5" hidden="1">
      <c r="B96" s="125" t="s">
        <v>540</v>
      </c>
      <c r="C96" s="132"/>
      <c r="D96" s="59" t="s">
        <v>543</v>
      </c>
      <c r="E96" s="59"/>
      <c r="F96" s="59"/>
      <c r="G96" s="59"/>
      <c r="H96" s="59"/>
      <c r="I96" s="59"/>
      <c r="J96" s="59"/>
      <c r="K96" s="137"/>
      <c r="L96" s="138"/>
      <c r="M96" s="137"/>
      <c r="N96" s="138"/>
      <c r="O96" s="137"/>
      <c r="P96" s="138"/>
      <c r="Q96" s="137"/>
      <c r="R96" s="138"/>
      <c r="S96" s="137"/>
      <c r="T96" s="138"/>
      <c r="U96" s="137"/>
      <c r="V96" s="139"/>
      <c r="W96" s="130">
        <v>0</v>
      </c>
    </row>
    <row r="97" spans="2:23" hidden="1"/>
    <row r="98" spans="2:23" hidden="1">
      <c r="B98" s="49" t="s">
        <v>544</v>
      </c>
    </row>
    <row r="99" spans="2:23" hidden="1">
      <c r="B99" s="140"/>
      <c r="C99" s="131"/>
      <c r="D99" s="97"/>
      <c r="E99" s="97"/>
      <c r="F99" s="97"/>
      <c r="G99" s="97"/>
      <c r="H99" s="97"/>
      <c r="I99" s="97"/>
      <c r="J99" s="97"/>
      <c r="K99" s="16" t="s">
        <v>545</v>
      </c>
      <c r="L99" s="17"/>
      <c r="M99" s="16" t="s">
        <v>546</v>
      </c>
    </row>
    <row r="100" spans="2:23" ht="14.25" hidden="1">
      <c r="B100" s="104" t="s">
        <v>27</v>
      </c>
      <c r="C100" s="48"/>
      <c r="D100" s="17" t="s">
        <v>547</v>
      </c>
      <c r="E100" s="17"/>
      <c r="F100" s="17"/>
      <c r="G100" s="17"/>
      <c r="H100" s="17"/>
      <c r="I100" s="17"/>
      <c r="J100" s="17"/>
      <c r="K100" s="141"/>
      <c r="L100" s="142" t="s">
        <v>316</v>
      </c>
      <c r="M100" s="141"/>
    </row>
    <row r="101" spans="2:23" ht="14.25" hidden="1">
      <c r="B101" s="122" t="s">
        <v>319</v>
      </c>
      <c r="C101" s="49"/>
      <c r="D101" s="22" t="s">
        <v>548</v>
      </c>
      <c r="E101" s="22"/>
      <c r="F101" s="22"/>
      <c r="G101" s="22"/>
      <c r="H101" s="22"/>
      <c r="I101" s="22"/>
      <c r="J101" s="22"/>
      <c r="K101" s="143"/>
      <c r="L101" s="24" t="s">
        <v>316</v>
      </c>
      <c r="M101" s="144"/>
    </row>
    <row r="102" spans="2:23" ht="16.5" hidden="1">
      <c r="B102" s="125" t="s">
        <v>549</v>
      </c>
      <c r="C102" s="132"/>
      <c r="D102" s="83" t="s">
        <v>550</v>
      </c>
      <c r="E102" s="83"/>
      <c r="F102" s="83"/>
      <c r="G102" s="83"/>
      <c r="H102" s="83"/>
      <c r="I102" s="83"/>
      <c r="J102" s="83"/>
      <c r="K102" s="145"/>
      <c r="L102" s="43" t="s">
        <v>551</v>
      </c>
      <c r="M102" s="146"/>
    </row>
    <row r="103" spans="2:23" hidden="1"/>
    <row r="104" spans="2:23" hidden="1">
      <c r="B104" s="11" t="s">
        <v>552</v>
      </c>
      <c r="C104" s="131"/>
      <c r="D104" s="97"/>
      <c r="E104" s="97"/>
      <c r="F104" s="97"/>
      <c r="G104" s="97"/>
      <c r="H104" s="97"/>
      <c r="I104" s="97"/>
      <c r="J104" s="97"/>
      <c r="K104" s="16" t="s">
        <v>545</v>
      </c>
      <c r="L104" s="17"/>
      <c r="M104" s="16" t="s">
        <v>546</v>
      </c>
    </row>
    <row r="105" spans="2:23" hidden="1">
      <c r="B105" s="147" t="s">
        <v>27</v>
      </c>
      <c r="C105" s="148"/>
      <c r="D105" s="149"/>
      <c r="E105" s="149"/>
      <c r="F105" s="149"/>
      <c r="G105" s="149"/>
      <c r="H105" s="149"/>
      <c r="I105" s="149"/>
      <c r="J105" s="149"/>
      <c r="K105" s="150">
        <v>43.3</v>
      </c>
      <c r="L105" s="151" t="s">
        <v>316</v>
      </c>
      <c r="M105" s="150">
        <v>0.84</v>
      </c>
    </row>
    <row r="106" spans="2:23" hidden="1">
      <c r="B106" s="152" t="s">
        <v>319</v>
      </c>
      <c r="C106" s="153"/>
      <c r="D106" s="154"/>
      <c r="E106" s="154"/>
      <c r="F106" s="154"/>
      <c r="G106" s="154"/>
      <c r="H106" s="154"/>
      <c r="I106" s="154"/>
      <c r="J106" s="154"/>
      <c r="K106" s="155">
        <v>41.7</v>
      </c>
      <c r="L106" s="156" t="s">
        <v>316</v>
      </c>
      <c r="M106" s="155">
        <v>0.98</v>
      </c>
    </row>
    <row r="107" spans="2:23" ht="15.75" hidden="1">
      <c r="B107" s="157" t="s">
        <v>553</v>
      </c>
      <c r="C107" s="158"/>
      <c r="D107" s="159"/>
      <c r="E107" s="159"/>
      <c r="F107" s="159"/>
      <c r="G107" s="159"/>
      <c r="H107" s="159"/>
      <c r="I107" s="159"/>
      <c r="J107" s="159"/>
      <c r="K107" s="160">
        <v>52.2</v>
      </c>
      <c r="L107" s="161" t="s">
        <v>551</v>
      </c>
      <c r="M107" s="160">
        <v>0.55000000000000004</v>
      </c>
    </row>
    <row r="108" spans="2:23" hidden="1">
      <c r="B108" s="91"/>
    </row>
    <row r="109" spans="2:23">
      <c r="B109" s="162" t="s">
        <v>554</v>
      </c>
      <c r="C109" s="163"/>
      <c r="D109" s="163"/>
      <c r="E109" s="163"/>
      <c r="F109" s="163"/>
      <c r="G109" s="163"/>
      <c r="H109" s="163"/>
      <c r="I109" s="163"/>
      <c r="J109" s="163"/>
      <c r="K109" s="163"/>
      <c r="L109" s="163"/>
      <c r="M109" s="163"/>
      <c r="N109" s="163"/>
      <c r="O109" s="163"/>
      <c r="P109" s="163"/>
      <c r="Q109" s="163"/>
      <c r="R109" s="163"/>
      <c r="S109" s="163"/>
      <c r="T109" s="162"/>
      <c r="U109" s="163"/>
      <c r="V109" s="163"/>
      <c r="W109" s="163"/>
    </row>
    <row r="110" spans="2:23">
      <c r="B110" s="164"/>
      <c r="C110" s="165"/>
      <c r="D110" s="166"/>
      <c r="E110" s="14" t="s">
        <v>465</v>
      </c>
      <c r="F110" s="14" t="s">
        <v>466</v>
      </c>
      <c r="G110" s="14" t="s">
        <v>467</v>
      </c>
      <c r="H110" s="14" t="s">
        <v>468</v>
      </c>
      <c r="I110" s="14" t="s">
        <v>469</v>
      </c>
      <c r="J110" s="14" t="s">
        <v>470</v>
      </c>
      <c r="K110" s="14" t="s">
        <v>471</v>
      </c>
      <c r="L110" s="14" t="s">
        <v>472</v>
      </c>
      <c r="M110" s="14" t="s">
        <v>473</v>
      </c>
      <c r="N110" s="14" t="s">
        <v>474</v>
      </c>
      <c r="O110" s="14" t="s">
        <v>475</v>
      </c>
      <c r="P110" s="15" t="s">
        <v>476</v>
      </c>
      <c r="Q110" s="167" t="s">
        <v>388</v>
      </c>
    </row>
    <row r="111" spans="2:23" ht="16.5">
      <c r="B111" s="168" t="s">
        <v>27</v>
      </c>
      <c r="C111" s="169" t="s">
        <v>539</v>
      </c>
      <c r="D111" s="170" t="s">
        <v>534</v>
      </c>
      <c r="E111" s="171">
        <v>5251</v>
      </c>
      <c r="F111" s="172">
        <v>3661</v>
      </c>
      <c r="G111" s="172">
        <v>6404</v>
      </c>
      <c r="H111" s="172">
        <v>6906</v>
      </c>
      <c r="I111" s="172">
        <v>5679</v>
      </c>
      <c r="J111" s="172">
        <v>5272</v>
      </c>
      <c r="K111" s="172">
        <v>5412</v>
      </c>
      <c r="L111" s="172">
        <v>6192</v>
      </c>
      <c r="M111" s="172">
        <v>6397</v>
      </c>
      <c r="N111" s="172">
        <v>6819</v>
      </c>
      <c r="O111" s="172">
        <v>6946</v>
      </c>
      <c r="P111" s="173">
        <v>4320</v>
      </c>
      <c r="Q111" s="174">
        <f>SUM(E111:P111)</f>
        <v>69259</v>
      </c>
    </row>
    <row r="112" spans="2:23" ht="16.5">
      <c r="B112" s="175" t="s">
        <v>319</v>
      </c>
      <c r="C112" s="176" t="s">
        <v>539</v>
      </c>
      <c r="D112" s="170" t="s">
        <v>493</v>
      </c>
      <c r="E112" s="177">
        <v>0</v>
      </c>
      <c r="F112" s="58">
        <v>0</v>
      </c>
      <c r="G112" s="58">
        <v>0</v>
      </c>
      <c r="H112" s="58">
        <v>0</v>
      </c>
      <c r="I112" s="58">
        <v>0</v>
      </c>
      <c r="J112" s="58">
        <v>0</v>
      </c>
      <c r="K112" s="58">
        <v>0</v>
      </c>
      <c r="L112" s="58">
        <v>0</v>
      </c>
      <c r="M112" s="58">
        <v>0</v>
      </c>
      <c r="N112" s="58">
        <v>0</v>
      </c>
      <c r="O112" s="58">
        <v>0</v>
      </c>
      <c r="P112" s="178">
        <v>0</v>
      </c>
      <c r="Q112" s="179">
        <f>SUM(E112:P112)</f>
        <v>0</v>
      </c>
    </row>
    <row r="113" spans="2:23" ht="16.5">
      <c r="B113" s="180" t="s">
        <v>555</v>
      </c>
      <c r="C113" s="181" t="s">
        <v>539</v>
      </c>
      <c r="D113" s="182" t="s">
        <v>534</v>
      </c>
      <c r="E113" s="183">
        <v>0</v>
      </c>
      <c r="F113" s="184">
        <v>0</v>
      </c>
      <c r="G113" s="184">
        <v>0</v>
      </c>
      <c r="H113" s="184">
        <v>0</v>
      </c>
      <c r="I113" s="184">
        <v>0</v>
      </c>
      <c r="J113" s="184">
        <v>0</v>
      </c>
      <c r="K113" s="184">
        <v>0</v>
      </c>
      <c r="L113" s="184">
        <v>0</v>
      </c>
      <c r="M113" s="184">
        <v>0</v>
      </c>
      <c r="N113" s="184">
        <v>0</v>
      </c>
      <c r="O113" s="184">
        <v>0</v>
      </c>
      <c r="P113" s="185">
        <v>0</v>
      </c>
      <c r="Q113" s="186">
        <f>SUM(E113:P113)</f>
        <v>0</v>
      </c>
    </row>
    <row r="114" spans="2:23">
      <c r="B114" s="163"/>
      <c r="C114" s="163"/>
      <c r="D114" s="163"/>
      <c r="E114" s="163"/>
      <c r="F114" s="163"/>
      <c r="G114" s="163"/>
      <c r="H114" s="163"/>
      <c r="I114" s="163"/>
      <c r="J114" s="163"/>
      <c r="K114" s="163"/>
      <c r="L114" s="163"/>
      <c r="M114" s="163"/>
      <c r="N114" s="163"/>
      <c r="O114" s="163"/>
      <c r="P114" s="163"/>
      <c r="Q114" s="163"/>
      <c r="R114" s="163"/>
      <c r="S114" s="163"/>
      <c r="T114" s="162"/>
      <c r="U114" s="163"/>
      <c r="V114" s="163"/>
      <c r="W114" s="163"/>
    </row>
    <row r="115" spans="2:23">
      <c r="B115" s="187" t="s">
        <v>556</v>
      </c>
      <c r="C115" s="163"/>
      <c r="D115" s="163"/>
      <c r="E115" s="163"/>
      <c r="F115" s="163"/>
      <c r="G115" s="163"/>
      <c r="H115" s="163"/>
      <c r="I115" s="163"/>
      <c r="J115" s="163"/>
      <c r="K115" s="163"/>
      <c r="L115" s="163"/>
      <c r="M115" s="163"/>
      <c r="N115" s="163"/>
      <c r="O115" s="163"/>
      <c r="P115" s="163"/>
      <c r="Q115" s="163"/>
      <c r="R115" s="163"/>
      <c r="S115" s="163"/>
      <c r="T115" s="162"/>
      <c r="U115" s="163"/>
      <c r="V115" s="163"/>
      <c r="W115" s="163"/>
    </row>
    <row r="116" spans="2:23">
      <c r="B116" s="164" t="s">
        <v>557</v>
      </c>
      <c r="C116" s="188"/>
      <c r="D116" s="189"/>
      <c r="E116" s="190" t="s">
        <v>545</v>
      </c>
      <c r="F116" s="191"/>
      <c r="G116" s="190" t="s">
        <v>546</v>
      </c>
    </row>
    <row r="117" spans="2:23">
      <c r="B117" s="192" t="s">
        <v>27</v>
      </c>
      <c r="C117" s="193"/>
      <c r="D117" s="194" t="s">
        <v>558</v>
      </c>
      <c r="E117" s="195">
        <v>43.3</v>
      </c>
      <c r="F117" s="194" t="s">
        <v>316</v>
      </c>
      <c r="G117" s="195">
        <v>0.84</v>
      </c>
    </row>
    <row r="118" spans="2:23">
      <c r="B118" s="196" t="s">
        <v>319</v>
      </c>
      <c r="C118" s="197"/>
      <c r="D118" s="198" t="s">
        <v>558</v>
      </c>
      <c r="E118" s="199">
        <v>41.7</v>
      </c>
      <c r="F118" s="198" t="s">
        <v>316</v>
      </c>
      <c r="G118" s="199">
        <v>0.98</v>
      </c>
    </row>
    <row r="119" spans="2:23" ht="15.75">
      <c r="B119" s="200" t="s">
        <v>553</v>
      </c>
      <c r="C119" s="201"/>
      <c r="D119" s="202" t="s">
        <v>558</v>
      </c>
      <c r="E119" s="203">
        <v>52.2</v>
      </c>
      <c r="F119" s="202" t="s">
        <v>551</v>
      </c>
      <c r="G119" s="203">
        <v>0.55000000000000004</v>
      </c>
    </row>
    <row r="120" spans="2:23">
      <c r="D120" s="49"/>
      <c r="E120" s="49"/>
      <c r="F120" s="49"/>
      <c r="G120" s="49"/>
      <c r="H120" s="49"/>
      <c r="I120" s="49"/>
      <c r="J120" s="49"/>
    </row>
    <row r="121" spans="2:23">
      <c r="B121" s="204" t="s">
        <v>559</v>
      </c>
      <c r="C121" s="163"/>
      <c r="D121" s="163"/>
      <c r="E121" s="163"/>
      <c r="F121" s="163"/>
      <c r="G121" s="163"/>
      <c r="H121" s="163"/>
      <c r="I121" s="163"/>
      <c r="J121" s="163"/>
      <c r="K121" s="163"/>
      <c r="L121" s="163"/>
      <c r="M121" s="163"/>
      <c r="N121" s="163"/>
      <c r="O121" s="163"/>
      <c r="P121" s="163"/>
      <c r="Q121" s="163"/>
      <c r="R121" s="163"/>
      <c r="S121" s="163"/>
      <c r="T121" s="162"/>
      <c r="U121" s="163"/>
      <c r="V121" s="163"/>
      <c r="W121" s="163"/>
    </row>
    <row r="122" spans="2:23">
      <c r="B122" s="164"/>
      <c r="C122" s="165"/>
      <c r="D122" s="166"/>
      <c r="E122" s="205" t="s">
        <v>465</v>
      </c>
      <c r="F122" s="205" t="s">
        <v>466</v>
      </c>
      <c r="G122" s="205" t="s">
        <v>467</v>
      </c>
      <c r="H122" s="205" t="s">
        <v>468</v>
      </c>
      <c r="I122" s="205" t="s">
        <v>469</v>
      </c>
      <c r="J122" s="205" t="s">
        <v>470</v>
      </c>
      <c r="K122" s="205" t="s">
        <v>471</v>
      </c>
      <c r="L122" s="205" t="s">
        <v>472</v>
      </c>
      <c r="M122" s="205" t="s">
        <v>473</v>
      </c>
      <c r="N122" s="205" t="s">
        <v>474</v>
      </c>
      <c r="O122" s="205" t="s">
        <v>475</v>
      </c>
      <c r="P122" s="206" t="s">
        <v>476</v>
      </c>
      <c r="Q122" s="190" t="s">
        <v>388</v>
      </c>
    </row>
    <row r="123" spans="2:23" ht="16.5">
      <c r="B123" s="168" t="s">
        <v>27</v>
      </c>
      <c r="C123" s="169" t="s">
        <v>542</v>
      </c>
      <c r="D123" s="207" t="s">
        <v>534</v>
      </c>
      <c r="E123" s="208">
        <v>0</v>
      </c>
      <c r="F123" s="209">
        <v>0</v>
      </c>
      <c r="G123" s="209">
        <v>0</v>
      </c>
      <c r="H123" s="209">
        <v>0</v>
      </c>
      <c r="I123" s="209">
        <v>0</v>
      </c>
      <c r="J123" s="209">
        <v>0</v>
      </c>
      <c r="K123" s="209">
        <v>0</v>
      </c>
      <c r="L123" s="209">
        <v>0</v>
      </c>
      <c r="M123" s="209">
        <v>0</v>
      </c>
      <c r="N123" s="209">
        <v>0</v>
      </c>
      <c r="O123" s="209">
        <v>0</v>
      </c>
      <c r="P123" s="210">
        <v>0</v>
      </c>
      <c r="Q123" s="174">
        <f>+SUM(E123:P123)</f>
        <v>0</v>
      </c>
    </row>
    <row r="124" spans="2:23" ht="16.5">
      <c r="B124" s="175" t="s">
        <v>319</v>
      </c>
      <c r="C124" s="176" t="s">
        <v>542</v>
      </c>
      <c r="D124" s="207" t="s">
        <v>493</v>
      </c>
      <c r="E124" s="211">
        <v>0</v>
      </c>
      <c r="F124" s="212">
        <v>0</v>
      </c>
      <c r="G124" s="212">
        <v>0</v>
      </c>
      <c r="H124" s="212">
        <v>0</v>
      </c>
      <c r="I124" s="212">
        <v>0</v>
      </c>
      <c r="J124" s="212">
        <v>0</v>
      </c>
      <c r="K124" s="212">
        <v>0</v>
      </c>
      <c r="L124" s="212">
        <v>0</v>
      </c>
      <c r="M124" s="212">
        <v>0</v>
      </c>
      <c r="N124" s="212">
        <v>0</v>
      </c>
      <c r="O124" s="212">
        <v>0</v>
      </c>
      <c r="P124" s="213">
        <v>0</v>
      </c>
      <c r="Q124" s="179">
        <f>+SUM(E124:P124)</f>
        <v>0</v>
      </c>
    </row>
    <row r="125" spans="2:23" ht="16.5">
      <c r="B125" s="180" t="s">
        <v>555</v>
      </c>
      <c r="C125" s="181" t="s">
        <v>543</v>
      </c>
      <c r="D125" s="214" t="s">
        <v>534</v>
      </c>
      <c r="E125" s="215">
        <v>0</v>
      </c>
      <c r="F125" s="216">
        <v>0</v>
      </c>
      <c r="G125" s="216">
        <v>0</v>
      </c>
      <c r="H125" s="216">
        <v>0</v>
      </c>
      <c r="I125" s="216">
        <v>0</v>
      </c>
      <c r="J125" s="216">
        <v>0</v>
      </c>
      <c r="K125" s="216">
        <v>0</v>
      </c>
      <c r="L125" s="216">
        <v>0</v>
      </c>
      <c r="M125" s="216">
        <v>0</v>
      </c>
      <c r="N125" s="216">
        <v>0</v>
      </c>
      <c r="O125" s="216">
        <v>0</v>
      </c>
      <c r="P125" s="217">
        <v>0</v>
      </c>
      <c r="Q125" s="186">
        <f>+SUM(E125:P125)</f>
        <v>0</v>
      </c>
    </row>
    <row r="126" spans="2:23">
      <c r="D126" s="49"/>
      <c r="E126" s="49"/>
      <c r="F126" s="49"/>
      <c r="G126" s="49"/>
      <c r="H126" s="49"/>
      <c r="I126" s="49"/>
      <c r="J126" s="49"/>
      <c r="N126" s="163"/>
      <c r="O126" s="163"/>
      <c r="P126" s="163"/>
      <c r="Q126" s="163"/>
      <c r="R126" s="163"/>
      <c r="S126" s="163"/>
      <c r="T126" s="163"/>
      <c r="U126" s="163"/>
      <c r="V126" s="163"/>
      <c r="W126" s="163"/>
    </row>
    <row r="127" spans="2:23">
      <c r="D127" s="49"/>
      <c r="E127" s="49"/>
      <c r="F127" s="49"/>
      <c r="G127" s="49"/>
      <c r="H127" s="49"/>
      <c r="I127" s="49"/>
      <c r="J127" s="49"/>
      <c r="N127" s="163"/>
      <c r="O127" s="163"/>
      <c r="P127" s="163"/>
      <c r="Q127" s="163"/>
      <c r="R127" s="163"/>
      <c r="S127" s="163"/>
      <c r="T127" s="163"/>
      <c r="U127" s="163"/>
      <c r="V127" s="163"/>
      <c r="W127" s="163"/>
    </row>
  </sheetData>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7E26-7BB2-48EE-8D5F-0FF895946195}">
  <dimension ref="B1:K41"/>
  <sheetViews>
    <sheetView topLeftCell="A19" zoomScale="70" zoomScaleNormal="70" workbookViewId="0">
      <selection activeCell="G5" sqref="G5"/>
    </sheetView>
  </sheetViews>
  <sheetFormatPr defaultColWidth="11.42578125" defaultRowHeight="15"/>
  <cols>
    <col min="2" max="2" width="11.42578125" style="645"/>
    <col min="3" max="3" width="20.5703125" bestFit="1" customWidth="1"/>
    <col min="4" max="4" width="12.140625" bestFit="1" customWidth="1"/>
    <col min="5" max="5" width="23.42578125" customWidth="1"/>
    <col min="6" max="6" width="19.42578125" style="645" customWidth="1"/>
    <col min="7" max="7" width="17.42578125" bestFit="1" customWidth="1"/>
    <col min="8" max="8" width="12.85546875" customWidth="1"/>
  </cols>
  <sheetData>
    <row r="1" spans="2:11" ht="26.25">
      <c r="B1" s="758"/>
    </row>
    <row r="3" spans="2:11" ht="15.75">
      <c r="B3" s="759" t="s">
        <v>622</v>
      </c>
      <c r="C3" s="760" t="s">
        <v>623</v>
      </c>
      <c r="D3" s="760" t="s">
        <v>624</v>
      </c>
      <c r="E3" s="760" t="s">
        <v>625</v>
      </c>
      <c r="F3" s="760" t="s">
        <v>522</v>
      </c>
      <c r="G3" s="760" t="s">
        <v>626</v>
      </c>
      <c r="H3" s="761" t="s">
        <v>627</v>
      </c>
    </row>
    <row r="4" spans="2:11" ht="30">
      <c r="B4" s="762">
        <v>1</v>
      </c>
      <c r="C4" s="763" t="s">
        <v>628</v>
      </c>
      <c r="D4" s="764" t="s">
        <v>629</v>
      </c>
      <c r="E4" s="765" t="s">
        <v>630</v>
      </c>
      <c r="F4" s="766">
        <v>42429.15</v>
      </c>
      <c r="G4" s="767">
        <v>48.125599999999935</v>
      </c>
      <c r="H4" s="768" t="s">
        <v>631</v>
      </c>
    </row>
    <row r="5" spans="2:11">
      <c r="B5" s="769" t="s">
        <v>580</v>
      </c>
      <c r="C5" s="770"/>
      <c r="D5" s="771"/>
      <c r="E5" s="772"/>
      <c r="F5" s="773">
        <v>4921.1325000000652</v>
      </c>
      <c r="G5" s="774">
        <v>48</v>
      </c>
      <c r="H5" s="775" t="s">
        <v>631</v>
      </c>
    </row>
    <row r="6" spans="2:11" ht="30">
      <c r="B6" s="762">
        <v>2</v>
      </c>
      <c r="C6" s="763" t="s">
        <v>632</v>
      </c>
      <c r="D6" s="764" t="s">
        <v>629</v>
      </c>
      <c r="E6" s="765" t="s">
        <v>630</v>
      </c>
      <c r="F6" s="766">
        <v>6557.9633200000007</v>
      </c>
      <c r="G6" s="767">
        <v>6.0779999999999976</v>
      </c>
      <c r="H6" s="768" t="s">
        <v>631</v>
      </c>
      <c r="K6" s="776"/>
    </row>
    <row r="7" spans="2:11" ht="30">
      <c r="B7" s="762">
        <v>3</v>
      </c>
      <c r="C7" s="777" t="s">
        <v>633</v>
      </c>
      <c r="D7" s="764" t="s">
        <v>629</v>
      </c>
      <c r="E7" s="765" t="s">
        <v>630</v>
      </c>
      <c r="F7" s="766">
        <v>853.33</v>
      </c>
      <c r="G7" s="767">
        <v>3.3059399999999997</v>
      </c>
      <c r="H7" s="768" t="s">
        <v>631</v>
      </c>
      <c r="K7" s="776"/>
    </row>
    <row r="8" spans="2:11" ht="30">
      <c r="B8" s="762">
        <v>4</v>
      </c>
      <c r="C8" s="763" t="s">
        <v>634</v>
      </c>
      <c r="D8" s="764" t="s">
        <v>629</v>
      </c>
      <c r="E8" s="765" t="s">
        <v>630</v>
      </c>
      <c r="F8" s="766">
        <v>3074.48</v>
      </c>
      <c r="G8" s="767">
        <v>1.4071200000000004</v>
      </c>
      <c r="H8" s="768" t="s">
        <v>631</v>
      </c>
    </row>
    <row r="9" spans="2:11" ht="30">
      <c r="B9" s="762">
        <v>5</v>
      </c>
      <c r="C9" s="763" t="s">
        <v>635</v>
      </c>
      <c r="D9" s="764" t="s">
        <v>629</v>
      </c>
      <c r="E9" s="765" t="s">
        <v>630</v>
      </c>
      <c r="F9" s="766">
        <v>444.88</v>
      </c>
      <c r="G9" s="767">
        <v>1.13358</v>
      </c>
      <c r="H9" s="768" t="s">
        <v>631</v>
      </c>
    </row>
    <row r="10" spans="2:11" ht="30">
      <c r="B10" s="762">
        <v>6</v>
      </c>
      <c r="C10" s="763" t="s">
        <v>636</v>
      </c>
      <c r="D10" s="764" t="s">
        <v>629</v>
      </c>
      <c r="E10" s="765" t="s">
        <v>630</v>
      </c>
      <c r="F10" s="766">
        <v>20851.039999999997</v>
      </c>
      <c r="G10" s="767">
        <v>4.0042799999999996</v>
      </c>
      <c r="H10" s="768" t="s">
        <v>631</v>
      </c>
    </row>
    <row r="11" spans="2:11" ht="30">
      <c r="B11" s="762">
        <v>7</v>
      </c>
      <c r="C11" s="777" t="s">
        <v>637</v>
      </c>
      <c r="D11" s="764" t="s">
        <v>629</v>
      </c>
      <c r="E11" s="765" t="s">
        <v>630</v>
      </c>
      <c r="F11" s="766">
        <v>10578.065000000001</v>
      </c>
      <c r="G11" s="767">
        <v>10.495799999999999</v>
      </c>
      <c r="H11" s="768" t="s">
        <v>631</v>
      </c>
    </row>
    <row r="12" spans="2:11" ht="30">
      <c r="B12" s="762">
        <v>8</v>
      </c>
      <c r="C12" s="777" t="s">
        <v>638</v>
      </c>
      <c r="D12" s="764" t="s">
        <v>629</v>
      </c>
      <c r="E12" s="765" t="s">
        <v>630</v>
      </c>
      <c r="F12" s="766">
        <v>19677.563999999998</v>
      </c>
      <c r="G12" s="767">
        <v>64.021579999999972</v>
      </c>
      <c r="H12" s="768" t="s">
        <v>631</v>
      </c>
    </row>
    <row r="13" spans="2:11" ht="30">
      <c r="B13" s="762">
        <v>9</v>
      </c>
      <c r="C13" s="763" t="s">
        <v>639</v>
      </c>
      <c r="D13" s="764" t="s">
        <v>629</v>
      </c>
      <c r="E13" s="765" t="s">
        <v>630</v>
      </c>
      <c r="F13" s="766">
        <v>4386.8999999999996</v>
      </c>
      <c r="G13" s="767">
        <v>4.00718</v>
      </c>
      <c r="H13" s="768" t="s">
        <v>631</v>
      </c>
    </row>
    <row r="14" spans="2:11" ht="30">
      <c r="B14" s="762">
        <v>10</v>
      </c>
      <c r="C14" s="777" t="s">
        <v>640</v>
      </c>
      <c r="D14" s="764" t="s">
        <v>629</v>
      </c>
      <c r="E14" s="765" t="s">
        <v>630</v>
      </c>
      <c r="F14" s="766">
        <v>33339.275999999998</v>
      </c>
      <c r="G14" s="767">
        <v>38.938200000000016</v>
      </c>
      <c r="H14" s="768" t="s">
        <v>631</v>
      </c>
    </row>
    <row r="15" spans="2:11" ht="30">
      <c r="B15" s="762">
        <v>11</v>
      </c>
      <c r="C15" s="777" t="s">
        <v>641</v>
      </c>
      <c r="D15" s="764" t="s">
        <v>629</v>
      </c>
      <c r="E15" s="765" t="s">
        <v>630</v>
      </c>
      <c r="F15" s="766">
        <v>6469.5200000000013</v>
      </c>
      <c r="G15" s="767">
        <v>25.020879999999998</v>
      </c>
      <c r="H15" s="768" t="s">
        <v>631</v>
      </c>
    </row>
    <row r="16" spans="2:11" ht="30">
      <c r="B16" s="762">
        <v>12</v>
      </c>
      <c r="C16" s="777" t="s">
        <v>642</v>
      </c>
      <c r="D16" s="764" t="s">
        <v>629</v>
      </c>
      <c r="E16" s="765" t="s">
        <v>630</v>
      </c>
      <c r="F16" s="766">
        <v>491.63</v>
      </c>
      <c r="G16" s="767">
        <v>0.33360000000000006</v>
      </c>
      <c r="H16" s="768" t="s">
        <v>631</v>
      </c>
    </row>
    <row r="17" spans="2:8" ht="30">
      <c r="B17" s="762">
        <v>13</v>
      </c>
      <c r="C17" s="777" t="s">
        <v>643</v>
      </c>
      <c r="D17" s="764" t="s">
        <v>629</v>
      </c>
      <c r="E17" s="765" t="s">
        <v>630</v>
      </c>
      <c r="F17" s="766">
        <v>5012.5</v>
      </c>
      <c r="G17" s="767">
        <v>4.1076600000000001</v>
      </c>
      <c r="H17" s="768" t="s">
        <v>631</v>
      </c>
    </row>
    <row r="18" spans="2:8" ht="30">
      <c r="B18" s="762">
        <v>14</v>
      </c>
      <c r="C18" s="777" t="s">
        <v>644</v>
      </c>
      <c r="D18" s="764" t="s">
        <v>629</v>
      </c>
      <c r="E18" s="765" t="s">
        <v>630</v>
      </c>
      <c r="F18" s="766">
        <v>18784.2</v>
      </c>
      <c r="G18" s="767">
        <v>8.2420799999999979</v>
      </c>
      <c r="H18" s="768" t="s">
        <v>631</v>
      </c>
    </row>
    <row r="19" spans="2:8" ht="30">
      <c r="B19" s="762">
        <v>15</v>
      </c>
      <c r="C19" s="777" t="s">
        <v>645</v>
      </c>
      <c r="D19" s="764" t="s">
        <v>629</v>
      </c>
      <c r="E19" s="765" t="s">
        <v>630</v>
      </c>
      <c r="F19" s="766">
        <v>149.32</v>
      </c>
      <c r="G19" s="767">
        <v>0.26750000000000002</v>
      </c>
      <c r="H19" s="768" t="s">
        <v>631</v>
      </c>
    </row>
    <row r="20" spans="2:8" ht="30">
      <c r="B20" s="762">
        <v>16</v>
      </c>
      <c r="C20" s="777" t="s">
        <v>646</v>
      </c>
      <c r="D20" s="764" t="s">
        <v>629</v>
      </c>
      <c r="E20" s="765" t="s">
        <v>630</v>
      </c>
      <c r="F20" s="766">
        <v>3865.7699999999995</v>
      </c>
      <c r="G20" s="767">
        <v>1.1527600000000009</v>
      </c>
      <c r="H20" s="768" t="s">
        <v>631</v>
      </c>
    </row>
    <row r="21" spans="2:8" ht="30">
      <c r="B21" s="762">
        <v>17</v>
      </c>
      <c r="C21" s="777" t="s">
        <v>647</v>
      </c>
      <c r="D21" s="764" t="s">
        <v>629</v>
      </c>
      <c r="E21" s="765" t="s">
        <v>630</v>
      </c>
      <c r="F21" s="766">
        <v>2890.7000000000003</v>
      </c>
      <c r="G21" s="767">
        <v>6.2664000000000044</v>
      </c>
      <c r="H21" s="768" t="s">
        <v>631</v>
      </c>
    </row>
    <row r="22" spans="2:8" ht="30">
      <c r="B22" s="762">
        <v>18</v>
      </c>
      <c r="C22" s="763" t="s">
        <v>648</v>
      </c>
      <c r="D22" s="764" t="s">
        <v>629</v>
      </c>
      <c r="E22" s="765" t="s">
        <v>630</v>
      </c>
      <c r="F22" s="766">
        <v>4638.41</v>
      </c>
      <c r="G22" s="767">
        <v>4.3356399999999997</v>
      </c>
      <c r="H22" s="768" t="s">
        <v>631</v>
      </c>
    </row>
    <row r="23" spans="2:8" ht="30">
      <c r="B23" s="762">
        <v>19</v>
      </c>
      <c r="C23" s="777" t="s">
        <v>649</v>
      </c>
      <c r="D23" s="764" t="s">
        <v>629</v>
      </c>
      <c r="E23" s="765" t="s">
        <v>630</v>
      </c>
      <c r="F23" s="766">
        <v>21858.864000000005</v>
      </c>
      <c r="G23" s="767">
        <v>5.1667200000000015</v>
      </c>
      <c r="H23" s="768" t="s">
        <v>631</v>
      </c>
    </row>
    <row r="24" spans="2:8" ht="30">
      <c r="B24" s="762">
        <v>20</v>
      </c>
      <c r="C24" s="777" t="s">
        <v>650</v>
      </c>
      <c r="D24" s="764" t="s">
        <v>629</v>
      </c>
      <c r="E24" s="765" t="s">
        <v>630</v>
      </c>
      <c r="F24" s="766">
        <v>2622.0600000000004</v>
      </c>
      <c r="G24" s="767">
        <v>3.4702599999999988</v>
      </c>
      <c r="H24" s="768" t="s">
        <v>631</v>
      </c>
    </row>
    <row r="25" spans="2:8" ht="30">
      <c r="B25" s="762">
        <v>21</v>
      </c>
      <c r="C25" s="763" t="s">
        <v>651</v>
      </c>
      <c r="D25" s="764" t="s">
        <v>629</v>
      </c>
      <c r="E25" s="765" t="s">
        <v>630</v>
      </c>
      <c r="F25" s="766">
        <v>12436.21</v>
      </c>
      <c r="G25" s="767">
        <v>21.317140000000013</v>
      </c>
      <c r="H25" s="768" t="s">
        <v>631</v>
      </c>
    </row>
    <row r="26" spans="2:8" ht="30">
      <c r="B26" s="762">
        <v>22</v>
      </c>
      <c r="C26" s="777" t="s">
        <v>652</v>
      </c>
      <c r="D26" s="764" t="s">
        <v>629</v>
      </c>
      <c r="E26" s="765" t="s">
        <v>630</v>
      </c>
      <c r="F26" s="766">
        <v>22218.431690000005</v>
      </c>
      <c r="G26" s="767">
        <v>11.52464</v>
      </c>
      <c r="H26" s="768" t="s">
        <v>631</v>
      </c>
    </row>
    <row r="27" spans="2:8" ht="30">
      <c r="B27" s="762">
        <v>23</v>
      </c>
      <c r="C27" s="777" t="s">
        <v>653</v>
      </c>
      <c r="D27" s="764" t="s">
        <v>629</v>
      </c>
      <c r="E27" s="765" t="s">
        <v>630</v>
      </c>
      <c r="F27" s="766">
        <v>2089.37</v>
      </c>
      <c r="G27" s="767">
        <v>15.722880000000002</v>
      </c>
      <c r="H27" s="768" t="s">
        <v>631</v>
      </c>
    </row>
    <row r="28" spans="2:8" ht="30">
      <c r="B28" s="762">
        <v>24</v>
      </c>
      <c r="C28" s="777" t="s">
        <v>654</v>
      </c>
      <c r="D28" s="764" t="s">
        <v>629</v>
      </c>
      <c r="E28" s="765" t="s">
        <v>630</v>
      </c>
      <c r="F28" s="766">
        <v>14721.3</v>
      </c>
      <c r="G28" s="767">
        <v>12.261560000000001</v>
      </c>
      <c r="H28" s="768" t="s">
        <v>631</v>
      </c>
    </row>
    <row r="29" spans="2:8" ht="30">
      <c r="B29" s="762">
        <v>25</v>
      </c>
      <c r="C29" s="777" t="s">
        <v>655</v>
      </c>
      <c r="D29" s="764" t="s">
        <v>629</v>
      </c>
      <c r="E29" s="765" t="s">
        <v>630</v>
      </c>
      <c r="F29" s="766">
        <v>1055.79</v>
      </c>
      <c r="G29" s="767">
        <v>0.94513999999999987</v>
      </c>
      <c r="H29" s="768" t="s">
        <v>631</v>
      </c>
    </row>
    <row r="30" spans="2:8" ht="30">
      <c r="B30" s="762">
        <v>26</v>
      </c>
      <c r="C30" s="763" t="s">
        <v>656</v>
      </c>
      <c r="D30" s="764" t="s">
        <v>629</v>
      </c>
      <c r="E30" s="765" t="s">
        <v>630</v>
      </c>
      <c r="F30" s="766">
        <f>7995.11+25</f>
        <v>8020.11</v>
      </c>
      <c r="G30" s="767">
        <v>6.8375999999999983</v>
      </c>
      <c r="H30" s="768" t="s">
        <v>631</v>
      </c>
    </row>
    <row r="31" spans="2:8" ht="30">
      <c r="B31" s="762">
        <v>27</v>
      </c>
      <c r="C31" s="777" t="s">
        <v>657</v>
      </c>
      <c r="D31" s="764" t="s">
        <v>629</v>
      </c>
      <c r="E31" s="765" t="s">
        <v>630</v>
      </c>
      <c r="F31" s="766">
        <v>370.57</v>
      </c>
      <c r="G31" s="767">
        <v>0.29009999999999997</v>
      </c>
      <c r="H31" s="768" t="s">
        <v>631</v>
      </c>
    </row>
    <row r="32" spans="2:8" ht="30">
      <c r="B32" s="778">
        <v>28</v>
      </c>
      <c r="C32" s="779" t="s">
        <v>658</v>
      </c>
      <c r="D32" s="780" t="s">
        <v>629</v>
      </c>
      <c r="E32" s="781" t="s">
        <v>630</v>
      </c>
      <c r="F32" s="782">
        <v>143833.712</v>
      </c>
      <c r="G32" s="782">
        <v>12.707080000000001</v>
      </c>
      <c r="H32" s="783" t="s">
        <v>631</v>
      </c>
    </row>
    <row r="33" spans="2:8" ht="30">
      <c r="B33" s="778">
        <v>29</v>
      </c>
      <c r="C33" s="784" t="s">
        <v>659</v>
      </c>
      <c r="D33" s="780" t="s">
        <v>629</v>
      </c>
      <c r="E33" s="781" t="s">
        <v>630</v>
      </c>
      <c r="F33" s="782">
        <v>1592.1</v>
      </c>
      <c r="G33" s="782">
        <v>0.16205999999999995</v>
      </c>
      <c r="H33" s="783" t="s">
        <v>631</v>
      </c>
    </row>
    <row r="35" spans="2:8">
      <c r="B35"/>
      <c r="F35" s="785">
        <f>SUM(F4:F33)</f>
        <v>420234.34850999998</v>
      </c>
      <c r="G35" s="645">
        <f>420234</f>
        <v>420234</v>
      </c>
    </row>
    <row r="36" spans="2:8">
      <c r="B36"/>
      <c r="F36"/>
      <c r="G36" s="776">
        <f>F35-G35</f>
        <v>0.34850999998161569</v>
      </c>
    </row>
    <row r="37" spans="2:8">
      <c r="B37"/>
      <c r="E37" s="787" t="s">
        <v>660</v>
      </c>
      <c r="F37" s="787" t="s">
        <v>661</v>
      </c>
      <c r="G37" s="788">
        <f>G39*G40</f>
        <v>2119.8175031561536</v>
      </c>
    </row>
    <row r="38" spans="2:8">
      <c r="B38"/>
      <c r="E38" s="787" t="s">
        <v>662</v>
      </c>
      <c r="F38" s="787" t="s">
        <v>663</v>
      </c>
      <c r="G38" s="789">
        <f>(SUMPRODUCT(F4:F33,G4:G33)/SUM(F4:F33)*2)</f>
        <v>39.103642720259181</v>
      </c>
    </row>
    <row r="39" spans="2:8">
      <c r="B39"/>
      <c r="E39" s="787" t="s">
        <v>664</v>
      </c>
      <c r="F39" s="787" t="s">
        <v>665</v>
      </c>
      <c r="G39" s="790">
        <f>SUMPRODUCT(F4:F33,G4:G33)*2</f>
        <v>16432693.822915921</v>
      </c>
    </row>
    <row r="40" spans="2:8">
      <c r="B40"/>
      <c r="E40" s="787" t="s">
        <v>666</v>
      </c>
      <c r="F40" s="787" t="s">
        <v>667</v>
      </c>
      <c r="G40" s="791">
        <f>129/1000000</f>
        <v>1.2899999999999999E-4</v>
      </c>
    </row>
    <row r="41" spans="2:8">
      <c r="B41"/>
      <c r="F4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8668-D74E-4B67-87E1-B9BE1764BD0B}">
  <dimension ref="B1:K47"/>
  <sheetViews>
    <sheetView topLeftCell="A23" zoomScale="60" zoomScaleNormal="60" workbookViewId="0">
      <selection activeCell="G43" sqref="G43"/>
    </sheetView>
  </sheetViews>
  <sheetFormatPr defaultColWidth="11.42578125" defaultRowHeight="15"/>
  <cols>
    <col min="2" max="2" width="11.42578125" style="645"/>
    <col min="3" max="3" width="21.5703125" bestFit="1" customWidth="1"/>
    <col min="4" max="4" width="11.42578125" customWidth="1"/>
    <col min="5" max="5" width="23.42578125" customWidth="1"/>
    <col min="6" max="6" width="19.42578125" style="645" customWidth="1"/>
    <col min="7" max="7" width="17.42578125" bestFit="1" customWidth="1"/>
    <col min="8" max="8" width="12.85546875" customWidth="1"/>
  </cols>
  <sheetData>
    <row r="1" spans="2:11" ht="26.25">
      <c r="B1" s="758"/>
    </row>
    <row r="4" spans="2:11" ht="15.75">
      <c r="B4" s="759" t="s">
        <v>622</v>
      </c>
      <c r="C4" s="760" t="s">
        <v>623</v>
      </c>
      <c r="D4" s="760" t="s">
        <v>624</v>
      </c>
      <c r="E4" s="760" t="s">
        <v>625</v>
      </c>
      <c r="F4" s="760" t="s">
        <v>522</v>
      </c>
      <c r="G4" s="760" t="s">
        <v>626</v>
      </c>
      <c r="H4" s="761" t="s">
        <v>627</v>
      </c>
    </row>
    <row r="5" spans="2:11" ht="30">
      <c r="B5" s="762">
        <v>1</v>
      </c>
      <c r="C5" s="763" t="s">
        <v>628</v>
      </c>
      <c r="D5" s="764" t="s">
        <v>629</v>
      </c>
      <c r="E5" s="765" t="s">
        <v>630</v>
      </c>
      <c r="F5" s="766">
        <v>26208.695700000004</v>
      </c>
      <c r="G5" s="767">
        <v>29.015259999999973</v>
      </c>
      <c r="H5" s="768" t="s">
        <v>631</v>
      </c>
    </row>
    <row r="6" spans="2:11">
      <c r="B6" s="769" t="s">
        <v>580</v>
      </c>
      <c r="C6" s="770"/>
      <c r="D6" s="771"/>
      <c r="E6" s="772"/>
      <c r="F6" s="773">
        <v>2477.2428780000191</v>
      </c>
      <c r="G6" s="774">
        <v>29</v>
      </c>
      <c r="H6" s="775"/>
    </row>
    <row r="7" spans="2:11" ht="30">
      <c r="B7" s="762">
        <v>2</v>
      </c>
      <c r="C7" s="763" t="s">
        <v>632</v>
      </c>
      <c r="D7" s="764" t="s">
        <v>629</v>
      </c>
      <c r="E7" s="765" t="s">
        <v>630</v>
      </c>
      <c r="F7" s="766">
        <v>8185.7300000000005</v>
      </c>
      <c r="G7" s="792">
        <v>6.6857999999999986</v>
      </c>
      <c r="H7" s="768" t="s">
        <v>631</v>
      </c>
      <c r="K7" s="776"/>
    </row>
    <row r="8" spans="2:11" ht="30">
      <c r="B8" s="762">
        <v>3</v>
      </c>
      <c r="C8" s="777" t="s">
        <v>633</v>
      </c>
      <c r="D8" s="764" t="s">
        <v>629</v>
      </c>
      <c r="E8" s="765" t="s">
        <v>630</v>
      </c>
      <c r="F8" s="766">
        <v>1472.94</v>
      </c>
      <c r="G8" s="792">
        <v>5.8104400000000007</v>
      </c>
      <c r="H8" s="768" t="s">
        <v>631</v>
      </c>
      <c r="K8" s="776"/>
    </row>
    <row r="9" spans="2:11" ht="30">
      <c r="B9" s="762">
        <v>4</v>
      </c>
      <c r="C9" s="763" t="s">
        <v>668</v>
      </c>
      <c r="D9" s="764" t="s">
        <v>629</v>
      </c>
      <c r="E9" s="765" t="s">
        <v>630</v>
      </c>
      <c r="F9" s="766">
        <v>2771.3700000000003</v>
      </c>
      <c r="G9" s="767">
        <v>2.2874400000000006</v>
      </c>
      <c r="H9" s="768" t="s">
        <v>631</v>
      </c>
    </row>
    <row r="10" spans="2:11" ht="30">
      <c r="B10" s="762">
        <v>5</v>
      </c>
      <c r="C10" s="763" t="s">
        <v>634</v>
      </c>
      <c r="D10" s="764" t="s">
        <v>629</v>
      </c>
      <c r="E10" s="765" t="s">
        <v>630</v>
      </c>
      <c r="F10" s="766">
        <v>4641.8999999999996</v>
      </c>
      <c r="G10" s="767">
        <v>2.0935200000000003</v>
      </c>
      <c r="H10" s="768" t="s">
        <v>631</v>
      </c>
    </row>
    <row r="11" spans="2:11" ht="30">
      <c r="B11" s="762">
        <v>6</v>
      </c>
      <c r="C11" s="763" t="s">
        <v>635</v>
      </c>
      <c r="D11" s="764" t="s">
        <v>629</v>
      </c>
      <c r="E11" s="765" t="s">
        <v>630</v>
      </c>
      <c r="F11" s="766">
        <v>850.99</v>
      </c>
      <c r="G11" s="767">
        <v>2.3211400000000002</v>
      </c>
      <c r="H11" s="768" t="s">
        <v>631</v>
      </c>
    </row>
    <row r="12" spans="2:11" ht="30">
      <c r="B12" s="762">
        <v>7</v>
      </c>
      <c r="C12" s="777" t="s">
        <v>636</v>
      </c>
      <c r="D12" s="764" t="s">
        <v>629</v>
      </c>
      <c r="E12" s="765" t="s">
        <v>630</v>
      </c>
      <c r="F12" s="766">
        <v>19713.390000000003</v>
      </c>
      <c r="G12" s="792">
        <v>4.3175400000000002</v>
      </c>
      <c r="H12" s="768" t="s">
        <v>631</v>
      </c>
    </row>
    <row r="13" spans="2:11" ht="30">
      <c r="B13" s="762">
        <v>8</v>
      </c>
      <c r="C13" s="777" t="s">
        <v>637</v>
      </c>
      <c r="D13" s="764" t="s">
        <v>629</v>
      </c>
      <c r="E13" s="765" t="s">
        <v>630</v>
      </c>
      <c r="F13" s="766">
        <v>9604.9699999999993</v>
      </c>
      <c r="G13" s="792">
        <v>8.6965199999999978</v>
      </c>
      <c r="H13" s="768" t="s">
        <v>631</v>
      </c>
    </row>
    <row r="14" spans="2:11" ht="30">
      <c r="B14" s="762">
        <v>9</v>
      </c>
      <c r="C14" s="763" t="s">
        <v>638</v>
      </c>
      <c r="D14" s="764" t="s">
        <v>629</v>
      </c>
      <c r="E14" s="765" t="s">
        <v>630</v>
      </c>
      <c r="F14" s="766">
        <v>14060.507000000001</v>
      </c>
      <c r="G14" s="767">
        <v>43.90273999999998</v>
      </c>
      <c r="H14" s="768" t="s">
        <v>631</v>
      </c>
    </row>
    <row r="15" spans="2:11" ht="30">
      <c r="B15" s="762">
        <v>10</v>
      </c>
      <c r="C15" s="777" t="s">
        <v>669</v>
      </c>
      <c r="D15" s="764" t="s">
        <v>629</v>
      </c>
      <c r="E15" s="765" t="s">
        <v>630</v>
      </c>
      <c r="F15" s="766">
        <v>574.26</v>
      </c>
      <c r="G15" s="792">
        <v>1.8715200000000003</v>
      </c>
      <c r="H15" s="768" t="s">
        <v>631</v>
      </c>
    </row>
    <row r="16" spans="2:11" ht="30">
      <c r="B16" s="762">
        <v>11</v>
      </c>
      <c r="C16" s="777" t="s">
        <v>639</v>
      </c>
      <c r="D16" s="764" t="s">
        <v>629</v>
      </c>
      <c r="E16" s="765" t="s">
        <v>630</v>
      </c>
      <c r="F16" s="766">
        <v>2435.81</v>
      </c>
      <c r="G16" s="792">
        <v>2.0350599999999992</v>
      </c>
      <c r="H16" s="768" t="s">
        <v>631</v>
      </c>
    </row>
    <row r="17" spans="2:8" ht="30">
      <c r="B17" s="762">
        <v>12</v>
      </c>
      <c r="C17" s="777" t="s">
        <v>640</v>
      </c>
      <c r="D17" s="764" t="s">
        <v>629</v>
      </c>
      <c r="E17" s="765" t="s">
        <v>630</v>
      </c>
      <c r="F17" s="766">
        <v>32059.440000000006</v>
      </c>
      <c r="G17" s="792">
        <v>40.312919999999998</v>
      </c>
      <c r="H17" s="768" t="s">
        <v>631</v>
      </c>
    </row>
    <row r="18" spans="2:8" ht="30">
      <c r="B18" s="762">
        <v>13</v>
      </c>
      <c r="C18" s="777" t="s">
        <v>641</v>
      </c>
      <c r="D18" s="764" t="s">
        <v>629</v>
      </c>
      <c r="E18" s="765" t="s">
        <v>630</v>
      </c>
      <c r="F18" s="766">
        <v>6696.9199999999983</v>
      </c>
      <c r="G18" s="792">
        <v>26.446120000000004</v>
      </c>
      <c r="H18" s="768" t="s">
        <v>631</v>
      </c>
    </row>
    <row r="19" spans="2:8" ht="30">
      <c r="B19" s="762">
        <v>14</v>
      </c>
      <c r="C19" s="777" t="s">
        <v>642</v>
      </c>
      <c r="D19" s="764" t="s">
        <v>629</v>
      </c>
      <c r="E19" s="765" t="s">
        <v>630</v>
      </c>
      <c r="F19" s="766">
        <v>4717.92</v>
      </c>
      <c r="G19" s="792">
        <v>4.9107200000000013</v>
      </c>
      <c r="H19" s="768" t="s">
        <v>631</v>
      </c>
    </row>
    <row r="20" spans="2:8" ht="30">
      <c r="B20" s="762">
        <v>15</v>
      </c>
      <c r="C20" s="777" t="s">
        <v>643</v>
      </c>
      <c r="D20" s="764" t="s">
        <v>629</v>
      </c>
      <c r="E20" s="765" t="s">
        <v>630</v>
      </c>
      <c r="F20" s="766">
        <v>7202.5095599999995</v>
      </c>
      <c r="G20" s="792">
        <v>6.04176</v>
      </c>
      <c r="H20" s="768" t="s">
        <v>631</v>
      </c>
    </row>
    <row r="21" spans="2:8" ht="30">
      <c r="B21" s="762">
        <v>16</v>
      </c>
      <c r="C21" s="777" t="s">
        <v>644</v>
      </c>
      <c r="D21" s="764" t="s">
        <v>629</v>
      </c>
      <c r="E21" s="765" t="s">
        <v>630</v>
      </c>
      <c r="F21" s="766">
        <v>14310.640000000003</v>
      </c>
      <c r="G21" s="792">
        <v>6.1846400000000008</v>
      </c>
      <c r="H21" s="768" t="s">
        <v>631</v>
      </c>
    </row>
    <row r="22" spans="2:8" ht="30">
      <c r="B22" s="762">
        <v>17</v>
      </c>
      <c r="C22" s="777" t="s">
        <v>645</v>
      </c>
      <c r="D22" s="764" t="s">
        <v>629</v>
      </c>
      <c r="E22" s="765" t="s">
        <v>630</v>
      </c>
      <c r="F22" s="766">
        <v>1829.7289999999998</v>
      </c>
      <c r="G22" s="792">
        <v>2.9103999999999983</v>
      </c>
      <c r="H22" s="768" t="s">
        <v>631</v>
      </c>
    </row>
    <row r="23" spans="2:8" ht="30">
      <c r="B23" s="762">
        <v>18</v>
      </c>
      <c r="C23" s="763" t="s">
        <v>670</v>
      </c>
      <c r="D23" s="764" t="s">
        <v>629</v>
      </c>
      <c r="E23" s="765" t="s">
        <v>630</v>
      </c>
      <c r="F23" s="762">
        <v>10916.156000000001</v>
      </c>
      <c r="G23" s="792">
        <v>12.423120000000004</v>
      </c>
      <c r="H23" s="768" t="s">
        <v>631</v>
      </c>
    </row>
    <row r="24" spans="2:8" ht="30">
      <c r="B24" s="762">
        <v>19</v>
      </c>
      <c r="C24" s="777" t="s">
        <v>646</v>
      </c>
      <c r="D24" s="764" t="s">
        <v>629</v>
      </c>
      <c r="E24" s="765" t="s">
        <v>630</v>
      </c>
      <c r="F24" s="762">
        <v>3519.96</v>
      </c>
      <c r="G24" s="792">
        <v>0.99524000000000057</v>
      </c>
      <c r="H24" s="768" t="s">
        <v>631</v>
      </c>
    </row>
    <row r="25" spans="2:8" ht="30">
      <c r="B25" s="762">
        <v>20</v>
      </c>
      <c r="C25" s="777" t="s">
        <v>647</v>
      </c>
      <c r="D25" s="764" t="s">
        <v>629</v>
      </c>
      <c r="E25" s="765" t="s">
        <v>630</v>
      </c>
      <c r="F25" s="762">
        <v>639.62</v>
      </c>
      <c r="G25" s="792">
        <v>1.3651799999999998</v>
      </c>
      <c r="H25" s="768" t="s">
        <v>631</v>
      </c>
    </row>
    <row r="26" spans="2:8" ht="30">
      <c r="B26" s="762">
        <v>21</v>
      </c>
      <c r="C26" s="763" t="s">
        <v>648</v>
      </c>
      <c r="D26" s="764" t="s">
        <v>629</v>
      </c>
      <c r="E26" s="765" t="s">
        <v>630</v>
      </c>
      <c r="F26" s="762">
        <v>7173.88</v>
      </c>
      <c r="G26" s="767">
        <v>6.2805999999999997</v>
      </c>
      <c r="H26" s="768" t="s">
        <v>631</v>
      </c>
    </row>
    <row r="27" spans="2:8" ht="30">
      <c r="B27" s="762">
        <v>22</v>
      </c>
      <c r="C27" s="777" t="s">
        <v>649</v>
      </c>
      <c r="D27" s="764" t="s">
        <v>629</v>
      </c>
      <c r="E27" s="765" t="s">
        <v>630</v>
      </c>
      <c r="F27" s="762">
        <v>19238.819999999992</v>
      </c>
      <c r="G27" s="792">
        <v>4.4491200000000015</v>
      </c>
      <c r="H27" s="768" t="s">
        <v>631</v>
      </c>
    </row>
    <row r="28" spans="2:8" ht="30">
      <c r="B28" s="762">
        <v>23</v>
      </c>
      <c r="C28" s="777" t="s">
        <v>650</v>
      </c>
      <c r="D28" s="764" t="s">
        <v>629</v>
      </c>
      <c r="E28" s="765" t="s">
        <v>630</v>
      </c>
      <c r="F28" s="762">
        <v>8944.49</v>
      </c>
      <c r="G28" s="792">
        <v>11.34587999999999</v>
      </c>
      <c r="H28" s="768" t="s">
        <v>631</v>
      </c>
    </row>
    <row r="29" spans="2:8" ht="30">
      <c r="B29" s="762">
        <v>24</v>
      </c>
      <c r="C29" s="777" t="s">
        <v>671</v>
      </c>
      <c r="D29" s="764" t="s">
        <v>629</v>
      </c>
      <c r="E29" s="765" t="s">
        <v>630</v>
      </c>
      <c r="F29" s="762">
        <v>815</v>
      </c>
      <c r="G29" s="792">
        <v>1.4409200000000011</v>
      </c>
      <c r="H29" s="768" t="s">
        <v>631</v>
      </c>
    </row>
    <row r="30" spans="2:8" ht="30">
      <c r="B30" s="762">
        <v>25</v>
      </c>
      <c r="C30" s="777" t="s">
        <v>651</v>
      </c>
      <c r="D30" s="764" t="s">
        <v>629</v>
      </c>
      <c r="E30" s="765" t="s">
        <v>630</v>
      </c>
      <c r="F30" s="762">
        <v>9240.369999999999</v>
      </c>
      <c r="G30" s="792">
        <v>15.129660000000008</v>
      </c>
      <c r="H30" s="768" t="s">
        <v>631</v>
      </c>
    </row>
    <row r="31" spans="2:8" ht="30">
      <c r="B31" s="762">
        <v>26</v>
      </c>
      <c r="C31" s="763" t="s">
        <v>672</v>
      </c>
      <c r="D31" s="764" t="s">
        <v>629</v>
      </c>
      <c r="E31" s="765" t="s">
        <v>630</v>
      </c>
      <c r="F31" s="762">
        <v>8523.5299999999988</v>
      </c>
      <c r="G31" s="767">
        <v>66.142999999999887</v>
      </c>
      <c r="H31" s="768" t="s">
        <v>631</v>
      </c>
    </row>
    <row r="32" spans="2:8" ht="30">
      <c r="B32" s="762">
        <v>27</v>
      </c>
      <c r="C32" s="777" t="s">
        <v>673</v>
      </c>
      <c r="D32" s="764" t="s">
        <v>629</v>
      </c>
      <c r="E32" s="765" t="s">
        <v>630</v>
      </c>
      <c r="F32" s="762">
        <v>1703.22</v>
      </c>
      <c r="G32" s="792">
        <v>0.90440000000000009</v>
      </c>
      <c r="H32" s="768" t="s">
        <v>631</v>
      </c>
    </row>
    <row r="33" spans="2:8" ht="30">
      <c r="B33" s="762">
        <v>28</v>
      </c>
      <c r="C33" s="763" t="s">
        <v>652</v>
      </c>
      <c r="D33" s="764" t="s">
        <v>629</v>
      </c>
      <c r="E33" s="765" t="s">
        <v>630</v>
      </c>
      <c r="F33" s="762">
        <v>16881.649999999994</v>
      </c>
      <c r="G33" s="767">
        <v>8.3979999999999979</v>
      </c>
      <c r="H33" s="768" t="s">
        <v>631</v>
      </c>
    </row>
    <row r="34" spans="2:8" ht="30">
      <c r="B34" s="762">
        <v>29</v>
      </c>
      <c r="C34" s="763" t="s">
        <v>653</v>
      </c>
      <c r="D34" s="764" t="s">
        <v>629</v>
      </c>
      <c r="E34" s="765" t="s">
        <v>630</v>
      </c>
      <c r="F34" s="762">
        <f>3215.74-441</f>
        <v>2774.74</v>
      </c>
      <c r="G34" s="767">
        <v>20.963840000000001</v>
      </c>
      <c r="H34" s="768" t="s">
        <v>631</v>
      </c>
    </row>
    <row r="35" spans="2:8" ht="30">
      <c r="B35" s="762">
        <v>30</v>
      </c>
      <c r="C35" s="777" t="s">
        <v>654</v>
      </c>
      <c r="D35" s="764" t="s">
        <v>629</v>
      </c>
      <c r="E35" s="765" t="s">
        <v>630</v>
      </c>
      <c r="F35" s="762">
        <v>13870.79</v>
      </c>
      <c r="G35" s="792">
        <v>13.712060000000001</v>
      </c>
      <c r="H35" s="768" t="s">
        <v>631</v>
      </c>
    </row>
    <row r="36" spans="2:8" ht="30">
      <c r="B36" s="762">
        <v>31</v>
      </c>
      <c r="C36" s="763" t="s">
        <v>674</v>
      </c>
      <c r="D36" s="764" t="s">
        <v>629</v>
      </c>
      <c r="E36" s="765" t="s">
        <v>630</v>
      </c>
      <c r="F36" s="762">
        <v>2876.1379999999999</v>
      </c>
      <c r="G36" s="767">
        <v>23.433519999999977</v>
      </c>
      <c r="H36" s="768" t="s">
        <v>631</v>
      </c>
    </row>
    <row r="37" spans="2:8" ht="30">
      <c r="B37" s="762">
        <v>32</v>
      </c>
      <c r="C37" s="777" t="s">
        <v>655</v>
      </c>
      <c r="D37" s="764" t="s">
        <v>629</v>
      </c>
      <c r="E37" s="765" t="s">
        <v>630</v>
      </c>
      <c r="F37" s="762">
        <v>8346.7099999999991</v>
      </c>
      <c r="G37" s="792">
        <v>7.6050799999999992</v>
      </c>
      <c r="H37" s="768" t="s">
        <v>631</v>
      </c>
    </row>
    <row r="38" spans="2:8" ht="30">
      <c r="B38" s="762">
        <v>33</v>
      </c>
      <c r="C38" s="777" t="s">
        <v>656</v>
      </c>
      <c r="D38" s="764" t="s">
        <v>629</v>
      </c>
      <c r="E38" s="765" t="s">
        <v>630</v>
      </c>
      <c r="F38" s="762">
        <v>12348.619999999999</v>
      </c>
      <c r="G38" s="792">
        <v>9.3302599999999991</v>
      </c>
      <c r="H38" s="768" t="s">
        <v>631</v>
      </c>
    </row>
    <row r="39" spans="2:8" ht="30">
      <c r="B39" s="778">
        <v>34</v>
      </c>
      <c r="C39" s="779" t="s">
        <v>658</v>
      </c>
      <c r="D39" s="780" t="s">
        <v>629</v>
      </c>
      <c r="E39" s="781" t="s">
        <v>630</v>
      </c>
      <c r="F39" s="766">
        <v>152232.84600000005</v>
      </c>
      <c r="G39" s="793">
        <v>14.034740000000015</v>
      </c>
      <c r="H39" s="783" t="s">
        <v>631</v>
      </c>
    </row>
    <row r="40" spans="2:8" ht="30">
      <c r="B40" s="778">
        <v>35</v>
      </c>
      <c r="C40" s="779" t="s">
        <v>659</v>
      </c>
      <c r="D40" s="780" t="s">
        <v>629</v>
      </c>
      <c r="E40" s="781" t="s">
        <v>630</v>
      </c>
      <c r="F40" s="778">
        <v>1019.9</v>
      </c>
      <c r="G40" s="793">
        <v>0.20987999999999993</v>
      </c>
      <c r="H40" s="783" t="s">
        <v>631</v>
      </c>
    </row>
    <row r="42" spans="2:8">
      <c r="F42" s="785">
        <f>SUM(F5:F40)</f>
        <v>440881.4041380001</v>
      </c>
      <c r="G42" s="786">
        <f>440881</f>
        <v>440881</v>
      </c>
    </row>
    <row r="43" spans="2:8">
      <c r="G43" s="776">
        <f>F42-G42</f>
        <v>0.40413800009991974</v>
      </c>
    </row>
    <row r="44" spans="2:8">
      <c r="E44" s="787" t="s">
        <v>660</v>
      </c>
      <c r="F44" s="787" t="s">
        <v>661</v>
      </c>
      <c r="G44" s="813">
        <f>G46*G47</f>
        <v>1854.2512855130551</v>
      </c>
    </row>
    <row r="45" spans="2:8">
      <c r="E45" s="787" t="s">
        <v>662</v>
      </c>
      <c r="F45" s="787" t="s">
        <v>663</v>
      </c>
      <c r="G45" s="789">
        <f>(SUMPRODUCT(F5:F40,G5:G40)/SUM(F5:F40)*2)</f>
        <v>32.602964965313454</v>
      </c>
    </row>
    <row r="46" spans="2:8">
      <c r="E46" s="787" t="s">
        <v>664</v>
      </c>
      <c r="F46" s="787" t="s">
        <v>665</v>
      </c>
      <c r="G46" s="790">
        <f>SUMPRODUCT(F5:F40,G5:G40)*2</f>
        <v>14374040.97296942</v>
      </c>
    </row>
    <row r="47" spans="2:8">
      <c r="E47" s="787" t="s">
        <v>666</v>
      </c>
      <c r="F47" s="787" t="s">
        <v>667</v>
      </c>
      <c r="G47" s="791">
        <v>1.2899999999999999E-4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DC1F0F2D97C04690DF7AC407C65BA5" ma:contentTypeVersion="19" ma:contentTypeDescription="Create a new document." ma:contentTypeScope="" ma:versionID="138ac169aaadc9c430b97b25b46ecc4e">
  <xsd:schema xmlns:xsd="http://www.w3.org/2001/XMLSchema" xmlns:xs="http://www.w3.org/2001/XMLSchema" xmlns:p="http://schemas.microsoft.com/office/2006/metadata/properties" xmlns:ns2="5944c9fc-9421-4c39-b608-61ce31788618" xmlns:ns3="3ba820af-9c36-47fb-8383-9944acc4573c" targetNamespace="http://schemas.microsoft.com/office/2006/metadata/properties" ma:root="true" ma:fieldsID="4cce58cbed9668fc3dbbcfb9a7470718" ns2:_="" ns3:_="">
    <xsd:import namespace="5944c9fc-9421-4c39-b608-61ce31788618"/>
    <xsd:import namespace="3ba820af-9c36-47fb-8383-9944acc457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4c9fc-9421-4c39-b608-61ce31788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97863a-9c53-4d79-aa62-b4edf9878b6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a820af-9c36-47fb-8383-9944acc4573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e236bb-6ba1-491a-998c-53c379aa7070}" ma:internalName="TaxCatchAll" ma:showField="CatchAllData" ma:web="3ba820af-9c36-47fb-8383-9944acc457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a820af-9c36-47fb-8383-9944acc4573c" xsi:nil="true"/>
    <lcf76f155ced4ddcb4097134ff3c332f xmlns="5944c9fc-9421-4c39-b608-61ce317886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493DA3-E0FB-4C06-B40E-79BBB9246AF2}">
  <ds:schemaRefs>
    <ds:schemaRef ds:uri="http://schemas.microsoft.com/sharepoint/v3/contenttype/forms"/>
  </ds:schemaRefs>
</ds:datastoreItem>
</file>

<file path=customXml/itemProps2.xml><?xml version="1.0" encoding="utf-8"?>
<ds:datastoreItem xmlns:ds="http://schemas.openxmlformats.org/officeDocument/2006/customXml" ds:itemID="{A75694E9-66BC-4020-80A1-6B0B5DCBA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4c9fc-9421-4c39-b608-61ce31788618"/>
    <ds:schemaRef ds:uri="3ba820af-9c36-47fb-8383-9944acc457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2DFD85-DAA2-413F-964A-C78BE103E588}">
  <ds:schemaRefs>
    <ds:schemaRef ds:uri="http://schemas.microsoft.com/office/2006/metadata/properties"/>
    <ds:schemaRef ds:uri="http://schemas.microsoft.com/office/infopath/2007/PartnerControls"/>
    <ds:schemaRef ds:uri="3ba820af-9c36-47fb-8383-9944acc4573c"/>
    <ds:schemaRef ds:uri="5944c9fc-9421-4c39-b608-61ce317886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Summary</vt:lpstr>
      <vt:lpstr>Monrep Tables</vt:lpstr>
      <vt:lpstr>Emissions</vt:lpstr>
      <vt:lpstr>2020 Data</vt:lpstr>
      <vt:lpstr>2019 Data</vt:lpstr>
      <vt:lpstr>2018 Data</vt:lpstr>
      <vt:lpstr>2017 Data </vt:lpstr>
      <vt:lpstr>2020 wet tons </vt:lpstr>
      <vt:lpstr>2019 wet tons</vt:lpstr>
      <vt:lpstr>2018 wet tons..</vt:lpstr>
      <vt:lpstr>2017 wet tons</vt:lpstr>
      <vt:lpstr>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Arnoldo Rodriguez Lewald</dc:creator>
  <cp:keywords/>
  <dc:description/>
  <cp:lastModifiedBy>Joash Obare</cp:lastModifiedBy>
  <cp:revision/>
  <dcterms:created xsi:type="dcterms:W3CDTF">2021-04-19T22:26:38Z</dcterms:created>
  <dcterms:modified xsi:type="dcterms:W3CDTF">2024-05-14T06:15:28Z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0x010100CDDC1F0F2D97C04690DF7AC407C65BA5</vt:lpwstr>
  </property>
  <property fmtid="{D5CDD505-2E9C-101B-9397-08002B2CF9AE}" pid="3" name="MediaServiceImageTags">
    <vt:lpwstr/>
  </property>
</Properties>
</file>