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arauco-my.sharepoint.com/personal/christian_rodriguez_arauco_com/Documents/2023/Cartera Proyectos/Proyectos vigentes/Verificaciones/Viñales 2023-2022-2021/Submission to verra/ER/"/>
    </mc:Choice>
  </mc:AlternateContent>
  <xr:revisionPtr revIDLastSave="1" documentId="8_{E569725F-AA53-41D5-B3E8-3229E339758F}" xr6:coauthVersionLast="47" xr6:coauthVersionMax="47" xr10:uidLastSave="{70FDD03E-AF6E-47A8-9423-6BCCE54BD482}"/>
  <bookViews>
    <workbookView xWindow="28680" yWindow="-120" windowWidth="29040" windowHeight="15840" activeTab="1" xr2:uid="{00000000-000D-0000-FFFF-FFFF00000000}"/>
  </bookViews>
  <sheets>
    <sheet name="Summary" sheetId="8" r:id="rId1"/>
    <sheet name="Monrep Tables" sheetId="7" r:id="rId2"/>
    <sheet name="Emissions" sheetId="9" r:id="rId3"/>
    <sheet name="2023 Data" sheetId="3" r:id="rId4"/>
    <sheet name="2022 Data" sheetId="2" r:id="rId5"/>
    <sheet name="2021 Data " sheetId="4" r:id="rId6"/>
    <sheet name="EF" sheetId="10" r:id="rId7"/>
    <sheet name="2023 wet tons " sheetId="15" r:id="rId8"/>
    <sheet name="2022 wet tons" sheetId="13" r:id="rId9"/>
    <sheet name="2021 wet tons" sheetId="14" r:id="rId10"/>
  </sheets>
  <externalReferences>
    <externalReference r:id="rId11"/>
    <externalReference r:id="rId12"/>
  </externalReferences>
  <definedNames>
    <definedName name="_A" localSheetId="7">#REF!</definedName>
    <definedName name="_A">#REF!</definedName>
    <definedName name="año1994" localSheetId="5">#REF!</definedName>
    <definedName name="año1994" localSheetId="7">#REF!</definedName>
    <definedName name="año1994" localSheetId="2">#REF!</definedName>
    <definedName name="año1994" localSheetId="1">#REF!</definedName>
    <definedName name="año1994" localSheetId="0">#REF!</definedName>
    <definedName name="año1994">#REF!</definedName>
    <definedName name="año1995" localSheetId="5">#REF!</definedName>
    <definedName name="año1995" localSheetId="7">#REF!</definedName>
    <definedName name="año1995" localSheetId="2">#REF!</definedName>
    <definedName name="año1995" localSheetId="1">#REF!</definedName>
    <definedName name="año1995" localSheetId="0">#REF!</definedName>
    <definedName name="año1995">#REF!</definedName>
    <definedName name="año1996" localSheetId="5">#REF!</definedName>
    <definedName name="año1996" localSheetId="7">#REF!</definedName>
    <definedName name="año1996" localSheetId="2">#REF!</definedName>
    <definedName name="año1996" localSheetId="1">#REF!</definedName>
    <definedName name="año1996" localSheetId="0">#REF!</definedName>
    <definedName name="año1996">#REF!</definedName>
    <definedName name="año1997" localSheetId="5">#REF!</definedName>
    <definedName name="año1997" localSheetId="7">#REF!</definedName>
    <definedName name="año1997" localSheetId="2">#REF!</definedName>
    <definedName name="año1997">#REF!</definedName>
    <definedName name="año1998" localSheetId="5">#REF!</definedName>
    <definedName name="año1998" localSheetId="7">#REF!</definedName>
    <definedName name="año1998" localSheetId="2">#REF!</definedName>
    <definedName name="año1998">#REF!</definedName>
    <definedName name="año1999" localSheetId="5">#REF!</definedName>
    <definedName name="año1999" localSheetId="7">#REF!</definedName>
    <definedName name="año1999" localSheetId="2">#REF!</definedName>
    <definedName name="año1999">#REF!</definedName>
    <definedName name="año2000" localSheetId="5">#REF!</definedName>
    <definedName name="año2000" localSheetId="7">#REF!</definedName>
    <definedName name="año2000" localSheetId="2">#REF!</definedName>
    <definedName name="año2000">#REF!</definedName>
    <definedName name="año2001" localSheetId="5">#REF!</definedName>
    <definedName name="año2001" localSheetId="7">#REF!</definedName>
    <definedName name="año2001" localSheetId="2">#REF!</definedName>
    <definedName name="año2001">#REF!</definedName>
    <definedName name="año2002" localSheetId="5">#REF!</definedName>
    <definedName name="año2002" localSheetId="7">#REF!</definedName>
    <definedName name="año2002" localSheetId="2">#REF!</definedName>
    <definedName name="año2002">#REF!</definedName>
    <definedName name="año2003" localSheetId="5">#REF!</definedName>
    <definedName name="año2003" localSheetId="7">#REF!</definedName>
    <definedName name="año2003" localSheetId="2">#REF!</definedName>
    <definedName name="año2003">#REF!</definedName>
    <definedName name="Dieselfueldensity" localSheetId="7">[1]Emissions!#REF!</definedName>
    <definedName name="Dieselfueldensity" localSheetId="2">[2]Emissions!#REF!</definedName>
    <definedName name="Dieselfueldensity" localSheetId="1">[2]Emissions!#REF!</definedName>
    <definedName name="Dieselfueldensity" localSheetId="0">[2]Emissions!#REF!</definedName>
    <definedName name="Dieselfueldensity">[1]Emissions!#REF!</definedName>
    <definedName name="fueldensitydiesel" localSheetId="2">[2]Emissions!$E$73</definedName>
    <definedName name="fueldensitydiesel" localSheetId="1">[2]Emissions!$E$73</definedName>
    <definedName name="fueldensitydiesel" localSheetId="0">[2]Emissions!$E$73</definedName>
    <definedName name="fueldensitydiesel">[1]Emissions!$E$73</definedName>
    <definedName name="monte" localSheetId="7">#REF!</definedName>
    <definedName name="monte">#REF!</definedName>
    <definedName name="OLE_LINK12" localSheetId="5">#REF!</definedName>
    <definedName name="OLE_LINK12" localSheetId="7">#REF!</definedName>
    <definedName name="OLE_LINK12" localSheetId="2">#REF!</definedName>
    <definedName name="OLE_LINK12" localSheetId="1">#REF!</definedName>
    <definedName name="OLE_LINK12" localSheetId="0">#REF!</definedName>
    <definedName name="OLE_LINK12">#REF!</definedName>
    <definedName name="Type_of_Power_Plant" localSheetId="5">#REF!</definedName>
    <definedName name="Type_of_Power_Plant" localSheetId="7">#REF!</definedName>
    <definedName name="Type_of_Power_Plant" localSheetId="2">#REF!</definedName>
    <definedName name="Type_of_Power_Plant" localSheetId="1">#REF!</definedName>
    <definedName name="Type_of_Power_Plant" localSheetId="0">#REF!</definedName>
    <definedName name="Type_of_Power_Plant">#REF!</definedName>
    <definedName name="wiuhjwehjehjwehj" localSheetId="7">#REF!</definedName>
    <definedName name="wiuhjwehjehjwehj">#REF!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01" i="7" l="1"/>
  <c r="F251" i="9"/>
  <c r="Q13" i="3"/>
  <c r="F82" i="3"/>
  <c r="G82" i="3"/>
  <c r="H82" i="3"/>
  <c r="I82" i="3"/>
  <c r="J82" i="3"/>
  <c r="K82" i="3"/>
  <c r="L82" i="3"/>
  <c r="M82" i="3"/>
  <c r="N82" i="3"/>
  <c r="O82" i="3"/>
  <c r="P82" i="3"/>
  <c r="E82" i="3"/>
  <c r="Q14" i="3" l="1"/>
  <c r="G63" i="14"/>
  <c r="G46" i="13"/>
  <c r="G47" i="13"/>
  <c r="G48" i="13"/>
  <c r="G54" i="15"/>
  <c r="G53" i="15"/>
  <c r="C70" i="8"/>
  <c r="H220" i="9"/>
  <c r="G220" i="9"/>
  <c r="F162" i="9"/>
  <c r="G161" i="9"/>
  <c r="H161" i="9"/>
  <c r="F161" i="9"/>
  <c r="F154" i="9"/>
  <c r="F158" i="9" s="1"/>
  <c r="G154" i="9"/>
  <c r="H154" i="9"/>
  <c r="H153" i="9"/>
  <c r="G153" i="9"/>
  <c r="H152" i="9"/>
  <c r="G152" i="9"/>
  <c r="F152" i="9"/>
  <c r="F153" i="9" s="1"/>
  <c r="F150" i="9" l="1"/>
  <c r="F137" i="9"/>
  <c r="F38" i="9"/>
  <c r="O14" i="2"/>
  <c r="Q13" i="4"/>
  <c r="E14" i="3"/>
  <c r="E14" i="4"/>
  <c r="F14" i="2"/>
  <c r="G14" i="2"/>
  <c r="H14" i="2"/>
  <c r="I14" i="2"/>
  <c r="J14" i="2"/>
  <c r="K14" i="2"/>
  <c r="L14" i="2"/>
  <c r="M14" i="2"/>
  <c r="N14" i="2"/>
  <c r="P14" i="2"/>
  <c r="E14" i="2"/>
  <c r="I79" i="2"/>
  <c r="F140" i="9"/>
  <c r="F195" i="9"/>
  <c r="G60" i="8"/>
  <c r="E58" i="8"/>
  <c r="E59" i="8"/>
  <c r="E57" i="8"/>
  <c r="E60" i="8" s="1"/>
  <c r="F236" i="9" l="1"/>
  <c r="G55" i="15"/>
  <c r="G56" i="15"/>
  <c r="L6" i="15"/>
  <c r="K6" i="15"/>
  <c r="L5" i="15"/>
  <c r="K5" i="15"/>
  <c r="F238" i="9" l="1"/>
  <c r="Q15" i="3" l="1"/>
  <c r="G64" i="14" l="1"/>
  <c r="G62" i="14" s="1"/>
  <c r="G135" i="9" a="1"/>
  <c r="G135" i="9" s="1"/>
  <c r="F135" i="9" a="1"/>
  <c r="F135" i="9" s="1"/>
  <c r="F133" i="9" a="1"/>
  <c r="F133" i="9" s="1"/>
  <c r="Q53" i="3"/>
  <c r="Q51" i="3"/>
  <c r="P51" i="3"/>
  <c r="P53" i="3"/>
  <c r="F53" i="3"/>
  <c r="G53" i="3"/>
  <c r="H53" i="3"/>
  <c r="I53" i="3"/>
  <c r="J53" i="3"/>
  <c r="K53" i="3"/>
  <c r="L53" i="3"/>
  <c r="M53" i="3"/>
  <c r="N53" i="3"/>
  <c r="E53" i="3"/>
  <c r="F51" i="3"/>
  <c r="G51" i="3"/>
  <c r="H51" i="3"/>
  <c r="I51" i="3"/>
  <c r="J51" i="3"/>
  <c r="K51" i="3"/>
  <c r="L51" i="3"/>
  <c r="M51" i="3"/>
  <c r="N51" i="3"/>
  <c r="E51" i="3"/>
  <c r="O53" i="3"/>
  <c r="O51" i="3"/>
  <c r="P49" i="2"/>
  <c r="F49" i="2"/>
  <c r="G49" i="2"/>
  <c r="H49" i="2"/>
  <c r="I49" i="2"/>
  <c r="J49" i="2"/>
  <c r="K49" i="2"/>
  <c r="L49" i="2"/>
  <c r="M49" i="2"/>
  <c r="N49" i="2"/>
  <c r="E49" i="2"/>
  <c r="Q49" i="2" s="1"/>
  <c r="P47" i="2"/>
  <c r="F47" i="2"/>
  <c r="G47" i="2"/>
  <c r="H47" i="2"/>
  <c r="I47" i="2"/>
  <c r="J47" i="2"/>
  <c r="K47" i="2"/>
  <c r="L47" i="2"/>
  <c r="M47" i="2"/>
  <c r="N47" i="2"/>
  <c r="E47" i="2"/>
  <c r="Q47" i="2" s="1"/>
  <c r="O49" i="2"/>
  <c r="O47" i="2"/>
  <c r="G52" i="9" l="1"/>
  <c r="H52" i="9"/>
  <c r="F52" i="9"/>
  <c r="H138" i="9"/>
  <c r="G137" i="9"/>
  <c r="E33" i="3"/>
  <c r="F33" i="3"/>
  <c r="G33" i="3"/>
  <c r="H33" i="3"/>
  <c r="I33" i="3"/>
  <c r="J33" i="3"/>
  <c r="K33" i="3"/>
  <c r="L33" i="3"/>
  <c r="M33" i="3"/>
  <c r="N33" i="3"/>
  <c r="O33" i="3"/>
  <c r="P33" i="3"/>
  <c r="F14" i="3"/>
  <c r="G14" i="3"/>
  <c r="H14" i="3"/>
  <c r="I14" i="3"/>
  <c r="J14" i="3"/>
  <c r="K14" i="3"/>
  <c r="L14" i="3"/>
  <c r="M14" i="3"/>
  <c r="N14" i="3"/>
  <c r="O14" i="3"/>
  <c r="P14" i="3"/>
  <c r="D27" i="7"/>
  <c r="D26" i="7"/>
  <c r="F27" i="7"/>
  <c r="F26" i="7"/>
  <c r="H27" i="7"/>
  <c r="H26" i="7"/>
  <c r="I34" i="7" l="1"/>
  <c r="H19" i="9"/>
  <c r="H18" i="9"/>
  <c r="G19" i="9"/>
  <c r="G18" i="9"/>
  <c r="F19" i="9"/>
  <c r="F18" i="9"/>
  <c r="H238" i="9"/>
  <c r="H236" i="9"/>
  <c r="G238" i="9"/>
  <c r="G240" i="9" s="1"/>
  <c r="G236" i="9"/>
  <c r="F240" i="9"/>
  <c r="G65" i="14"/>
  <c r="L5" i="14"/>
  <c r="K5" i="14"/>
  <c r="L4" i="14"/>
  <c r="K4" i="14"/>
  <c r="G49" i="13"/>
  <c r="L6" i="13"/>
  <c r="K6" i="13"/>
  <c r="L5" i="13"/>
  <c r="K5" i="13"/>
  <c r="F248" i="9" l="1"/>
  <c r="F202" i="9" l="1"/>
  <c r="F95" i="9"/>
  <c r="F85" i="9"/>
  <c r="G75" i="9" l="1"/>
  <c r="E71" i="3"/>
  <c r="F114" i="7" l="1"/>
  <c r="H114" i="7" s="1"/>
  <c r="D178" i="7"/>
  <c r="F178" i="7" s="1"/>
  <c r="P33" i="2"/>
  <c r="F33" i="2"/>
  <c r="G33" i="2"/>
  <c r="H33" i="2"/>
  <c r="I33" i="2"/>
  <c r="J33" i="2"/>
  <c r="K33" i="2"/>
  <c r="L33" i="2"/>
  <c r="M33" i="2"/>
  <c r="N33" i="2"/>
  <c r="O33" i="2"/>
  <c r="E33" i="2"/>
  <c r="G133" i="9" s="1" a="1"/>
  <c r="G133" i="9" s="1"/>
  <c r="E38" i="3" l="1"/>
  <c r="G266" i="9" l="1"/>
  <c r="F266" i="9"/>
  <c r="G53" i="4" l="1"/>
  <c r="E38" i="4" l="1"/>
  <c r="F62" i="3" l="1"/>
  <c r="E58" i="2"/>
  <c r="G67" i="2" l="1"/>
  <c r="E20" i="4" l="1"/>
  <c r="G55" i="4"/>
  <c r="P79" i="2"/>
  <c r="O79" i="2"/>
  <c r="N79" i="2"/>
  <c r="M79" i="2"/>
  <c r="L79" i="2"/>
  <c r="K79" i="2"/>
  <c r="J79" i="2"/>
  <c r="H79" i="2"/>
  <c r="G79" i="2"/>
  <c r="F79" i="2"/>
  <c r="E79" i="2"/>
  <c r="O75" i="4"/>
  <c r="F75" i="4"/>
  <c r="G59" i="2" l="1"/>
  <c r="F14" i="4" l="1"/>
  <c r="G14" i="4"/>
  <c r="H14" i="4"/>
  <c r="I14" i="4"/>
  <c r="J14" i="4"/>
  <c r="K14" i="4"/>
  <c r="L14" i="4"/>
  <c r="M14" i="4"/>
  <c r="N14" i="4"/>
  <c r="O14" i="4"/>
  <c r="P14" i="4"/>
  <c r="F199" i="7"/>
  <c r="G63" i="3" l="1"/>
  <c r="E63" i="4" l="1"/>
  <c r="E54" i="4"/>
  <c r="Q19" i="4" l="1"/>
  <c r="Q19" i="3"/>
  <c r="Q19" i="2"/>
  <c r="H239" i="9" l="1"/>
  <c r="H240" i="9" s="1"/>
  <c r="H266" i="9" s="1"/>
  <c r="Q69" i="2"/>
  <c r="F63" i="4" l="1"/>
  <c r="G63" i="4"/>
  <c r="H63" i="4"/>
  <c r="I63" i="4"/>
  <c r="J63" i="4"/>
  <c r="K63" i="4"/>
  <c r="L63" i="4"/>
  <c r="M63" i="4"/>
  <c r="N63" i="4"/>
  <c r="O63" i="4"/>
  <c r="P63" i="4"/>
  <c r="F67" i="2"/>
  <c r="H67" i="2"/>
  <c r="I67" i="2"/>
  <c r="J67" i="2"/>
  <c r="K67" i="2"/>
  <c r="L67" i="2"/>
  <c r="M67" i="2"/>
  <c r="N67" i="2"/>
  <c r="O67" i="2"/>
  <c r="P67" i="2"/>
  <c r="E67" i="2"/>
  <c r="F71" i="3"/>
  <c r="G71" i="3"/>
  <c r="H71" i="3"/>
  <c r="I71" i="3"/>
  <c r="J71" i="3"/>
  <c r="K71" i="3"/>
  <c r="L71" i="3"/>
  <c r="M71" i="3"/>
  <c r="N71" i="3"/>
  <c r="O71" i="3"/>
  <c r="P71" i="3"/>
  <c r="F20" i="9" l="1"/>
  <c r="F222" i="9" s="1"/>
  <c r="G20" i="9"/>
  <c r="G222" i="9" s="1"/>
  <c r="E16" i="8"/>
  <c r="H20" i="9"/>
  <c r="H222" i="9" s="1"/>
  <c r="E17" i="8"/>
  <c r="F17" i="8"/>
  <c r="G16" i="8"/>
  <c r="F16" i="8"/>
  <c r="G17" i="8" l="1"/>
  <c r="G34" i="7"/>
  <c r="E34" i="7"/>
  <c r="E18" i="8" s="1"/>
  <c r="F117" i="7"/>
  <c r="F118" i="7"/>
  <c r="H118" i="7" s="1"/>
  <c r="D183" i="7" l="1"/>
  <c r="Q35" i="2" l="1"/>
  <c r="Q36" i="2"/>
  <c r="H178" i="7" l="1"/>
  <c r="F183" i="7"/>
  <c r="G84" i="7"/>
  <c r="I84" i="7" s="1"/>
  <c r="H75" i="9"/>
  <c r="G85" i="9"/>
  <c r="H85" i="9" s="1"/>
  <c r="G95" i="9" l="1"/>
  <c r="H135" i="9"/>
  <c r="H133" i="9"/>
  <c r="G79" i="9"/>
  <c r="H79" i="9" s="1"/>
  <c r="G69" i="9"/>
  <c r="H69" i="9" s="1"/>
  <c r="G89" i="9"/>
  <c r="H95" i="9" l="1"/>
  <c r="H89" i="9"/>
  <c r="H268" i="9" l="1"/>
  <c r="K44" i="8" s="1"/>
  <c r="H265" i="9"/>
  <c r="I44" i="8"/>
  <c r="H249" i="9"/>
  <c r="H93" i="9"/>
  <c r="H96" i="9" s="1"/>
  <c r="H83" i="9"/>
  <c r="H86" i="9" s="1"/>
  <c r="H72" i="9"/>
  <c r="H73" i="9" s="1"/>
  <c r="H57" i="9"/>
  <c r="H45" i="9"/>
  <c r="H37" i="9"/>
  <c r="H38" i="9" s="1"/>
  <c r="G268" i="9"/>
  <c r="G265" i="9"/>
  <c r="H43" i="8" s="1"/>
  <c r="G248" i="9"/>
  <c r="I43" i="8"/>
  <c r="G250" i="9"/>
  <c r="G249" i="9"/>
  <c r="G140" i="9"/>
  <c r="G195" i="9" s="1"/>
  <c r="G93" i="9"/>
  <c r="G96" i="9" s="1"/>
  <c r="G83" i="9"/>
  <c r="G86" i="9" s="1"/>
  <c r="G72" i="9"/>
  <c r="G73" i="9" s="1"/>
  <c r="G76" i="9" s="1"/>
  <c r="G57" i="9"/>
  <c r="G45" i="9"/>
  <c r="G37" i="9"/>
  <c r="G38" i="9" s="1"/>
  <c r="F268" i="9"/>
  <c r="K42" i="8" s="1"/>
  <c r="F265" i="9"/>
  <c r="I42" i="8"/>
  <c r="F250" i="9"/>
  <c r="F249" i="9"/>
  <c r="F93" i="9"/>
  <c r="F96" i="9" s="1"/>
  <c r="F83" i="9"/>
  <c r="F86" i="9" s="1"/>
  <c r="F72" i="9"/>
  <c r="F73" i="9" s="1"/>
  <c r="F57" i="9"/>
  <c r="F45" i="9"/>
  <c r="E83" i="7" s="1"/>
  <c r="F37" i="9"/>
  <c r="H41" i="8"/>
  <c r="G83" i="7" l="1"/>
  <c r="I83" i="7"/>
  <c r="D142" i="7"/>
  <c r="H140" i="9"/>
  <c r="G202" i="9"/>
  <c r="F142" i="7" s="1"/>
  <c r="H76" i="9"/>
  <c r="H248" i="9"/>
  <c r="G205" i="9"/>
  <c r="G211" i="9" s="1"/>
  <c r="F76" i="9"/>
  <c r="F205" i="9" s="1"/>
  <c r="F211" i="9" s="1"/>
  <c r="H195" i="9" l="1"/>
  <c r="H205" i="9"/>
  <c r="H211" i="9" s="1"/>
  <c r="H183" i="7" l="1"/>
  <c r="H220" i="7" s="1"/>
  <c r="D220" i="7"/>
  <c r="D163" i="7" l="1"/>
  <c r="F220" i="7"/>
  <c r="F148" i="7"/>
  <c r="F155" i="7" s="1"/>
  <c r="D148" i="7"/>
  <c r="D155" i="7" s="1"/>
  <c r="F163" i="7" l="1"/>
  <c r="F18" i="8" l="1"/>
  <c r="G18" i="8"/>
  <c r="H163" i="7"/>
  <c r="E75" i="4" l="1"/>
  <c r="Q16" i="3" l="1"/>
  <c r="H12" i="7" l="1"/>
  <c r="H162" i="7" s="1"/>
  <c r="H167" i="7" s="1"/>
  <c r="H218" i="7" s="1"/>
  <c r="H221" i="9"/>
  <c r="Q16" i="2"/>
  <c r="E56" i="4"/>
  <c r="Q16" i="4" l="1"/>
  <c r="Q12" i="4"/>
  <c r="Q14" i="4"/>
  <c r="H13" i="7" s="1"/>
  <c r="Q15" i="4"/>
  <c r="E17" i="4"/>
  <c r="F17" i="4"/>
  <c r="G17" i="4"/>
  <c r="H17" i="4"/>
  <c r="I17" i="4"/>
  <c r="J17" i="4"/>
  <c r="K17" i="4"/>
  <c r="L17" i="4"/>
  <c r="M17" i="4"/>
  <c r="N17" i="4"/>
  <c r="O17" i="4"/>
  <c r="P17" i="4"/>
  <c r="O20" i="4"/>
  <c r="F20" i="4"/>
  <c r="G20" i="4"/>
  <c r="H20" i="4"/>
  <c r="I20" i="4"/>
  <c r="J20" i="4"/>
  <c r="K20" i="4"/>
  <c r="L20" i="4"/>
  <c r="M20" i="4"/>
  <c r="N20" i="4"/>
  <c r="P20" i="4"/>
  <c r="Q25" i="4"/>
  <c r="H120" i="9" s="1"/>
  <c r="Q26" i="4"/>
  <c r="H124" i="9" s="1"/>
  <c r="Q27" i="4"/>
  <c r="H128" i="9" s="1"/>
  <c r="F38" i="4"/>
  <c r="J38" i="4"/>
  <c r="N38" i="4"/>
  <c r="Q34" i="4"/>
  <c r="Q37" i="4"/>
  <c r="Q44" i="4"/>
  <c r="Q45" i="4"/>
  <c r="Q46" i="4"/>
  <c r="F54" i="4"/>
  <c r="F56" i="4"/>
  <c r="G56" i="4" s="1"/>
  <c r="H198" i="7" s="1"/>
  <c r="E58" i="4"/>
  <c r="F58" i="4"/>
  <c r="Q73" i="4"/>
  <c r="Q74" i="4"/>
  <c r="H186" i="9" s="1"/>
  <c r="G75" i="4"/>
  <c r="H75" i="4"/>
  <c r="I75" i="4"/>
  <c r="J75" i="4"/>
  <c r="K75" i="4"/>
  <c r="L75" i="4"/>
  <c r="M75" i="4"/>
  <c r="N75" i="4"/>
  <c r="P75" i="4"/>
  <c r="Q104" i="4"/>
  <c r="Q105" i="4"/>
  <c r="Q106" i="4"/>
  <c r="Q116" i="4"/>
  <c r="G33" i="8" s="1"/>
  <c r="Q117" i="4"/>
  <c r="Q118" i="4"/>
  <c r="G54" i="4" l="1"/>
  <c r="H197" i="7" s="1"/>
  <c r="H209" i="7" s="1"/>
  <c r="H221" i="7" s="1"/>
  <c r="H129" i="9"/>
  <c r="H150" i="9" s="1"/>
  <c r="Q20" i="4"/>
  <c r="H15" i="9" s="1"/>
  <c r="H16" i="9" s="1"/>
  <c r="H143" i="9" s="1"/>
  <c r="H146" i="9" s="1"/>
  <c r="G28" i="8"/>
  <c r="H184" i="9"/>
  <c r="H32" i="9"/>
  <c r="H47" i="9" s="1"/>
  <c r="H136" i="9"/>
  <c r="G31" i="8"/>
  <c r="H196" i="9"/>
  <c r="H197" i="9" s="1"/>
  <c r="H108" i="9"/>
  <c r="H111" i="9" s="1"/>
  <c r="H113" i="9" s="1"/>
  <c r="H173" i="9" s="1"/>
  <c r="H11" i="7"/>
  <c r="I21" i="7" s="1"/>
  <c r="H31" i="9"/>
  <c r="H46" i="9" s="1"/>
  <c r="H134" i="9"/>
  <c r="Q36" i="4"/>
  <c r="Q35" i="4"/>
  <c r="O38" i="4"/>
  <c r="K38" i="4"/>
  <c r="Q17" i="4"/>
  <c r="Q75" i="4"/>
  <c r="H187" i="9" s="1"/>
  <c r="P38" i="4"/>
  <c r="L38" i="4"/>
  <c r="G38" i="4"/>
  <c r="M38" i="4"/>
  <c r="I38" i="4"/>
  <c r="H38" i="4"/>
  <c r="Q125" i="3"/>
  <c r="Q124" i="3"/>
  <c r="Q123" i="3"/>
  <c r="E33" i="8" s="1"/>
  <c r="Q113" i="3"/>
  <c r="Q112" i="3"/>
  <c r="Q111" i="3"/>
  <c r="Q81" i="3"/>
  <c r="F186" i="9" s="1"/>
  <c r="Q80" i="3"/>
  <c r="F66" i="3"/>
  <c r="E66" i="3"/>
  <c r="F64" i="3"/>
  <c r="E64" i="3"/>
  <c r="E62" i="3"/>
  <c r="G62" i="3" s="1"/>
  <c r="D197" i="7" s="1"/>
  <c r="Q54" i="3"/>
  <c r="Q52" i="3"/>
  <c r="Q50" i="3"/>
  <c r="O38" i="3"/>
  <c r="Q37" i="3"/>
  <c r="H137" i="9" s="1"/>
  <c r="Q36" i="3"/>
  <c r="Q35" i="3"/>
  <c r="Q34" i="3"/>
  <c r="P38" i="3"/>
  <c r="N38" i="3"/>
  <c r="M38" i="3"/>
  <c r="L38" i="3"/>
  <c r="K38" i="3"/>
  <c r="J38" i="3"/>
  <c r="I38" i="3"/>
  <c r="H38" i="3"/>
  <c r="G38" i="3"/>
  <c r="F38" i="3"/>
  <c r="Q27" i="3"/>
  <c r="F128" i="9" s="1"/>
  <c r="Q26" i="3"/>
  <c r="F124" i="9" s="1"/>
  <c r="Q25" i="3"/>
  <c r="F120" i="9" s="1"/>
  <c r="P20" i="3"/>
  <c r="O20" i="3"/>
  <c r="N20" i="3"/>
  <c r="M20" i="3"/>
  <c r="L20" i="3"/>
  <c r="K20" i="3"/>
  <c r="J20" i="3"/>
  <c r="I20" i="3"/>
  <c r="H20" i="3"/>
  <c r="G20" i="3"/>
  <c r="F20" i="3"/>
  <c r="E20" i="3"/>
  <c r="P17" i="3"/>
  <c r="O17" i="3"/>
  <c r="N17" i="3"/>
  <c r="M17" i="3"/>
  <c r="L17" i="3"/>
  <c r="K17" i="3"/>
  <c r="J17" i="3"/>
  <c r="I17" i="3"/>
  <c r="H17" i="3"/>
  <c r="G17" i="3"/>
  <c r="F17" i="3"/>
  <c r="E17" i="3"/>
  <c r="D13" i="7"/>
  <c r="Q12" i="3"/>
  <c r="Q122" i="2"/>
  <c r="Q121" i="2"/>
  <c r="Q120" i="2"/>
  <c r="F33" i="8" s="1"/>
  <c r="Q110" i="2"/>
  <c r="Q109" i="2"/>
  <c r="Q108" i="2"/>
  <c r="Q78" i="2"/>
  <c r="G186" i="9" s="1"/>
  <c r="Q77" i="2"/>
  <c r="F62" i="2"/>
  <c r="E62" i="2"/>
  <c r="F60" i="2"/>
  <c r="E60" i="2"/>
  <c r="F58" i="2"/>
  <c r="G58" i="2" s="1"/>
  <c r="Q50" i="2"/>
  <c r="Q48" i="2"/>
  <c r="Q46" i="2"/>
  <c r="N38" i="2"/>
  <c r="Q37" i="2"/>
  <c r="Q34" i="2"/>
  <c r="P38" i="2"/>
  <c r="O38" i="2"/>
  <c r="M38" i="2"/>
  <c r="L38" i="2"/>
  <c r="K38" i="2"/>
  <c r="J38" i="2"/>
  <c r="I38" i="2"/>
  <c r="H38" i="2"/>
  <c r="G38" i="2"/>
  <c r="F38" i="2"/>
  <c r="E38" i="2"/>
  <c r="Q27" i="2"/>
  <c r="G128" i="9" s="1"/>
  <c r="Q26" i="2"/>
  <c r="G124" i="9" s="1"/>
  <c r="Q25" i="2"/>
  <c r="G120" i="9" s="1"/>
  <c r="P20" i="2"/>
  <c r="O20" i="2"/>
  <c r="N20" i="2"/>
  <c r="M20" i="2"/>
  <c r="L20" i="2"/>
  <c r="K20" i="2"/>
  <c r="J20" i="2"/>
  <c r="I20" i="2"/>
  <c r="H20" i="2"/>
  <c r="G20" i="2"/>
  <c r="F20" i="2"/>
  <c r="E20" i="2"/>
  <c r="P17" i="2"/>
  <c r="O17" i="2"/>
  <c r="N17" i="2"/>
  <c r="M17" i="2"/>
  <c r="L17" i="2"/>
  <c r="K17" i="2"/>
  <c r="J17" i="2"/>
  <c r="I17" i="2"/>
  <c r="H17" i="2"/>
  <c r="G17" i="2"/>
  <c r="F17" i="2"/>
  <c r="E17" i="2"/>
  <c r="Q15" i="2"/>
  <c r="Q14" i="2"/>
  <c r="F13" i="7" s="1"/>
  <c r="Q13" i="2"/>
  <c r="Q12" i="2"/>
  <c r="F129" i="9" l="1"/>
  <c r="H250" i="9"/>
  <c r="H251" i="9" s="1"/>
  <c r="H267" i="9" s="1"/>
  <c r="J44" i="8" s="1"/>
  <c r="H202" i="9"/>
  <c r="H142" i="7" s="1"/>
  <c r="H148" i="7" s="1"/>
  <c r="H155" i="7" s="1"/>
  <c r="D12" i="7"/>
  <c r="D162" i="7" s="1"/>
  <c r="D167" i="7" s="1"/>
  <c r="D218" i="7" s="1"/>
  <c r="F221" i="9"/>
  <c r="F220" i="9" s="1"/>
  <c r="G108" i="9"/>
  <c r="G111" i="9" s="1"/>
  <c r="G113" i="9" s="1"/>
  <c r="G173" i="9" s="1"/>
  <c r="F12" i="7"/>
  <c r="F162" i="7" s="1"/>
  <c r="F167" i="7" s="1"/>
  <c r="F218" i="7" s="1"/>
  <c r="G221" i="9"/>
  <c r="H156" i="9"/>
  <c r="H162" i="9" s="1"/>
  <c r="H147" i="9"/>
  <c r="I81" i="7"/>
  <c r="H157" i="9"/>
  <c r="F108" i="9"/>
  <c r="F111" i="9" s="1"/>
  <c r="F113" i="9" s="1"/>
  <c r="F173" i="9" s="1"/>
  <c r="G129" i="9"/>
  <c r="G150" i="9" s="1"/>
  <c r="G60" i="2"/>
  <c r="F198" i="7" s="1"/>
  <c r="G64" i="3"/>
  <c r="D198" i="7" s="1"/>
  <c r="D209" i="7" s="1"/>
  <c r="D221" i="7" s="1"/>
  <c r="Q20" i="3"/>
  <c r="F15" i="9" s="1"/>
  <c r="F16" i="9" s="1"/>
  <c r="F143" i="9" s="1"/>
  <c r="F146" i="9" s="1"/>
  <c r="F147" i="9" s="1"/>
  <c r="F197" i="7"/>
  <c r="Q20" i="2"/>
  <c r="G15" i="9" s="1"/>
  <c r="G16" i="9" s="1"/>
  <c r="G143" i="9" s="1"/>
  <c r="G146" i="9" s="1"/>
  <c r="H142" i="9"/>
  <c r="H159" i="9" s="1"/>
  <c r="H198" i="9"/>
  <c r="H210" i="9" s="1"/>
  <c r="H129" i="7"/>
  <c r="H135" i="7" s="1"/>
  <c r="H154" i="7" s="1"/>
  <c r="H41" i="7"/>
  <c r="I46" i="7" s="1"/>
  <c r="H50" i="7" s="1"/>
  <c r="I99" i="7" s="1"/>
  <c r="G20" i="8"/>
  <c r="D44" i="8"/>
  <c r="G29" i="8"/>
  <c r="H116" i="7"/>
  <c r="F11" i="7"/>
  <c r="F31" i="8"/>
  <c r="G196" i="9"/>
  <c r="G197" i="9" s="1"/>
  <c r="Q63" i="4"/>
  <c r="H234" i="9" s="1"/>
  <c r="G31" i="9"/>
  <c r="G46" i="9" s="1"/>
  <c r="G134" i="9"/>
  <c r="F31" i="9"/>
  <c r="F46" i="9" s="1"/>
  <c r="F134" i="9"/>
  <c r="F28" i="8"/>
  <c r="G184" i="9"/>
  <c r="D11" i="7"/>
  <c r="E31" i="8"/>
  <c r="F196" i="9"/>
  <c r="F197" i="9" s="1"/>
  <c r="G32" i="9"/>
  <c r="G47" i="9" s="1"/>
  <c r="G136" i="9"/>
  <c r="F32" i="9"/>
  <c r="F47" i="9" s="1"/>
  <c r="F136" i="9"/>
  <c r="E28" i="8"/>
  <c r="F184" i="9"/>
  <c r="I80" i="7"/>
  <c r="H113" i="7"/>
  <c r="H188" i="9"/>
  <c r="H209" i="9" s="1"/>
  <c r="Q82" i="3"/>
  <c r="F187" i="9" s="1"/>
  <c r="Q33" i="3"/>
  <c r="Q79" i="2"/>
  <c r="G187" i="9" s="1"/>
  <c r="Q17" i="3"/>
  <c r="Q71" i="3"/>
  <c r="F234" i="9" s="1"/>
  <c r="Q38" i="3"/>
  <c r="Q67" i="2"/>
  <c r="G234" i="9" s="1"/>
  <c r="Q38" i="2"/>
  <c r="Q33" i="2"/>
  <c r="Q17" i="2"/>
  <c r="Q33" i="4"/>
  <c r="Q38" i="4"/>
  <c r="E21" i="7" l="1"/>
  <c r="D41" i="7" s="1"/>
  <c r="G21" i="7"/>
  <c r="F41" i="7" s="1"/>
  <c r="G46" i="7" s="1"/>
  <c r="F50" i="7" s="1"/>
  <c r="G99" i="7" s="1"/>
  <c r="E81" i="7"/>
  <c r="F157" i="9"/>
  <c r="F188" i="9"/>
  <c r="F209" i="9" s="1"/>
  <c r="F17" i="7"/>
  <c r="F142" i="9"/>
  <c r="F159" i="9" s="1"/>
  <c r="F156" i="9"/>
  <c r="F267" i="9"/>
  <c r="J42" i="8" s="1"/>
  <c r="G81" i="7"/>
  <c r="G156" i="9"/>
  <c r="G162" i="9" s="1"/>
  <c r="G251" i="9"/>
  <c r="G267" i="9" s="1"/>
  <c r="J43" i="8" s="1"/>
  <c r="H158" i="9"/>
  <c r="G147" i="9"/>
  <c r="F209" i="7"/>
  <c r="F221" i="7" s="1"/>
  <c r="G142" i="9"/>
  <c r="G159" i="9" s="1"/>
  <c r="G21" i="8"/>
  <c r="H212" i="9"/>
  <c r="H264" i="9" s="1"/>
  <c r="G44" i="8" s="1"/>
  <c r="I61" i="7"/>
  <c r="G198" i="9"/>
  <c r="G210" i="9" s="1"/>
  <c r="F129" i="7"/>
  <c r="F135" i="7" s="1"/>
  <c r="F154" i="7" s="1"/>
  <c r="F198" i="9"/>
  <c r="F210" i="9" s="1"/>
  <c r="D129" i="7"/>
  <c r="D135" i="7" s="1"/>
  <c r="D154" i="7" s="1"/>
  <c r="H122" i="7"/>
  <c r="H153" i="7" s="1"/>
  <c r="H156" i="7" s="1"/>
  <c r="H217" i="7" s="1"/>
  <c r="H224" i="7" s="1"/>
  <c r="E29" i="8"/>
  <c r="D116" i="7"/>
  <c r="E20" i="8"/>
  <c r="E46" i="7"/>
  <c r="D50" i="7" s="1"/>
  <c r="E99" i="7" s="1"/>
  <c r="D113" i="7"/>
  <c r="D42" i="8"/>
  <c r="F29" i="8"/>
  <c r="F116" i="7"/>
  <c r="E80" i="7"/>
  <c r="D43" i="8"/>
  <c r="F113" i="7"/>
  <c r="G80" i="7"/>
  <c r="F20" i="8" l="1"/>
  <c r="D122" i="7"/>
  <c r="D153" i="7" s="1"/>
  <c r="F167" i="9"/>
  <c r="I63" i="7"/>
  <c r="H167" i="9"/>
  <c r="I79" i="7" s="1"/>
  <c r="I91" i="7" s="1"/>
  <c r="G23" i="8"/>
  <c r="I69" i="7"/>
  <c r="I67" i="7"/>
  <c r="H263" i="9"/>
  <c r="F44" i="8" s="1"/>
  <c r="I62" i="7"/>
  <c r="H155" i="9"/>
  <c r="F212" i="9"/>
  <c r="F263" i="9" s="1"/>
  <c r="F122" i="7"/>
  <c r="F153" i="7" s="1"/>
  <c r="F156" i="7" s="1"/>
  <c r="F217" i="7" s="1"/>
  <c r="F224" i="7" s="1"/>
  <c r="E61" i="7"/>
  <c r="G188" i="9"/>
  <c r="G209" i="9" s="1"/>
  <c r="G212" i="9" s="1"/>
  <c r="E62" i="7"/>
  <c r="G61" i="7"/>
  <c r="G157" i="9"/>
  <c r="D59" i="8" l="1"/>
  <c r="F50" i="8"/>
  <c r="F155" i="9"/>
  <c r="F165" i="9" s="1"/>
  <c r="E63" i="7"/>
  <c r="E79" i="7"/>
  <c r="E91" i="7" s="1"/>
  <c r="E23" i="8"/>
  <c r="E69" i="7"/>
  <c r="F166" i="9"/>
  <c r="G166" i="9"/>
  <c r="G78" i="7" s="1"/>
  <c r="D156" i="7"/>
  <c r="D217" i="7" s="1"/>
  <c r="D224" i="7" s="1"/>
  <c r="H269" i="9"/>
  <c r="G22" i="8"/>
  <c r="G24" i="8" s="1"/>
  <c r="I68" i="7"/>
  <c r="I70" i="7" s="1"/>
  <c r="F264" i="9"/>
  <c r="G42" i="8" s="1"/>
  <c r="E21" i="8"/>
  <c r="E67" i="7"/>
  <c r="G67" i="7"/>
  <c r="F21" i="8"/>
  <c r="G62" i="7"/>
  <c r="F42" i="8"/>
  <c r="F48" i="8" s="1"/>
  <c r="E68" i="7"/>
  <c r="E22" i="8"/>
  <c r="G264" i="9"/>
  <c r="G43" i="8" s="1"/>
  <c r="G263" i="9"/>
  <c r="D57" i="8" l="1"/>
  <c r="F163" i="9"/>
  <c r="F164" i="9"/>
  <c r="F169" i="9"/>
  <c r="F174" i="9" s="1"/>
  <c r="G63" i="7"/>
  <c r="G158" i="9"/>
  <c r="H163" i="9"/>
  <c r="H165" i="9"/>
  <c r="I77" i="7" s="1"/>
  <c r="E70" i="7"/>
  <c r="E24" i="8"/>
  <c r="F269" i="9"/>
  <c r="F43" i="8"/>
  <c r="G269" i="9"/>
  <c r="F22" i="8"/>
  <c r="G68" i="7"/>
  <c r="F49" i="8" l="1"/>
  <c r="D58" i="8"/>
  <c r="D60" i="8" s="1"/>
  <c r="G167" i="9"/>
  <c r="G79" i="7" s="1"/>
  <c r="G91" i="7" s="1"/>
  <c r="F23" i="8"/>
  <c r="F24" i="8" s="1"/>
  <c r="G69" i="7"/>
  <c r="G70" i="7" s="1"/>
  <c r="G155" i="9"/>
  <c r="H166" i="9"/>
  <c r="H169" i="9" s="1"/>
  <c r="H174" i="9" s="1"/>
  <c r="E77" i="7"/>
  <c r="G163" i="9" l="1"/>
  <c r="H164" i="9"/>
  <c r="G25" i="8" s="1"/>
  <c r="H175" i="9"/>
  <c r="E44" i="8"/>
  <c r="D50" i="8" s="1"/>
  <c r="C50" i="8" s="1"/>
  <c r="I89" i="7"/>
  <c r="I92" i="7" s="1"/>
  <c r="I100" i="7" s="1"/>
  <c r="E78" i="7"/>
  <c r="E76" i="7" s="1"/>
  <c r="E25" i="8"/>
  <c r="F175" i="9"/>
  <c r="I78" i="7"/>
  <c r="I76" i="7" s="1"/>
  <c r="C44" i="8" l="1"/>
  <c r="C59" i="8"/>
  <c r="F59" i="8" s="1"/>
  <c r="H59" i="8" s="1"/>
  <c r="G165" i="9"/>
  <c r="E89" i="7"/>
  <c r="E92" i="7" s="1"/>
  <c r="E100" i="7" s="1"/>
  <c r="E101" i="7" s="1"/>
  <c r="E42" i="8"/>
  <c r="D48" i="8" l="1"/>
  <c r="C48" i="8" s="1"/>
  <c r="C57" i="8"/>
  <c r="C42" i="8"/>
  <c r="D69" i="8"/>
  <c r="E69" i="8" s="1"/>
  <c r="G169" i="9"/>
  <c r="G164" i="9"/>
  <c r="F25" i="8" s="1"/>
  <c r="G77" i="7"/>
  <c r="G76" i="7" s="1"/>
  <c r="F57" i="8" l="1"/>
  <c r="G89" i="7"/>
  <c r="G92" i="7" s="1"/>
  <c r="G100" i="7" s="1"/>
  <c r="G101" i="7" s="1"/>
  <c r="G174" i="9"/>
  <c r="H57" i="8" l="1"/>
  <c r="D67" i="8" s="1"/>
  <c r="G175" i="9"/>
  <c r="E43" i="8"/>
  <c r="D49" i="8" s="1"/>
  <c r="C49" i="8" s="1"/>
  <c r="E67" i="8"/>
  <c r="C58" i="8" l="1"/>
  <c r="C43" i="8"/>
  <c r="F58" i="8" l="1"/>
  <c r="C60" i="8"/>
  <c r="F60" i="8" l="1"/>
  <c r="H58" i="8"/>
  <c r="H60" i="8" l="1"/>
  <c r="D68" i="8"/>
  <c r="D70" i="8" l="1"/>
  <c r="E70" i="8" s="1"/>
  <c r="E6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Ricardo Enrique Urrutia Alvear</author>
  </authors>
  <commentList>
    <comment ref="O19" authorId="0" shapeId="0" xr:uid="{3C904036-F7EE-400F-9EE8-9D7DCE267424}">
      <text>
        <r>
          <rPr>
            <b/>
            <sz val="9"/>
            <color indexed="81"/>
            <rFont val="Tahoma"/>
            <family val="2"/>
          </rPr>
          <t>Ricardo Enrique Urrutia Alvear:</t>
        </r>
        <r>
          <rPr>
            <sz val="9"/>
            <color indexed="81"/>
            <rFont val="Tahoma"/>
            <family val="2"/>
          </rPr>
          <t xml:space="preserve">
Parada General Planta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Ricardo Enrique Urrutia Alvear</author>
  </authors>
  <commentList>
    <comment ref="O19" authorId="0" shapeId="0" xr:uid="{CD1FE4E3-21C4-49BD-8BEB-A3BA2CAB0A6A}">
      <text>
        <r>
          <rPr>
            <b/>
            <sz val="9"/>
            <color indexed="81"/>
            <rFont val="Tahoma"/>
            <family val="2"/>
          </rPr>
          <t>Ricardo Enrique Urrutia Alvear:</t>
        </r>
        <r>
          <rPr>
            <sz val="9"/>
            <color indexed="81"/>
            <rFont val="Tahoma"/>
            <family val="2"/>
          </rPr>
          <t xml:space="preserve">
Parada General Planta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Ricardo Enrique Urrutia Alvear</author>
  </authors>
  <commentList>
    <comment ref="O19" authorId="0" shapeId="0" xr:uid="{00000000-0006-0000-0000-000001000000}">
      <text>
        <r>
          <rPr>
            <b/>
            <sz val="9"/>
            <color indexed="81"/>
            <rFont val="Tahoma"/>
            <family val="2"/>
          </rPr>
          <t>Ricardo Enrique Urrutia Alvear:</t>
        </r>
        <r>
          <rPr>
            <sz val="9"/>
            <color indexed="81"/>
            <rFont val="Tahoma"/>
            <family val="2"/>
          </rPr>
          <t xml:space="preserve">
Parada General Planta</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<sst xmlns="http://schemas.openxmlformats.org/spreadsheetml/2006/main" count="2349" uniqueCount="708">
  <si>
    <t>GHG EMISSION SAVINGS FOR THE VIÑALES PROJECT ACTIVITY</t>
  </si>
  <si>
    <t>Start date 1st cred. period:</t>
  </si>
  <si>
    <t>Jan-01-2014</t>
  </si>
  <si>
    <t>Finish date of 1st cred. period:</t>
  </si>
  <si>
    <t>Dec-31-2023</t>
  </si>
  <si>
    <t>Start date 1st monit. period:</t>
  </si>
  <si>
    <r>
      <t>Finish date of 1</t>
    </r>
    <r>
      <rPr>
        <b/>
        <vertAlign val="superscript"/>
        <sz val="10"/>
        <rFont val="Arial"/>
        <family val="2"/>
      </rPr>
      <t xml:space="preserve">st </t>
    </r>
    <r>
      <rPr>
        <b/>
        <sz val="10"/>
        <rFont val="Arial"/>
        <family val="2"/>
      </rPr>
      <t>monit. period:</t>
    </r>
  </si>
  <si>
    <t>Summary of main monitored data per year</t>
  </si>
  <si>
    <t>(Year)</t>
  </si>
  <si>
    <t>Operating Margin</t>
  </si>
  <si>
    <r>
      <t>(tCO</t>
    </r>
    <r>
      <rPr>
        <vertAlign val="subscript"/>
        <sz val="10"/>
        <rFont val="Arial"/>
        <family val="2"/>
      </rPr>
      <t>2</t>
    </r>
    <r>
      <rPr>
        <sz val="10"/>
        <rFont val="Arial"/>
        <family val="2"/>
      </rPr>
      <t>/MWh)</t>
    </r>
  </si>
  <si>
    <t>Build Margin</t>
  </si>
  <si>
    <t>Combined Margin</t>
  </si>
  <si>
    <t>Minimum baseline electricity generation in the grid</t>
  </si>
  <si>
    <t>(GWh/yr)</t>
  </si>
  <si>
    <t>Biomass mix from internal industrial operations, heat generation.</t>
  </si>
  <si>
    <t>(BDt/yr)</t>
  </si>
  <si>
    <t>Mix of biomass from external industrial operations, heat generation</t>
  </si>
  <si>
    <t>Mix of biomass from forest operations, heat generation.</t>
  </si>
  <si>
    <t>Biomass -based heat generation</t>
  </si>
  <si>
    <t>Biomass attributable to project activity</t>
  </si>
  <si>
    <t>Fossil fuels consumed in the power boiler</t>
  </si>
  <si>
    <t xml:space="preserve">    Diesel</t>
  </si>
  <si>
    <t>(Lt/yr)</t>
  </si>
  <si>
    <t xml:space="preserve">    LPG</t>
  </si>
  <si>
    <t xml:space="preserve"> Fossil fuel consumption (diesel ) due to biomass transportation in the Plant site</t>
  </si>
  <si>
    <t>Diesel</t>
  </si>
  <si>
    <t>Fossil fuels consumed for processing biomass from forestry operations</t>
  </si>
  <si>
    <r>
      <t xml:space="preserve">A.- Table considering the total quantity of baseline and project activity emissions. </t>
    </r>
    <r>
      <rPr>
        <b/>
        <u/>
        <sz val="10"/>
        <rFont val="Arial"/>
        <family val="2"/>
      </rPr>
      <t>Not considered truncated and rounded results</t>
    </r>
    <r>
      <rPr>
        <b/>
        <sz val="10"/>
        <rFont val="Arial"/>
        <family val="2"/>
      </rPr>
      <t>.</t>
    </r>
  </si>
  <si>
    <t>Baseline emissions</t>
  </si>
  <si>
    <t>Project activity emissions</t>
  </si>
  <si>
    <t>Net emission savings</t>
  </si>
  <si>
    <t>Grid emissions</t>
  </si>
  <si>
    <t>Methane emissions</t>
  </si>
  <si>
    <t>Fossil fuel at Project site</t>
  </si>
  <si>
    <t>Electricity import from gird to P.B.</t>
  </si>
  <si>
    <t>Electricity generated on-site.</t>
  </si>
  <si>
    <t>Transport to P. Plant</t>
  </si>
  <si>
    <t>methane emissions biomass combusted in P.B.</t>
  </si>
  <si>
    <t>Biogas</t>
  </si>
  <si>
    <t>Leakage</t>
  </si>
  <si>
    <r>
      <t>(tCO</t>
    </r>
    <r>
      <rPr>
        <b/>
        <vertAlign val="subscript"/>
        <sz val="10"/>
        <rFont val="Arial"/>
        <family val="2"/>
      </rPr>
      <t>2</t>
    </r>
    <r>
      <rPr>
        <b/>
        <sz val="10"/>
        <rFont val="Arial"/>
        <family val="2"/>
      </rPr>
      <t>eq/yr)</t>
    </r>
  </si>
  <si>
    <r>
      <t>(tCO</t>
    </r>
    <r>
      <rPr>
        <vertAlign val="subscript"/>
        <sz val="10"/>
        <rFont val="Arial"/>
        <family val="2"/>
      </rPr>
      <t>2</t>
    </r>
    <r>
      <rPr>
        <sz val="10"/>
        <rFont val="Arial"/>
        <family val="2"/>
      </rPr>
      <t>/yr)</t>
    </r>
  </si>
  <si>
    <r>
      <t>(tCO</t>
    </r>
    <r>
      <rPr>
        <vertAlign val="subscript"/>
        <sz val="10"/>
        <rFont val="Arial"/>
        <family val="2"/>
      </rPr>
      <t>2</t>
    </r>
    <r>
      <rPr>
        <sz val="10"/>
        <rFont val="Arial"/>
        <family val="2"/>
      </rPr>
      <t>eq/yr)</t>
    </r>
  </si>
  <si>
    <t xml:space="preserve">B.- Table considering truncated and rounded results from row 41. Baseline and project activity emissions are truncated and rounded in conservative way. </t>
  </si>
  <si>
    <r>
      <t>Note:</t>
    </r>
    <r>
      <rPr>
        <sz val="10"/>
        <rFont val="Arial"/>
        <family val="2"/>
      </rPr>
      <t xml:space="preserve"> Net emission savings = Baseline emissions - Project activity emissions - Leakage.</t>
    </r>
  </si>
  <si>
    <t xml:space="preserve"> </t>
  </si>
  <si>
    <t xml:space="preserve"> Emissions due baseline electricity generation</t>
  </si>
  <si>
    <t>Determine total baseline electricity generation</t>
  </si>
  <si>
    <t>Data:</t>
  </si>
  <si>
    <t>(1)  Gross quantity of electricity generated (a)</t>
  </si>
  <si>
    <r>
      <t>EL</t>
    </r>
    <r>
      <rPr>
        <vertAlign val="subscript"/>
        <sz val="10"/>
        <rFont val="Arial"/>
        <family val="2"/>
      </rPr>
      <t>PJ,gross,y</t>
    </r>
  </si>
  <si>
    <t>(2)  Project electricity imports from the grid (a)</t>
  </si>
  <si>
    <r>
      <t>EL</t>
    </r>
    <r>
      <rPr>
        <vertAlign val="subscript"/>
        <sz val="10"/>
        <rFont val="Arial"/>
        <family val="2"/>
      </rPr>
      <t>PJ,imp.y</t>
    </r>
  </si>
  <si>
    <t>(3) Total auxiliary electricity consumption required for the operation of the power plants.(a)</t>
  </si>
  <si>
    <r>
      <t>EL</t>
    </r>
    <r>
      <rPr>
        <vertAlign val="subscript"/>
        <sz val="10"/>
        <rFont val="Arial"/>
        <family val="2"/>
      </rPr>
      <t>PJ,aux,y</t>
    </r>
  </si>
  <si>
    <t xml:space="preserve">Note: </t>
  </si>
  <si>
    <t>(a) The applied value is based on plant´s auxiliary electricity consumption in previous monitoring periods. This value does not contemplate (4) described below.</t>
  </si>
  <si>
    <t>(b) This amount will remain fixed for the whole (2nd) crediting  period. For additional information refer to step 1.2 of the registered and revised PDD.</t>
  </si>
  <si>
    <t>Calculations:</t>
  </si>
  <si>
    <t>(4) Baseline electricity generation capacity in year y</t>
  </si>
  <si>
    <r>
      <t xml:space="preserve">   EL</t>
    </r>
    <r>
      <rPr>
        <vertAlign val="subscript"/>
        <sz val="10"/>
        <rFont val="Arial"/>
        <family val="2"/>
      </rPr>
      <t xml:space="preserve"> BL,y</t>
    </r>
  </si>
  <si>
    <t>(1) + (2) - (3)</t>
  </si>
  <si>
    <t>Data</t>
  </si>
  <si>
    <t>1)  Operating Margin (OM)</t>
  </si>
  <si>
    <r>
      <t>EF</t>
    </r>
    <r>
      <rPr>
        <vertAlign val="subscript"/>
        <sz val="10"/>
        <rFont val="Arial"/>
        <family val="2"/>
      </rPr>
      <t xml:space="preserve"> grid,OM,y</t>
    </r>
  </si>
  <si>
    <t>2)  Build Margin (BM)</t>
  </si>
  <si>
    <r>
      <t>EF</t>
    </r>
    <r>
      <rPr>
        <vertAlign val="subscript"/>
        <sz val="10"/>
        <rFont val="Arial"/>
        <family val="2"/>
      </rPr>
      <t xml:space="preserve"> grid,BM,y</t>
    </r>
  </si>
  <si>
    <t>3)  Weighting of Operating Margin</t>
  </si>
  <si>
    <r>
      <t>W</t>
    </r>
    <r>
      <rPr>
        <vertAlign val="subscript"/>
        <sz val="10"/>
        <rFont val="Arial"/>
        <family val="2"/>
      </rPr>
      <t>OM</t>
    </r>
  </si>
  <si>
    <t>4)  Weighting of Build margin</t>
  </si>
  <si>
    <r>
      <t>W</t>
    </r>
    <r>
      <rPr>
        <vertAlign val="subscript"/>
        <sz val="10"/>
        <rFont val="Arial"/>
        <family val="2"/>
      </rPr>
      <t>BM</t>
    </r>
  </si>
  <si>
    <t>Calculations</t>
  </si>
  <si>
    <t>5)      Combined Margin calculation (CM)</t>
  </si>
  <si>
    <r>
      <t>EF</t>
    </r>
    <r>
      <rPr>
        <vertAlign val="subscript"/>
        <sz val="10"/>
        <rFont val="Arial"/>
        <family val="2"/>
      </rPr>
      <t>grid,CM,y</t>
    </r>
  </si>
  <si>
    <t>(1)*(3) + (2)*(4)</t>
  </si>
  <si>
    <t>Determine the minimum baseline electricity generation in the grid.</t>
  </si>
  <si>
    <t>(1) Baseline electricity generation</t>
  </si>
  <si>
    <r>
      <t>EL</t>
    </r>
    <r>
      <rPr>
        <vertAlign val="subscript"/>
        <sz val="10"/>
        <rFont val="Arial"/>
        <family val="2"/>
      </rPr>
      <t>BL,y</t>
    </r>
  </si>
  <si>
    <t>(2) Baseline electricity generation capacity</t>
  </si>
  <si>
    <r>
      <t>CAP</t>
    </r>
    <r>
      <rPr>
        <vertAlign val="subscript"/>
        <sz val="10"/>
        <rFont val="Arial"/>
        <family val="2"/>
      </rPr>
      <t>EG,total,y</t>
    </r>
  </si>
  <si>
    <t>(3) Minimum baseline electricity generation in the grid</t>
  </si>
  <si>
    <r>
      <t>EL</t>
    </r>
    <r>
      <rPr>
        <vertAlign val="subscript"/>
        <sz val="10"/>
        <rFont val="Arial"/>
        <family val="2"/>
      </rPr>
      <t>BL,GR,y</t>
    </r>
  </si>
  <si>
    <t>Max [0,(1)-(2)]</t>
  </si>
  <si>
    <t>Baseline emissions due to minimum grid electricity displacement.</t>
  </si>
  <si>
    <r>
      <t>EL</t>
    </r>
    <r>
      <rPr>
        <b/>
        <vertAlign val="subscript"/>
        <sz val="10"/>
        <rFont val="Arial"/>
        <family val="2"/>
      </rPr>
      <t xml:space="preserve"> BL,GR,y</t>
    </r>
    <r>
      <rPr>
        <b/>
        <sz val="10"/>
        <rFont val="Arial"/>
        <family val="2"/>
      </rPr>
      <t xml:space="preserve"> * EF</t>
    </r>
    <r>
      <rPr>
        <b/>
        <vertAlign val="subscript"/>
        <sz val="10"/>
        <rFont val="Arial"/>
        <family val="2"/>
      </rPr>
      <t xml:space="preserve"> EG,GR</t>
    </r>
  </si>
  <si>
    <t>Crosscheck number</t>
  </si>
  <si>
    <t xml:space="preserve"> Baseline emissions due to uncontrolled burning or decay of biomass residues</t>
  </si>
  <si>
    <t>Biomass-based heat generation</t>
  </si>
  <si>
    <t>(1)Baseline biomass-based heat generation of the power boiler in year y (without fossil fuel)</t>
  </si>
  <si>
    <r>
      <t>HG</t>
    </r>
    <r>
      <rPr>
        <vertAlign val="subscript"/>
        <sz val="10"/>
        <rFont val="Arial"/>
        <family val="2"/>
      </rPr>
      <t>PJ,BR,y</t>
    </r>
  </si>
  <si>
    <t>(GJ/y)</t>
  </si>
  <si>
    <t>Biomass-based heat generation per category (GJ):</t>
  </si>
  <si>
    <t>(2) Biomass mix from internal industrial operations, heat generation.</t>
  </si>
  <si>
    <t>(3) Mix of biomass from external industrial operations, electricity generation.</t>
  </si>
  <si>
    <t>(4) Mix of biomass from forest operations, electricity generation.</t>
  </si>
  <si>
    <t>(5) Biomass mix from internal industrial operations, heat generation.</t>
  </si>
  <si>
    <r>
      <t>BR</t>
    </r>
    <r>
      <rPr>
        <vertAlign val="subscript"/>
        <sz val="10"/>
        <rFont val="Times New Roman"/>
        <family val="1"/>
      </rPr>
      <t xml:space="preserve"> B4,1,2,y</t>
    </r>
  </si>
  <si>
    <t>(BDt/y)</t>
  </si>
  <si>
    <t>(6) Mix of biomass from external industrial operations, heat generation</t>
  </si>
  <si>
    <r>
      <t>BR</t>
    </r>
    <r>
      <rPr>
        <vertAlign val="subscript"/>
        <sz val="10"/>
        <rFont val="Times New Roman"/>
        <family val="1"/>
      </rPr>
      <t xml:space="preserve"> B4,3y</t>
    </r>
  </si>
  <si>
    <t>(7) Mix of biomass from forest operations, heat generation.</t>
  </si>
  <si>
    <r>
      <t>BR</t>
    </r>
    <r>
      <rPr>
        <vertAlign val="subscript"/>
        <sz val="10"/>
        <rFont val="Times New Roman"/>
        <family val="1"/>
      </rPr>
      <t xml:space="preserve"> B4,4,y</t>
    </r>
  </si>
  <si>
    <t>[ (5) + (6) + (7)]</t>
  </si>
  <si>
    <t>(BD/y)</t>
  </si>
  <si>
    <t>Baseline biomass-based heat generation efficiency of heat generator</t>
  </si>
  <si>
    <r>
      <t>η</t>
    </r>
    <r>
      <rPr>
        <vertAlign val="subscript"/>
        <sz val="10"/>
        <rFont val="Arial"/>
        <family val="2"/>
      </rPr>
      <t xml:space="preserve"> PJ,HG,BR,h</t>
    </r>
  </si>
  <si>
    <t>%</t>
  </si>
  <si>
    <t>[(1) + (2) + (3)]</t>
  </si>
  <si>
    <t>(1) Biomass mix from internal industrial operations, electricity generation.</t>
  </si>
  <si>
    <r>
      <t>BR</t>
    </r>
    <r>
      <rPr>
        <vertAlign val="subscript"/>
        <sz val="10"/>
        <rFont val="Times New Roman"/>
        <family val="1"/>
      </rPr>
      <t>PJ,1,2,y</t>
    </r>
  </si>
  <si>
    <t>(2) Mix of biomass from external industrial operations, electricity generation</t>
  </si>
  <si>
    <r>
      <t>BR</t>
    </r>
    <r>
      <rPr>
        <vertAlign val="subscript"/>
        <sz val="10"/>
        <rFont val="Times New Roman"/>
        <family val="1"/>
      </rPr>
      <t>PJ,3,y</t>
    </r>
  </si>
  <si>
    <t>(3) Mix of biomass from forest operations, electricity generation.</t>
  </si>
  <si>
    <r>
      <t>BR</t>
    </r>
    <r>
      <rPr>
        <vertAlign val="subscript"/>
        <sz val="10"/>
        <rFont val="Times New Roman"/>
        <family val="1"/>
      </rPr>
      <t>PJ,4,y</t>
    </r>
  </si>
  <si>
    <t>4) Net calorific value (NCV) of biomass residues (mix of sawdust and bark) from on-site industrial ops.</t>
  </si>
  <si>
    <r>
      <t>NCV</t>
    </r>
    <r>
      <rPr>
        <vertAlign val="subscript"/>
        <sz val="10"/>
        <rFont val="Arial"/>
        <family val="2"/>
      </rPr>
      <t xml:space="preserve"> BR,1,2,y</t>
    </r>
  </si>
  <si>
    <t>(Kg/TJ)</t>
  </si>
  <si>
    <t>5) Net calorific value (NCV) of biomass residues (mix of sawdust and bark) from off-site industrial ops.</t>
  </si>
  <si>
    <r>
      <t>NCV</t>
    </r>
    <r>
      <rPr>
        <vertAlign val="subscript"/>
        <sz val="10"/>
        <rFont val="Arial"/>
        <family val="2"/>
      </rPr>
      <t xml:space="preserve"> BR,3,y</t>
    </r>
  </si>
  <si>
    <t>6) Net calorific value (NCV) of biomass residues (mix of sawdust and bark) from forestry ops.</t>
  </si>
  <si>
    <r>
      <t>NCV</t>
    </r>
    <r>
      <rPr>
        <vertAlign val="subscript"/>
        <sz val="10"/>
        <rFont val="Arial"/>
        <family val="2"/>
      </rPr>
      <t xml:space="preserve"> BR,4,y</t>
    </r>
  </si>
  <si>
    <r>
      <t>7) Adjusted CH</t>
    </r>
    <r>
      <rPr>
        <vertAlign val="subscript"/>
        <sz val="10"/>
        <rFont val="Arial"/>
        <family val="2"/>
      </rPr>
      <t>4</t>
    </r>
    <r>
      <rPr>
        <sz val="10"/>
        <rFont val="Arial"/>
        <family val="2"/>
      </rPr>
      <t xml:space="preserve"> factor for uncontrolled burning, biomass residues (mix of sawdust and bark) from industrial ops.</t>
    </r>
  </si>
  <si>
    <r>
      <t>EF</t>
    </r>
    <r>
      <rPr>
        <vertAlign val="subscript"/>
        <sz val="10"/>
        <rFont val="Arial"/>
        <family val="2"/>
      </rPr>
      <t xml:space="preserve"> BR,1,2,y</t>
    </r>
    <r>
      <rPr>
        <sz val="10"/>
        <rFont val="Arial"/>
        <family val="2"/>
      </rPr>
      <t xml:space="preserve"> and EF</t>
    </r>
    <r>
      <rPr>
        <vertAlign val="subscript"/>
        <sz val="10"/>
        <rFont val="Arial"/>
        <family val="2"/>
      </rPr>
      <t xml:space="preserve"> BR,3,y</t>
    </r>
    <r>
      <rPr>
        <sz val="10"/>
        <rFont val="Arial"/>
        <family val="2"/>
      </rPr>
      <t xml:space="preserve"> </t>
    </r>
  </si>
  <si>
    <t>(GJ/ton)</t>
  </si>
  <si>
    <r>
      <t>8) Adjusted CH</t>
    </r>
    <r>
      <rPr>
        <vertAlign val="subscript"/>
        <sz val="10"/>
        <rFont val="Arial"/>
        <family val="2"/>
      </rPr>
      <t>4</t>
    </r>
    <r>
      <rPr>
        <sz val="10"/>
        <rFont val="Arial"/>
        <family val="2"/>
      </rPr>
      <t xml:space="preserve"> factor for uncontrolled burning, biomass residues (mix of sawdust and bark) from forestry operations.</t>
    </r>
  </si>
  <si>
    <r>
      <t>EF</t>
    </r>
    <r>
      <rPr>
        <vertAlign val="subscript"/>
        <sz val="10"/>
        <rFont val="Arial"/>
        <family val="2"/>
      </rPr>
      <t xml:space="preserve"> BR,4,y </t>
    </r>
  </si>
  <si>
    <r>
      <t>9) CH</t>
    </r>
    <r>
      <rPr>
        <vertAlign val="subscript"/>
        <sz val="10"/>
        <rFont val="Arial"/>
        <family val="2"/>
      </rPr>
      <t>4</t>
    </r>
    <r>
      <rPr>
        <sz val="10"/>
        <rFont val="Arial"/>
        <family val="2"/>
      </rPr>
      <t xml:space="preserve"> Global Warming Potential</t>
    </r>
  </si>
  <si>
    <t>(number)</t>
  </si>
  <si>
    <r>
      <t>10) Baseline emissions due to aerobic decay or uncontrolled burning of biomass residues (BR</t>
    </r>
    <r>
      <rPr>
        <vertAlign val="subscript"/>
        <sz val="10"/>
        <rFont val="Arial"/>
        <family val="2"/>
      </rPr>
      <t>B1/B3,1,2,y</t>
    </r>
    <r>
      <rPr>
        <sz val="10"/>
        <rFont val="Arial"/>
        <family val="2"/>
      </rPr>
      <t>)</t>
    </r>
  </si>
  <si>
    <t>[(1) * (4) * (7) * (9)]/1000000</t>
  </si>
  <si>
    <r>
      <t>(tCO</t>
    </r>
    <r>
      <rPr>
        <vertAlign val="subscript"/>
        <sz val="10"/>
        <rFont val="Arial"/>
        <family val="2"/>
      </rPr>
      <t>2</t>
    </r>
    <r>
      <rPr>
        <sz val="10"/>
        <rFont val="Arial"/>
        <family val="2"/>
      </rPr>
      <t>)</t>
    </r>
  </si>
  <si>
    <r>
      <t>11) Baseline emissions due to aerobic decay or uncontrolled burning of biomass residues (BR</t>
    </r>
    <r>
      <rPr>
        <vertAlign val="subscript"/>
        <sz val="10"/>
        <rFont val="Arial"/>
        <family val="2"/>
      </rPr>
      <t>B1/B3,3,y</t>
    </r>
    <r>
      <rPr>
        <sz val="10"/>
        <rFont val="Arial"/>
        <family val="2"/>
      </rPr>
      <t>)</t>
    </r>
  </si>
  <si>
    <t>[(2) * (5) * (7) * (9)]/1000000</t>
  </si>
  <si>
    <r>
      <t>12) Baseline emissions due to aerobic decay or uncontrolled burning of biomass residues (BR</t>
    </r>
    <r>
      <rPr>
        <vertAlign val="subscript"/>
        <sz val="10"/>
        <rFont val="Arial"/>
        <family val="2"/>
      </rPr>
      <t>B1/B3,4,y</t>
    </r>
    <r>
      <rPr>
        <sz val="10"/>
        <rFont val="Arial"/>
        <family val="2"/>
      </rPr>
      <t>)</t>
    </r>
  </si>
  <si>
    <t>[(3) * (6) * (8) * (9)]/1000000</t>
  </si>
  <si>
    <t>13) Emissions</t>
  </si>
  <si>
    <r>
      <t>∑ BR</t>
    </r>
    <r>
      <rPr>
        <b/>
        <vertAlign val="subscript"/>
        <sz val="10"/>
        <rFont val="Arial"/>
        <family val="2"/>
      </rPr>
      <t>B1/B3,i=3,4,5,y</t>
    </r>
  </si>
  <si>
    <r>
      <t>(tCO</t>
    </r>
    <r>
      <rPr>
        <b/>
        <vertAlign val="subscript"/>
        <sz val="10"/>
        <rFont val="Arial"/>
        <family val="2"/>
      </rPr>
      <t>2</t>
    </r>
    <r>
      <rPr>
        <b/>
        <sz val="10"/>
        <rFont val="Arial"/>
        <family val="2"/>
      </rPr>
      <t>)</t>
    </r>
  </si>
  <si>
    <t>Note: Equation 36 of ACM0006 (Version 12.1.1) is used for emissions calculation</t>
  </si>
  <si>
    <t>Note: Table below  contains results truncated an ronded down from rows 111 and 112, total baseline emissions.</t>
  </si>
  <si>
    <r>
      <t>EL</t>
    </r>
    <r>
      <rPr>
        <vertAlign val="subscript"/>
        <sz val="10"/>
        <rFont val="Arial"/>
        <family val="2"/>
      </rPr>
      <t xml:space="preserve"> BL,GR,y</t>
    </r>
    <r>
      <rPr>
        <sz val="10"/>
        <rFont val="Arial"/>
        <family val="2"/>
      </rPr>
      <t xml:space="preserve"> * EF</t>
    </r>
    <r>
      <rPr>
        <vertAlign val="subscript"/>
        <sz val="10"/>
        <rFont val="Arial"/>
        <family val="2"/>
      </rPr>
      <t xml:space="preserve"> EG,GR</t>
    </r>
  </si>
  <si>
    <t>Baseline emissions due to aerobic decay or uncontrolled burning of biomass residues.</t>
  </si>
  <si>
    <r>
      <t>∑ BR</t>
    </r>
    <r>
      <rPr>
        <vertAlign val="subscript"/>
        <sz val="10"/>
        <rFont val="Arial"/>
        <family val="2"/>
      </rPr>
      <t>B1/B3,i=3,4,5,y</t>
    </r>
  </si>
  <si>
    <t>TOTAL BASELINE EMISSIONS</t>
  </si>
  <si>
    <r>
      <t>(tCO</t>
    </r>
    <r>
      <rPr>
        <b/>
        <vertAlign val="subscript"/>
        <sz val="10"/>
        <rFont val="Arial"/>
        <family val="2"/>
      </rPr>
      <t>2</t>
    </r>
    <r>
      <rPr>
        <b/>
        <sz val="10"/>
        <rFont val="Arial"/>
        <family val="2"/>
      </rPr>
      <t>eq)</t>
    </r>
  </si>
  <si>
    <t>Project Emissions</t>
  </si>
  <si>
    <r>
      <t>Determination of PE</t>
    </r>
    <r>
      <rPr>
        <b/>
        <u/>
        <vertAlign val="subscript"/>
        <sz val="10"/>
        <rFont val="Arial"/>
        <family val="2"/>
      </rPr>
      <t>FF,y</t>
    </r>
    <r>
      <rPr>
        <b/>
        <u/>
        <sz val="10"/>
        <rFont val="Arial"/>
        <family val="2"/>
      </rPr>
      <t xml:space="preserve"> :     According to "Tool to calculate project or leakage CO</t>
    </r>
    <r>
      <rPr>
        <b/>
        <u/>
        <vertAlign val="subscript"/>
        <sz val="10"/>
        <rFont val="Arial"/>
        <family val="2"/>
      </rPr>
      <t>2</t>
    </r>
    <r>
      <rPr>
        <b/>
        <u/>
        <sz val="10"/>
        <rFont val="Arial"/>
        <family val="2"/>
      </rPr>
      <t xml:space="preserve"> emissions from fossil fuel combustion (version 02)"</t>
    </r>
  </si>
  <si>
    <t xml:space="preserve">Fossil fuel consumption in the power boiler:   </t>
  </si>
  <si>
    <t>(1)   Fossil fuel used in the power boiler due to operational reasons</t>
  </si>
  <si>
    <r>
      <t>FC</t>
    </r>
    <r>
      <rPr>
        <vertAlign val="subscript"/>
        <sz val="10"/>
        <rFont val="Arial"/>
        <family val="2"/>
      </rPr>
      <t xml:space="preserve"> Diesel, project plant, y</t>
    </r>
  </si>
  <si>
    <t>(2)   Fossil fuel net calorific value</t>
  </si>
  <si>
    <r>
      <t>NCV</t>
    </r>
    <r>
      <rPr>
        <vertAlign val="subscript"/>
        <sz val="10"/>
        <rFont val="Arial"/>
        <family val="2"/>
      </rPr>
      <t xml:space="preserve"> FF,diesel,y</t>
    </r>
  </si>
  <si>
    <r>
      <t>(3)   Fossil fuel CO</t>
    </r>
    <r>
      <rPr>
        <vertAlign val="subscript"/>
        <sz val="10"/>
        <rFont val="Arial"/>
        <family val="2"/>
      </rPr>
      <t>2</t>
    </r>
    <r>
      <rPr>
        <sz val="10"/>
        <rFont val="Arial"/>
        <family val="2"/>
      </rPr>
      <t xml:space="preserve"> emission factor</t>
    </r>
  </si>
  <si>
    <r>
      <t>EF</t>
    </r>
    <r>
      <rPr>
        <vertAlign val="subscript"/>
        <sz val="10"/>
        <rFont val="Arial"/>
        <family val="2"/>
      </rPr>
      <t>FF,y,diesel</t>
    </r>
  </si>
  <si>
    <t>(4)   Fossil fuel used in the power boiler due to operational reasons</t>
  </si>
  <si>
    <r>
      <t>FC</t>
    </r>
    <r>
      <rPr>
        <vertAlign val="subscript"/>
        <sz val="10"/>
        <rFont val="Arial"/>
        <family val="2"/>
      </rPr>
      <t xml:space="preserve"> LPG, project plant, y</t>
    </r>
  </si>
  <si>
    <t>(5)   Fossil fuel net calorific value</t>
  </si>
  <si>
    <r>
      <t>NCV</t>
    </r>
    <r>
      <rPr>
        <vertAlign val="subscript"/>
        <sz val="10"/>
        <rFont val="Arial"/>
        <family val="2"/>
      </rPr>
      <t xml:space="preserve"> FF,LPGl,y</t>
    </r>
  </si>
  <si>
    <t>(6)   Fossil fuel CO2 emission factor</t>
  </si>
  <si>
    <r>
      <t>EF</t>
    </r>
    <r>
      <rPr>
        <vertAlign val="subscript"/>
        <sz val="10"/>
        <rFont val="Arial"/>
        <family val="2"/>
      </rPr>
      <t>FF,y,LPG</t>
    </r>
  </si>
  <si>
    <t>(7)   Total emissions</t>
  </si>
  <si>
    <t>[(1) * (2) * (3)]+[(4)*(5)*(6)]</t>
  </si>
  <si>
    <t xml:space="preserve">Fossil fuel consumption due to on-site transportation of biomass residues: </t>
  </si>
  <si>
    <t>(1) Fossil fuel used for on-site biomass transportation due to the project activity</t>
  </si>
  <si>
    <r>
      <t>FC</t>
    </r>
    <r>
      <rPr>
        <vertAlign val="subscript"/>
        <sz val="10"/>
        <rFont val="Arial"/>
        <family val="2"/>
      </rPr>
      <t>Diesel, project site, y</t>
    </r>
  </si>
  <si>
    <t>(2) Fossil fuel net calorific value</t>
  </si>
  <si>
    <t>(3) Fossil fuel CO2 emission factor</t>
  </si>
  <si>
    <t>(4)Total emissions (*)</t>
  </si>
  <si>
    <t>[(1) * (2) * (3)]</t>
  </si>
  <si>
    <t>Fossil fuel consumption for processing biomass residues from forest operations:</t>
  </si>
  <si>
    <t>(1) Fossil fuel used for processing biomass from forestry operations</t>
  </si>
  <si>
    <r>
      <t>FC</t>
    </r>
    <r>
      <rPr>
        <vertAlign val="subscript"/>
        <sz val="10"/>
        <rFont val="Arial"/>
        <family val="2"/>
      </rPr>
      <t>Diesel, biomass processing, y</t>
    </r>
  </si>
  <si>
    <t>(2) Fossil fuel net calorific value</t>
  </si>
  <si>
    <t>(3) Fossil fuel CO2 emission factor</t>
  </si>
  <si>
    <t>(4) Total emissions</t>
  </si>
  <si>
    <t>Carbon dioxide emissions from on-site consumption of fossil fuels</t>
  </si>
  <si>
    <t xml:space="preserve">Fossil fuel consumption in the power boiler </t>
  </si>
  <si>
    <r>
      <t xml:space="preserve"> (FC</t>
    </r>
    <r>
      <rPr>
        <vertAlign val="subscript"/>
        <sz val="10"/>
        <rFont val="Arial"/>
        <family val="2"/>
      </rPr>
      <t xml:space="preserve"> Diesel, project plant, y</t>
    </r>
    <r>
      <rPr>
        <sz val="10"/>
        <rFont val="Arial"/>
        <family val="2"/>
      </rPr>
      <t>)</t>
    </r>
  </si>
  <si>
    <t xml:space="preserve">Fossil fuel consumption due to on-site transportation of biomass residues. </t>
  </si>
  <si>
    <r>
      <t>(FC</t>
    </r>
    <r>
      <rPr>
        <vertAlign val="subscript"/>
        <sz val="10"/>
        <rFont val="Arial"/>
        <family val="2"/>
      </rPr>
      <t xml:space="preserve">Diesel, project site, y </t>
    </r>
    <r>
      <rPr>
        <sz val="10"/>
        <rFont val="Arial"/>
        <family val="2"/>
      </rPr>
      <t>)</t>
    </r>
  </si>
  <si>
    <t xml:space="preserve">Fossil fuel consumption for  biomass from forestry operations processing. </t>
  </si>
  <si>
    <r>
      <t>(FC</t>
    </r>
    <r>
      <rPr>
        <vertAlign val="subscript"/>
        <sz val="10"/>
        <rFont val="Arial"/>
        <family val="2"/>
      </rPr>
      <t>Diesel, biomass processing, y</t>
    </r>
    <r>
      <rPr>
        <sz val="10"/>
        <rFont val="Arial"/>
        <family val="2"/>
      </rPr>
      <t>)</t>
    </r>
  </si>
  <si>
    <t>Total emissions</t>
  </si>
  <si>
    <r>
      <t>Determination of PE</t>
    </r>
    <r>
      <rPr>
        <b/>
        <u/>
        <vertAlign val="subscript"/>
        <sz val="10"/>
        <rFont val="Arial"/>
        <family val="2"/>
      </rPr>
      <t>GR1,y</t>
    </r>
  </si>
  <si>
    <t>1) Project electricity imports from the grid</t>
  </si>
  <si>
    <r>
      <t>EL</t>
    </r>
    <r>
      <rPr>
        <vertAlign val="subscript"/>
        <sz val="10"/>
        <rFont val="Arial"/>
        <family val="2"/>
      </rPr>
      <t xml:space="preserve"> PJ,imp,y</t>
    </r>
  </si>
  <si>
    <t>2) Grid emission factor</t>
  </si>
  <si>
    <r>
      <t>EF</t>
    </r>
    <r>
      <rPr>
        <vertAlign val="subscript"/>
        <sz val="10"/>
        <rFont val="Arial"/>
        <family val="2"/>
      </rPr>
      <t xml:space="preserve"> EG,GR,y</t>
    </r>
  </si>
  <si>
    <t>3)  Total emissions</t>
  </si>
  <si>
    <t>[(1) * (2)]</t>
  </si>
  <si>
    <t>Note:</t>
  </si>
  <si>
    <t>Equation 38 of ACM0006 (Version 12.1.1) is used for emissions calculation</t>
  </si>
  <si>
    <r>
      <t>Determination of PE</t>
    </r>
    <r>
      <rPr>
        <b/>
        <u/>
        <vertAlign val="subscript"/>
        <sz val="10"/>
        <rFont val="Arial"/>
        <family val="2"/>
      </rPr>
      <t>TR,y</t>
    </r>
    <r>
      <rPr>
        <b/>
        <u/>
        <sz val="10"/>
        <rFont val="Arial"/>
        <family val="2"/>
      </rPr>
      <t xml:space="preserve"> : Emissions due to transport of biomass residues to the project plant</t>
    </r>
  </si>
  <si>
    <t>1) Total mass of freight transported in freight transportation activity f.</t>
  </si>
  <si>
    <t>2) Weight average calculation. (c)</t>
  </si>
  <si>
    <r>
      <t>∑[D</t>
    </r>
    <r>
      <rPr>
        <vertAlign val="subscript"/>
        <sz val="10"/>
        <rFont val="Arial"/>
        <family val="2"/>
      </rPr>
      <t>f,m</t>
    </r>
    <r>
      <rPr>
        <sz val="10"/>
        <rFont val="Arial"/>
        <family val="2"/>
      </rPr>
      <t xml:space="preserve"> * FR</t>
    </r>
    <r>
      <rPr>
        <vertAlign val="subscript"/>
        <sz val="10"/>
        <rFont val="Arial"/>
        <family val="2"/>
      </rPr>
      <t>f,m</t>
    </r>
    <r>
      <rPr>
        <sz val="10"/>
        <rFont val="Arial"/>
        <family val="2"/>
      </rPr>
      <t>]</t>
    </r>
  </si>
  <si>
    <t>3) Default CO2 emission factor for freight transportation activity f.</t>
  </si>
  <si>
    <r>
      <t>EF</t>
    </r>
    <r>
      <rPr>
        <vertAlign val="subscript"/>
        <sz val="10"/>
        <rFont val="Arial"/>
        <family val="2"/>
      </rPr>
      <t>CO2,f</t>
    </r>
  </si>
  <si>
    <t xml:space="preserve">(4) Total emissions </t>
  </si>
  <si>
    <r>
      <t>[ (2) * (3) ] / 10</t>
    </r>
    <r>
      <rPr>
        <vertAlign val="superscript"/>
        <sz val="10"/>
        <rFont val="Arial"/>
        <family val="2"/>
      </rPr>
      <t>6</t>
    </r>
  </si>
  <si>
    <r>
      <t>Determination of PE</t>
    </r>
    <r>
      <rPr>
        <b/>
        <u/>
        <vertAlign val="subscript"/>
        <sz val="10"/>
        <rFont val="Arial"/>
        <family val="2"/>
      </rPr>
      <t xml:space="preserve">BR,y </t>
    </r>
  </si>
  <si>
    <t>Emissions from the combustion of biomass residues.</t>
  </si>
  <si>
    <t>(1) Biomass residues (sawdust and bark) from on-site industrial operations. Heat generation</t>
  </si>
  <si>
    <r>
      <t>BR</t>
    </r>
    <r>
      <rPr>
        <vertAlign val="subscript"/>
        <sz val="10"/>
        <rFont val="Arial"/>
        <family val="2"/>
      </rPr>
      <t>B4,1,y</t>
    </r>
    <r>
      <rPr>
        <sz val="10"/>
        <rFont val="Arial"/>
        <family val="2"/>
      </rPr>
      <t xml:space="preserve"> + BR</t>
    </r>
    <r>
      <rPr>
        <vertAlign val="subscript"/>
        <sz val="10"/>
        <rFont val="Arial"/>
        <family val="2"/>
      </rPr>
      <t>B4,2,Y</t>
    </r>
  </si>
  <si>
    <t>(2) Biomass residues (mix of sawdust and bark) from off-site industrial operations, Heat generation.</t>
  </si>
  <si>
    <r>
      <t>BR</t>
    </r>
    <r>
      <rPr>
        <vertAlign val="subscript"/>
        <sz val="10"/>
        <rFont val="Arial"/>
        <family val="2"/>
      </rPr>
      <t>B4,3,y</t>
    </r>
  </si>
  <si>
    <t>(3) Biomass residues (sawdust and bark) from on-site industrial operations. Electricity generation</t>
  </si>
  <si>
    <r>
      <t>BR</t>
    </r>
    <r>
      <rPr>
        <vertAlign val="subscript"/>
        <sz val="10"/>
        <rFont val="Arial"/>
        <family val="2"/>
      </rPr>
      <t>PJ,1,y</t>
    </r>
    <r>
      <rPr>
        <sz val="10"/>
        <rFont val="Arial"/>
        <family val="2"/>
      </rPr>
      <t xml:space="preserve"> + BR</t>
    </r>
    <r>
      <rPr>
        <vertAlign val="subscript"/>
        <sz val="10"/>
        <rFont val="Arial"/>
        <family val="2"/>
      </rPr>
      <t>PJ,2,Y</t>
    </r>
  </si>
  <si>
    <t>(4) Biomass residues (mix of sawdust and bark) from off-site industrial operations, Electricity generation.</t>
  </si>
  <si>
    <r>
      <t>BR</t>
    </r>
    <r>
      <rPr>
        <vertAlign val="subscript"/>
        <sz val="10"/>
        <rFont val="Arial"/>
        <family val="2"/>
      </rPr>
      <t>PJ,3,y</t>
    </r>
  </si>
  <si>
    <t xml:space="preserve">(5) Biomass residues (mix of sawdust and bark) from off-site forestry operations, electricity generation. </t>
  </si>
  <si>
    <r>
      <t>BR</t>
    </r>
    <r>
      <rPr>
        <vertAlign val="subscript"/>
        <sz val="10"/>
        <rFont val="Arial"/>
        <family val="2"/>
      </rPr>
      <t>PJ,4,y</t>
    </r>
  </si>
  <si>
    <t>(6) Net calorific value (NCV) of biomass residues  from on-site industrial ops.</t>
  </si>
  <si>
    <r>
      <t>NCV</t>
    </r>
    <r>
      <rPr>
        <vertAlign val="subscript"/>
        <sz val="10"/>
        <rFont val="Arial"/>
        <family val="2"/>
      </rPr>
      <t xml:space="preserve"> BR,1,y=BR,2,y</t>
    </r>
  </si>
  <si>
    <t>(7) Net calorific value (NCV) of biomass residues (mix of sawdust and bark) from off-site industrial ops.</t>
  </si>
  <si>
    <t>(8) Net calorific value (NCV) of biomass residues (mix of sawdust and bark) from off-site forestry ops.</t>
  </si>
  <si>
    <r>
      <t>(9) Adjusted CH</t>
    </r>
    <r>
      <rPr>
        <vertAlign val="subscript"/>
        <sz val="10"/>
        <rFont val="Arial"/>
        <family val="2"/>
      </rPr>
      <t>4</t>
    </r>
    <r>
      <rPr>
        <sz val="10"/>
        <rFont val="Arial"/>
        <family val="2"/>
      </rPr>
      <t xml:space="preserve"> emission factor for controlled burning, biomass residues (mix of sawdust and bark) from forestry ops.(a)</t>
    </r>
  </si>
  <si>
    <r>
      <t>EF</t>
    </r>
    <r>
      <rPr>
        <vertAlign val="subscript"/>
        <sz val="10"/>
        <rFont val="Arial"/>
        <family val="2"/>
      </rPr>
      <t xml:space="preserve"> CH4,BR</t>
    </r>
  </si>
  <si>
    <t>(10) Conservativeness factor.(b)</t>
  </si>
  <si>
    <r>
      <t>(11) CH</t>
    </r>
    <r>
      <rPr>
        <vertAlign val="subscript"/>
        <sz val="10"/>
        <rFont val="Arial"/>
        <family val="2"/>
      </rPr>
      <t>4</t>
    </r>
    <r>
      <rPr>
        <sz val="10"/>
        <rFont val="Arial"/>
        <family val="2"/>
      </rPr>
      <t xml:space="preserve"> Global Warming Potential.</t>
    </r>
  </si>
  <si>
    <t>GWP</t>
  </si>
  <si>
    <t>(a) The applied value is zero based on measurements performed in previous monitoring periods. This values is used instead of using the default methane emission factor provided in the ACM0006 (Version 12.1.1)</t>
  </si>
  <si>
    <t>(b)  The applied value is obtained from Table 5 of the ACM0006 (Version 12.1.1)</t>
  </si>
  <si>
    <t xml:space="preserve">(12) Emissions </t>
  </si>
  <si>
    <t>[(1)*(6)+(2)*(7)+(3)*(6)+(4)*(7)+ (5)*(8)]* [(9)*(10)*(11)]</t>
  </si>
  <si>
    <t>Total project emissions</t>
  </si>
  <si>
    <t>Note: Table below  contains results truncated an ronded up from rows 233 to 239, total project emissions.</t>
  </si>
  <si>
    <t>Emission sources</t>
  </si>
  <si>
    <t>Emissions due to fossil fuel consumption at the project site.</t>
  </si>
  <si>
    <r>
      <t>PE</t>
    </r>
    <r>
      <rPr>
        <vertAlign val="subscript"/>
        <sz val="10"/>
        <rFont val="Arial"/>
        <family val="2"/>
      </rPr>
      <t>FF,y</t>
    </r>
  </si>
  <si>
    <t>Emissions due to grid electricity imports to the project site.</t>
  </si>
  <si>
    <r>
      <t>PE</t>
    </r>
    <r>
      <rPr>
        <vertAlign val="subscript"/>
        <sz val="10"/>
        <rFont val="Arial"/>
        <family val="2"/>
      </rPr>
      <t>GR1,y</t>
    </r>
  </si>
  <si>
    <t>Emissions due to reduction in electricity generation at the project site as compared to the baseline.</t>
  </si>
  <si>
    <r>
      <t>PE</t>
    </r>
    <r>
      <rPr>
        <vertAlign val="subscript"/>
        <sz val="10"/>
        <rFont val="Arial"/>
        <family val="2"/>
      </rPr>
      <t>GR2,y</t>
    </r>
  </si>
  <si>
    <t>Emissions due to transport of the biomass residues to the project plant.</t>
  </si>
  <si>
    <r>
      <t>PE</t>
    </r>
    <r>
      <rPr>
        <vertAlign val="subscript"/>
        <sz val="10"/>
        <rFont val="Arial"/>
        <family val="2"/>
      </rPr>
      <t>TR,y</t>
    </r>
  </si>
  <si>
    <r>
      <t>PE</t>
    </r>
    <r>
      <rPr>
        <vertAlign val="subscript"/>
        <sz val="10"/>
        <rFont val="Arial"/>
        <family val="2"/>
      </rPr>
      <t xml:space="preserve">BR,y </t>
    </r>
  </si>
  <si>
    <t>Emissions from wastewater generated from the treatment of biomass residues.</t>
  </si>
  <si>
    <r>
      <t>PE</t>
    </r>
    <r>
      <rPr>
        <vertAlign val="subscript"/>
        <sz val="10"/>
        <rFont val="Arial"/>
        <family val="2"/>
      </rPr>
      <t>ww,y</t>
    </r>
  </si>
  <si>
    <t>Emissions from the production of biogas.</t>
  </si>
  <si>
    <r>
      <t>PE</t>
    </r>
    <r>
      <rPr>
        <vertAlign val="subscript"/>
        <sz val="10"/>
        <rFont val="Arial"/>
        <family val="2"/>
      </rPr>
      <t>BG2</t>
    </r>
  </si>
  <si>
    <t>GHG EMISSION SAVINGS FOR VIÑALES PROJECT ACTIVITY</t>
  </si>
  <si>
    <t>-</t>
  </si>
  <si>
    <t>OPERATIONAL PARAMETERS</t>
  </si>
  <si>
    <t>Number of days per year</t>
  </si>
  <si>
    <t>(Days/year)</t>
  </si>
  <si>
    <t xml:space="preserve">Numbers of stopagges days </t>
  </si>
  <si>
    <t>Number of operation hours</t>
  </si>
  <si>
    <t>(Hours/year)</t>
  </si>
  <si>
    <t>(1) Operating Margin</t>
  </si>
  <si>
    <t>OM</t>
  </si>
  <si>
    <r>
      <t>(tCO</t>
    </r>
    <r>
      <rPr>
        <vertAlign val="subscript"/>
        <sz val="10"/>
        <rFont val="Times New Roman"/>
        <family val="1"/>
      </rPr>
      <t>2</t>
    </r>
    <r>
      <rPr>
        <sz val="10"/>
        <rFont val="Times New Roman"/>
        <family val="1"/>
      </rPr>
      <t>/MWh)</t>
    </r>
  </si>
  <si>
    <t>(2) Build Margin</t>
  </si>
  <si>
    <t>BM</t>
  </si>
  <si>
    <t>(3) Combined Margin</t>
  </si>
  <si>
    <t>OM*0.5+BM*0.5</t>
  </si>
  <si>
    <t>Note: Calculated in the "SIC emissions" spreadsheet.</t>
  </si>
  <si>
    <t>Biomass Data</t>
  </si>
  <si>
    <t>Biomass from industrial operations</t>
  </si>
  <si>
    <t>Net calorific value (average) from on-site industrial operations.</t>
  </si>
  <si>
    <t>(GJ / BDt)</t>
  </si>
  <si>
    <t>Net calorific value (average) from off-site industrial operations.</t>
  </si>
  <si>
    <r>
      <t>CH</t>
    </r>
    <r>
      <rPr>
        <vertAlign val="subscript"/>
        <sz val="10"/>
        <rFont val="Times New Roman"/>
        <family val="1"/>
      </rPr>
      <t>4</t>
    </r>
    <r>
      <rPr>
        <sz val="10"/>
        <rFont val="Times New Roman"/>
        <family val="1"/>
      </rPr>
      <t xml:space="preserve"> Global Warming Potential</t>
    </r>
  </si>
  <si>
    <r>
      <t>(tCO</t>
    </r>
    <r>
      <rPr>
        <vertAlign val="subscript"/>
        <sz val="10"/>
        <rFont val="Times New Roman"/>
        <family val="1"/>
      </rPr>
      <t>2</t>
    </r>
    <r>
      <rPr>
        <sz val="10"/>
        <rFont val="Times New Roman"/>
        <family val="1"/>
      </rPr>
      <t>/tCH</t>
    </r>
    <r>
      <rPr>
        <vertAlign val="subscript"/>
        <sz val="10"/>
        <rFont val="Times New Roman"/>
        <family val="1"/>
      </rPr>
      <t>4</t>
    </r>
    <r>
      <rPr>
        <sz val="10"/>
        <rFont val="Times New Roman"/>
        <family val="1"/>
      </rPr>
      <t>)</t>
    </r>
  </si>
  <si>
    <t>Methane emission factor for controlled biomass burning</t>
  </si>
  <si>
    <r>
      <t>CH</t>
    </r>
    <r>
      <rPr>
        <vertAlign val="subscript"/>
        <sz val="10"/>
        <rFont val="Times New Roman"/>
        <family val="1"/>
      </rPr>
      <t>4</t>
    </r>
    <r>
      <rPr>
        <sz val="10"/>
        <rFont val="Times New Roman"/>
        <family val="1"/>
      </rPr>
      <t xml:space="preserve"> emission factor (1)</t>
    </r>
  </si>
  <si>
    <r>
      <t>EF</t>
    </r>
    <r>
      <rPr>
        <vertAlign val="subscript"/>
        <sz val="10"/>
        <rFont val="Times New Roman"/>
        <family val="1"/>
      </rPr>
      <t xml:space="preserve"> CH4,BR</t>
    </r>
  </si>
  <si>
    <r>
      <t>(Kg CH</t>
    </r>
    <r>
      <rPr>
        <vertAlign val="subscript"/>
        <sz val="10"/>
        <rFont val="Times New Roman"/>
        <family val="1"/>
      </rPr>
      <t>4</t>
    </r>
    <r>
      <rPr>
        <sz val="10"/>
        <rFont val="Times New Roman"/>
        <family val="1"/>
      </rPr>
      <t>/TJ)</t>
    </r>
  </si>
  <si>
    <t>Conservativeness factor (2)</t>
  </si>
  <si>
    <t>Controlled burning factor, biomass from industrial operations.</t>
  </si>
  <si>
    <r>
      <t>(tCO</t>
    </r>
    <r>
      <rPr>
        <b/>
        <vertAlign val="subscript"/>
        <sz val="10"/>
        <rFont val="Times New Roman"/>
        <family val="1"/>
      </rPr>
      <t>2</t>
    </r>
    <r>
      <rPr>
        <b/>
        <sz val="10"/>
        <rFont val="Times New Roman"/>
        <family val="1"/>
      </rPr>
      <t>eq/ 000 ton)</t>
    </r>
  </si>
  <si>
    <t>Methane emission factors for uncontrolled biomass burning</t>
  </si>
  <si>
    <t xml:space="preserve">Biomass residues categories (k): </t>
  </si>
  <si>
    <t>CH4 factor for biomass uncontrolled burning (3)</t>
  </si>
  <si>
    <t>Conservativeness factor (4)</t>
  </si>
  <si>
    <t>(%)</t>
  </si>
  <si>
    <t>Adjusted CH4 factor for uncontrolled burning, biomass from industrial operations.</t>
  </si>
  <si>
    <t>Uncontrolled burning factor, biomass from on-site industrial operations</t>
  </si>
  <si>
    <r>
      <t>EF</t>
    </r>
    <r>
      <rPr>
        <vertAlign val="subscript"/>
        <sz val="10"/>
        <rFont val="Times New Roman"/>
        <family val="1"/>
      </rPr>
      <t xml:space="preserve"> BR1,2,y </t>
    </r>
  </si>
  <si>
    <t>Uncontrolled burning factor, biomass from off-site industrial operations</t>
  </si>
  <si>
    <r>
      <t>EF</t>
    </r>
    <r>
      <rPr>
        <vertAlign val="subscript"/>
        <sz val="10"/>
        <rFont val="Times New Roman"/>
        <family val="1"/>
      </rPr>
      <t xml:space="preserve"> BR3,y </t>
    </r>
  </si>
  <si>
    <t>Biomass from forestry operations</t>
  </si>
  <si>
    <t>Net calorific value (average)</t>
  </si>
  <si>
    <t>Biomass residues category (k)</t>
  </si>
  <si>
    <r>
      <t>CH</t>
    </r>
    <r>
      <rPr>
        <vertAlign val="subscript"/>
        <sz val="10"/>
        <rFont val="Times New Roman"/>
        <family val="1"/>
      </rPr>
      <t>4</t>
    </r>
    <r>
      <rPr>
        <sz val="10"/>
        <rFont val="Times New Roman"/>
        <family val="1"/>
      </rPr>
      <t xml:space="preserve"> factor for biomass uncontrolled burning (3)</t>
    </r>
  </si>
  <si>
    <t>Conservativeness factor  (4)</t>
  </si>
  <si>
    <r>
      <t>Adjusted CH</t>
    </r>
    <r>
      <rPr>
        <vertAlign val="subscript"/>
        <sz val="10"/>
        <rFont val="Times New Roman"/>
        <family val="1"/>
      </rPr>
      <t>4</t>
    </r>
    <r>
      <rPr>
        <sz val="10"/>
        <rFont val="Times New Roman"/>
        <family val="1"/>
      </rPr>
      <t xml:space="preserve"> factor for uncontrolled burning, biomass from forestry operations.</t>
    </r>
  </si>
  <si>
    <t>Uncontrolled burning factor, biomass from forestry operations</t>
  </si>
  <si>
    <r>
      <t xml:space="preserve">EF </t>
    </r>
    <r>
      <rPr>
        <vertAlign val="subscript"/>
        <sz val="10"/>
        <rFont val="Times New Roman"/>
        <family val="1"/>
      </rPr>
      <t>BR,4,y</t>
    </r>
  </si>
  <si>
    <t>Notes:</t>
  </si>
  <si>
    <t xml:space="preserve">(1) Parameter monitored directly from the project plant. </t>
  </si>
  <si>
    <t>(2) Conservativeness factor obtained from Table 5, page 50/65  of the ACM0006 (Version 12.1.1).</t>
  </si>
  <si>
    <t>(3) Directly meassured at the start of the project activity.</t>
  </si>
  <si>
    <t>(4) Conservativeness factor obtained from Table 3, page 46/65 of the ACM0006 (Version 12.1.1).</t>
  </si>
  <si>
    <t>Fossil fuel data</t>
  </si>
  <si>
    <t>Net calorific value.</t>
  </si>
  <si>
    <r>
      <t>NCV</t>
    </r>
    <r>
      <rPr>
        <vertAlign val="subscript"/>
        <sz val="10"/>
        <color theme="1"/>
        <rFont val="Times New Roman"/>
        <family val="1"/>
      </rPr>
      <t xml:space="preserve"> Diesel,y</t>
    </r>
  </si>
  <si>
    <t>(TJ /000 ton)</t>
  </si>
  <si>
    <t>Carbon content</t>
  </si>
  <si>
    <t>(tC / TJ)</t>
  </si>
  <si>
    <t>Fraction of carbon oxidized</t>
  </si>
  <si>
    <r>
      <t>CO</t>
    </r>
    <r>
      <rPr>
        <vertAlign val="subscript"/>
        <sz val="10"/>
        <rFont val="Arial"/>
        <family val="2"/>
      </rPr>
      <t>2</t>
    </r>
    <r>
      <rPr>
        <sz val="10"/>
        <rFont val="Arial"/>
        <family val="2"/>
      </rPr>
      <t xml:space="preserve"> / C conversion factor</t>
    </r>
  </si>
  <si>
    <r>
      <t>(tCO</t>
    </r>
    <r>
      <rPr>
        <vertAlign val="subscript"/>
        <sz val="10"/>
        <rFont val="Times New Roman"/>
        <family val="1"/>
      </rPr>
      <t>2</t>
    </r>
    <r>
      <rPr>
        <sz val="10"/>
        <rFont val="Times New Roman"/>
        <family val="1"/>
      </rPr>
      <t xml:space="preserve"> / tC)</t>
    </r>
  </si>
  <si>
    <r>
      <t>Weighted average CO</t>
    </r>
    <r>
      <rPr>
        <vertAlign val="subscript"/>
        <sz val="10"/>
        <color theme="1"/>
        <rFont val="Times New Roman"/>
        <family val="1"/>
      </rPr>
      <t xml:space="preserve">2 </t>
    </r>
    <r>
      <rPr>
        <sz val="10"/>
        <color theme="1"/>
        <rFont val="Times New Roman"/>
        <family val="1"/>
      </rPr>
      <t xml:space="preserve">emission factor of Diesel </t>
    </r>
  </si>
  <si>
    <r>
      <t xml:space="preserve">EF </t>
    </r>
    <r>
      <rPr>
        <vertAlign val="subscript"/>
        <sz val="10"/>
        <color theme="1"/>
        <rFont val="Times New Roman"/>
        <family val="1"/>
      </rPr>
      <t>CO2,i,y</t>
    </r>
  </si>
  <si>
    <r>
      <t>(tCO</t>
    </r>
    <r>
      <rPr>
        <vertAlign val="subscript"/>
        <sz val="10"/>
        <color theme="1"/>
        <rFont val="Times New Roman"/>
        <family val="1"/>
      </rPr>
      <t>2</t>
    </r>
    <r>
      <rPr>
        <sz val="10"/>
        <color theme="1"/>
        <rFont val="Times New Roman"/>
        <family val="1"/>
      </rPr>
      <t>/GJ)</t>
    </r>
  </si>
  <si>
    <t>Fuel density.</t>
  </si>
  <si>
    <t>(Kg/lt)</t>
  </si>
  <si>
    <r>
      <t>CO</t>
    </r>
    <r>
      <rPr>
        <b/>
        <vertAlign val="subscript"/>
        <sz val="10"/>
        <color theme="1"/>
        <rFont val="Times New Roman"/>
        <family val="1"/>
      </rPr>
      <t>2</t>
    </r>
    <r>
      <rPr>
        <b/>
        <sz val="10"/>
        <color theme="1"/>
        <rFont val="Times New Roman"/>
        <family val="1"/>
      </rPr>
      <t xml:space="preserve"> Conversion factor</t>
    </r>
  </si>
  <si>
    <t>Fuel Oil</t>
  </si>
  <si>
    <t>Net calorific value</t>
  </si>
  <si>
    <r>
      <t>NCV</t>
    </r>
    <r>
      <rPr>
        <vertAlign val="subscript"/>
        <sz val="10"/>
        <color theme="1"/>
        <rFont val="Times New Roman"/>
        <family val="1"/>
      </rPr>
      <t xml:space="preserve"> fuel oil,y</t>
    </r>
  </si>
  <si>
    <r>
      <t>Weighted average CO</t>
    </r>
    <r>
      <rPr>
        <vertAlign val="subscript"/>
        <sz val="10"/>
        <color theme="1"/>
        <rFont val="Times New Roman"/>
        <family val="1"/>
      </rPr>
      <t>2</t>
    </r>
    <r>
      <rPr>
        <sz val="10"/>
        <color theme="1"/>
        <rFont val="Times New Roman"/>
        <family val="1"/>
      </rPr>
      <t xml:space="preserve"> emission factor of Fuel Oil </t>
    </r>
  </si>
  <si>
    <t>Fuel density</t>
  </si>
  <si>
    <t>CO2 Conversion factor</t>
  </si>
  <si>
    <t>LPG</t>
  </si>
  <si>
    <r>
      <t>NCV</t>
    </r>
    <r>
      <rPr>
        <vertAlign val="subscript"/>
        <sz val="10"/>
        <color theme="1"/>
        <rFont val="Times New Roman"/>
        <family val="1"/>
      </rPr>
      <t xml:space="preserve"> LPG,y</t>
    </r>
  </si>
  <si>
    <t xml:space="preserve">Weighted average CO2 emission factor of LPG </t>
  </si>
  <si>
    <r>
      <t>EF</t>
    </r>
    <r>
      <rPr>
        <vertAlign val="subscript"/>
        <sz val="10"/>
        <color theme="1"/>
        <rFont val="Times New Roman"/>
        <family val="1"/>
      </rPr>
      <t xml:space="preserve"> CO2,i,y</t>
    </r>
  </si>
  <si>
    <t>Fuel density (liquid phase)</t>
  </si>
  <si>
    <r>
      <t>(Kg/m</t>
    </r>
    <r>
      <rPr>
        <vertAlign val="superscript"/>
        <sz val="10"/>
        <color theme="1"/>
        <rFont val="Times New Roman"/>
        <family val="1"/>
      </rPr>
      <t>3</t>
    </r>
    <r>
      <rPr>
        <sz val="10"/>
        <color theme="1"/>
        <rFont val="Times New Roman"/>
        <family val="1"/>
      </rPr>
      <t>)</t>
    </r>
  </si>
  <si>
    <t>Net calorific values: Local values whenever available; if not, 2006 IPCC guidelines default values.</t>
  </si>
  <si>
    <t>Carbon content: 2006 IPCC guidelines default values.</t>
  </si>
  <si>
    <t>Fraction of carbon oxidized: 2006 IPCC guidelines default values.</t>
  </si>
  <si>
    <t>Reliable and documented national energy statistics (National Energy Comission, energy balance 2013) is used to get the fossil fuels density.</t>
  </si>
  <si>
    <t>1. BASELINE EMISSIONS</t>
  </si>
  <si>
    <t>1.1 Grid emission savings</t>
  </si>
  <si>
    <t>Baseline electricity generation</t>
  </si>
  <si>
    <r>
      <t xml:space="preserve">EL </t>
    </r>
    <r>
      <rPr>
        <vertAlign val="subscript"/>
        <sz val="10"/>
        <rFont val="Times New Roman"/>
        <family val="1"/>
      </rPr>
      <t>BL,y</t>
    </r>
  </si>
  <si>
    <t>(MWh/yr)</t>
  </si>
  <si>
    <t>Baseline electricity generation capacity</t>
  </si>
  <si>
    <r>
      <t xml:space="preserve">CAP </t>
    </r>
    <r>
      <rPr>
        <vertAlign val="subscript"/>
        <sz val="10"/>
        <rFont val="Times New Roman"/>
        <family val="1"/>
      </rPr>
      <t>EG, total,y</t>
    </r>
  </si>
  <si>
    <r>
      <t xml:space="preserve">EL </t>
    </r>
    <r>
      <rPr>
        <vertAlign val="subscript"/>
        <sz val="10"/>
        <rFont val="Times New Roman"/>
        <family val="1"/>
      </rPr>
      <t>BL,GR,y</t>
    </r>
  </si>
  <si>
    <t>(MWh)</t>
  </si>
  <si>
    <r>
      <t xml:space="preserve">EL </t>
    </r>
    <r>
      <rPr>
        <vertAlign val="subscript"/>
        <sz val="10"/>
        <rFont val="Times New Roman"/>
        <family val="1"/>
      </rPr>
      <t>BL,GR,y</t>
    </r>
    <r>
      <rPr>
        <sz val="10"/>
        <rFont val="Times New Roman"/>
        <family val="1"/>
      </rPr>
      <t xml:space="preserve"> * CM</t>
    </r>
  </si>
  <si>
    <t>(tCO2)</t>
  </si>
  <si>
    <t>1.2 Emissions from biomass uncontrolled burning</t>
  </si>
  <si>
    <t>Steam line 85 bar</t>
  </si>
  <si>
    <t>Specific enthalpy of the heat carrier at the heat generator.</t>
  </si>
  <si>
    <r>
      <t>h</t>
    </r>
    <r>
      <rPr>
        <vertAlign val="subscript"/>
        <sz val="10"/>
        <rFont val="Times New Roman"/>
        <family val="1"/>
      </rPr>
      <t>HIGH</t>
    </r>
  </si>
  <si>
    <t>(KJ/kg)</t>
  </si>
  <si>
    <t>Feedwater condition (90 Barg, 244°C)</t>
  </si>
  <si>
    <t>(GJ)</t>
  </si>
  <si>
    <t>Steam line 6.5 bar</t>
  </si>
  <si>
    <t>Specific enthalpy of the heat carrier at the heat demand side.</t>
  </si>
  <si>
    <r>
      <t>h</t>
    </r>
    <r>
      <rPr>
        <vertAlign val="subscript"/>
        <sz val="10"/>
        <rFont val="Times New Roman"/>
        <family val="1"/>
      </rPr>
      <t>MED</t>
    </r>
  </si>
  <si>
    <t>MP Heat to process</t>
  </si>
  <si>
    <t xml:space="preserve">Steam line 5 bar </t>
  </si>
  <si>
    <r>
      <t>h</t>
    </r>
    <r>
      <rPr>
        <vertAlign val="subscript"/>
        <sz val="10"/>
        <rFont val="Times New Roman"/>
        <family val="1"/>
      </rPr>
      <t>LOW</t>
    </r>
  </si>
  <si>
    <t>LP Heat to process</t>
  </si>
  <si>
    <t>Total heat to process</t>
  </si>
  <si>
    <r>
      <t xml:space="preserve">HC </t>
    </r>
    <r>
      <rPr>
        <vertAlign val="subscript"/>
        <sz val="10"/>
        <rFont val="Times New Roman"/>
        <family val="1"/>
      </rPr>
      <t xml:space="preserve">BL,y </t>
    </r>
  </si>
  <si>
    <t>(GJ/yr.)</t>
  </si>
  <si>
    <t>Total Heat generated</t>
  </si>
  <si>
    <r>
      <t>BR</t>
    </r>
    <r>
      <rPr>
        <vertAlign val="subscript"/>
        <sz val="10"/>
        <rFont val="Times New Roman"/>
        <family val="1"/>
      </rPr>
      <t>PJ,1,y</t>
    </r>
    <r>
      <rPr>
        <sz val="10"/>
        <rFont val="Times New Roman"/>
        <family val="1"/>
      </rPr>
      <t>+BR</t>
    </r>
    <r>
      <rPr>
        <vertAlign val="subscript"/>
        <sz val="10"/>
        <rFont val="Times New Roman"/>
        <family val="1"/>
      </rPr>
      <t>PJ,2,y</t>
    </r>
  </si>
  <si>
    <t>Net calorific value (NCV) of biomass mix from industrial operations.</t>
  </si>
  <si>
    <r>
      <t xml:space="preserve">NCV </t>
    </r>
    <r>
      <rPr>
        <vertAlign val="subscript"/>
        <sz val="10"/>
        <rFont val="Times New Roman"/>
        <family val="1"/>
      </rPr>
      <t>BR,1,y+BR,2,y</t>
    </r>
  </si>
  <si>
    <t>Mix of biomass from external industrial operations, electricity generation.</t>
  </si>
  <si>
    <t>Net calorific value (NCV) of mix of biomass from external industrial operations.</t>
  </si>
  <si>
    <r>
      <t xml:space="preserve">NCV </t>
    </r>
    <r>
      <rPr>
        <vertAlign val="subscript"/>
        <sz val="10"/>
        <rFont val="Times New Roman"/>
        <family val="1"/>
      </rPr>
      <t>BR,3,y</t>
    </r>
  </si>
  <si>
    <t>Mix of biomass from forest operations, electricity generation.</t>
  </si>
  <si>
    <r>
      <t xml:space="preserve">NCV </t>
    </r>
    <r>
      <rPr>
        <vertAlign val="subscript"/>
        <sz val="10"/>
        <rFont val="Times New Roman"/>
        <family val="1"/>
      </rPr>
      <t>BR,4,y</t>
    </r>
  </si>
  <si>
    <r>
      <t>η</t>
    </r>
    <r>
      <rPr>
        <vertAlign val="subscript"/>
        <sz val="10"/>
        <rFont val="Times New Roman"/>
        <family val="1"/>
      </rPr>
      <t xml:space="preserve"> PJ,HG,BR,h</t>
    </r>
  </si>
  <si>
    <t>Total biomass consumed by project activity</t>
  </si>
  <si>
    <t>(BDt)</t>
  </si>
  <si>
    <t>Total heat generated</t>
  </si>
  <si>
    <t>Baseline biomass-based heat generation of the power boiler in year y (without fossil fuel)</t>
  </si>
  <si>
    <r>
      <t>HG</t>
    </r>
    <r>
      <rPr>
        <vertAlign val="subscript"/>
        <sz val="10"/>
        <rFont val="Times New Roman"/>
        <family val="1"/>
      </rPr>
      <t xml:space="preserve">BR,y </t>
    </r>
  </si>
  <si>
    <t>Biomass for steam generation</t>
  </si>
  <si>
    <r>
      <t>BR</t>
    </r>
    <r>
      <rPr>
        <vertAlign val="subscript"/>
        <sz val="10"/>
        <rFont val="Times New Roman"/>
        <family val="1"/>
      </rPr>
      <t xml:space="preserve"> B4,3,y</t>
    </r>
  </si>
  <si>
    <t>Biomass attributable to project activity (for electricity generation)</t>
  </si>
  <si>
    <t>Biomass mix from internal industrial operations, electricity generation.</t>
  </si>
  <si>
    <t>Mix of biomass from external industrial operations, electricity generation</t>
  </si>
  <si>
    <r>
      <t>Total emissions BE</t>
    </r>
    <r>
      <rPr>
        <b/>
        <vertAlign val="subscript"/>
        <sz val="10"/>
        <rFont val="Times New Roman"/>
        <family val="1"/>
      </rPr>
      <t xml:space="preserve"> BR,B1/B3,y</t>
    </r>
  </si>
  <si>
    <r>
      <t>GWP</t>
    </r>
    <r>
      <rPr>
        <vertAlign val="subscript"/>
        <sz val="10"/>
        <rFont val="Times New Roman"/>
        <family val="1"/>
      </rPr>
      <t>CH4</t>
    </r>
    <r>
      <rPr>
        <sz val="10"/>
        <rFont val="Times New Roman"/>
        <family val="1"/>
      </rPr>
      <t xml:space="preserve"> * </t>
    </r>
    <r>
      <rPr>
        <sz val="10"/>
        <rFont val="Symbol"/>
        <family val="1"/>
        <charset val="2"/>
      </rPr>
      <t>S</t>
    </r>
    <r>
      <rPr>
        <sz val="10"/>
        <rFont val="Times New Roman"/>
        <family val="1"/>
      </rPr>
      <t xml:space="preserve"> BR</t>
    </r>
    <r>
      <rPr>
        <vertAlign val="subscript"/>
        <sz val="10"/>
        <rFont val="Times New Roman"/>
        <family val="1"/>
      </rPr>
      <t>B1/B3,n,y</t>
    </r>
    <r>
      <rPr>
        <sz val="10"/>
        <rFont val="Times New Roman"/>
        <family val="1"/>
      </rPr>
      <t xml:space="preserve"> * NCV</t>
    </r>
    <r>
      <rPr>
        <vertAlign val="subscript"/>
        <sz val="10"/>
        <rFont val="Times New Roman"/>
        <family val="1"/>
      </rPr>
      <t>BR,n,y</t>
    </r>
    <r>
      <rPr>
        <sz val="10"/>
        <rFont val="Times New Roman"/>
        <family val="1"/>
      </rPr>
      <t xml:space="preserve"> * EF</t>
    </r>
    <r>
      <rPr>
        <vertAlign val="subscript"/>
        <sz val="10"/>
        <rFont val="Times New Roman"/>
        <family val="1"/>
      </rPr>
      <t>BR,n,y</t>
    </r>
  </si>
  <si>
    <r>
      <t>(tCO</t>
    </r>
    <r>
      <rPr>
        <b/>
        <vertAlign val="subscript"/>
        <sz val="10"/>
        <rFont val="Times New Roman"/>
        <family val="1"/>
      </rPr>
      <t>2</t>
    </r>
    <r>
      <rPr>
        <b/>
        <sz val="10"/>
        <rFont val="Times New Roman"/>
        <family val="1"/>
      </rPr>
      <t>)</t>
    </r>
  </si>
  <si>
    <t>1.3. BASELINE EMISSIONS</t>
  </si>
  <si>
    <t>Note: Table below  contains results truncated an ronded down from rows 109 and 144, total baseline emissions.</t>
  </si>
  <si>
    <t>Total</t>
  </si>
  <si>
    <r>
      <t>EL</t>
    </r>
    <r>
      <rPr>
        <vertAlign val="subscript"/>
        <sz val="10"/>
        <rFont val="Times New Roman"/>
        <family val="1"/>
      </rPr>
      <t xml:space="preserve"> BL,GR,y</t>
    </r>
    <r>
      <rPr>
        <sz val="10"/>
        <rFont val="Times New Roman"/>
        <family val="1"/>
      </rPr>
      <t xml:space="preserve"> * EF</t>
    </r>
    <r>
      <rPr>
        <vertAlign val="subscript"/>
        <sz val="10"/>
        <rFont val="Times New Roman"/>
        <family val="1"/>
      </rPr>
      <t xml:space="preserve"> EG,GR</t>
    </r>
  </si>
  <si>
    <r>
      <t>(tCO</t>
    </r>
    <r>
      <rPr>
        <vertAlign val="subscript"/>
        <sz val="10"/>
        <rFont val="Times New Roman"/>
        <family val="1"/>
      </rPr>
      <t>2</t>
    </r>
    <r>
      <rPr>
        <sz val="10"/>
        <rFont val="Times New Roman"/>
        <family val="1"/>
      </rPr>
      <t>)</t>
    </r>
  </si>
  <si>
    <r>
      <t>BE</t>
    </r>
    <r>
      <rPr>
        <vertAlign val="subscript"/>
        <sz val="10"/>
        <rFont val="Times New Roman"/>
        <family val="1"/>
      </rPr>
      <t xml:space="preserve"> BR,y</t>
    </r>
  </si>
  <si>
    <r>
      <t>(tCO</t>
    </r>
    <r>
      <rPr>
        <b/>
        <vertAlign val="subscript"/>
        <sz val="10"/>
        <rFont val="Times New Roman"/>
        <family val="1"/>
      </rPr>
      <t>2</t>
    </r>
    <r>
      <rPr>
        <b/>
        <sz val="10"/>
        <rFont val="Times New Roman"/>
        <family val="1"/>
      </rPr>
      <t>eq)</t>
    </r>
  </si>
  <si>
    <t>2. PROJECT EMISSIONS</t>
  </si>
  <si>
    <r>
      <t>2.1 Determination of   PE</t>
    </r>
    <r>
      <rPr>
        <b/>
        <u/>
        <vertAlign val="subscript"/>
        <sz val="10"/>
        <rFont val="Times New Roman"/>
        <family val="1"/>
      </rPr>
      <t xml:space="preserve"> FF,y</t>
    </r>
  </si>
  <si>
    <t>2.1.1  Emissions from fossil fuel consumption due to technical constraints and heat generation</t>
  </si>
  <si>
    <t>(ton/y)</t>
  </si>
  <si>
    <t>Fossil fuel used to increase heat and/or power generation</t>
  </si>
  <si>
    <t>Other (LPG) (liquid phase)</t>
  </si>
  <si>
    <t>2.1.2 Emissions from  fossil fuel consumption due to biomass transportation in the Plant site</t>
  </si>
  <si>
    <t>Total biomass consumption</t>
  </si>
  <si>
    <t>Total Diesel consumption of project plant</t>
  </si>
  <si>
    <t>(l/y)</t>
  </si>
  <si>
    <t>Total diesel consumption of project plant</t>
  </si>
  <si>
    <t>(ton/yr)</t>
  </si>
  <si>
    <t>2.1.3 Emissions from fossil fuel consumption due to processing biomass residues from forestry operations</t>
  </si>
  <si>
    <t>Total biomass from forestry operations consumption</t>
  </si>
  <si>
    <t>Fuel for processing consumption index</t>
  </si>
  <si>
    <t>(lt/BDt)</t>
  </si>
  <si>
    <t>Total fuel used for processing biomass from forestry operations.</t>
  </si>
  <si>
    <t>FCDiesel, biomass processing, y</t>
  </si>
  <si>
    <t>Emissions from fossil fuel consumption at the Project Site</t>
  </si>
  <si>
    <t>Emissions from fossil fuel consumption related to project activity due to operational reasons.</t>
  </si>
  <si>
    <r>
      <t>FC</t>
    </r>
    <r>
      <rPr>
        <vertAlign val="subscript"/>
        <sz val="10"/>
        <rFont val="Times New Roman"/>
        <family val="1"/>
      </rPr>
      <t xml:space="preserve"> Diesel, project plant, y</t>
    </r>
  </si>
  <si>
    <t>Emissions from  fossil fuel consumption due to biomass transportation in the Plant site.</t>
  </si>
  <si>
    <r>
      <t>FC</t>
    </r>
    <r>
      <rPr>
        <vertAlign val="subscript"/>
        <sz val="10"/>
        <rFont val="Times New Roman"/>
        <family val="1"/>
      </rPr>
      <t>Diesel, project site, y</t>
    </r>
  </si>
  <si>
    <t>Emissions from fossil fuel consumption in biomass from forestry operations processing.</t>
  </si>
  <si>
    <r>
      <t>FC</t>
    </r>
    <r>
      <rPr>
        <vertAlign val="subscript"/>
        <sz val="10"/>
        <rFont val="Times New Roman"/>
        <family val="1"/>
      </rPr>
      <t>Diesel, biomass processing, y</t>
    </r>
  </si>
  <si>
    <t>Total emissions (*)</t>
  </si>
  <si>
    <r>
      <t>PE</t>
    </r>
    <r>
      <rPr>
        <vertAlign val="subscript"/>
        <sz val="10"/>
        <rFont val="Times New Roman"/>
        <family val="1"/>
      </rPr>
      <t xml:space="preserve"> FF,y</t>
    </r>
  </si>
  <si>
    <t>According to “Tool to calculate project or leakage CO2 emissions from fossil fuel combustion (version 02)”</t>
  </si>
  <si>
    <t>2.2 Determination of   PE GR1,y</t>
  </si>
  <si>
    <t>Emissions from electricity imported from the grid</t>
  </si>
  <si>
    <r>
      <t>PE</t>
    </r>
    <r>
      <rPr>
        <vertAlign val="subscript"/>
        <sz val="10"/>
        <rFont val="Times New Roman"/>
        <family val="1"/>
      </rPr>
      <t>GR1,y</t>
    </r>
  </si>
  <si>
    <t>2.3 Determination of PE GR2,y</t>
  </si>
  <si>
    <t>Emissions from electricity generated on-site</t>
  </si>
  <si>
    <r>
      <t>PE</t>
    </r>
    <r>
      <rPr>
        <vertAlign val="subscript"/>
        <sz val="10"/>
        <rFont val="Times New Roman"/>
        <family val="1"/>
      </rPr>
      <t>GR2,y</t>
    </r>
  </si>
  <si>
    <r>
      <t>2.4 Determination of PE</t>
    </r>
    <r>
      <rPr>
        <b/>
        <u/>
        <vertAlign val="subscript"/>
        <sz val="10"/>
        <rFont val="Times New Roman"/>
        <family val="1"/>
      </rPr>
      <t xml:space="preserve"> TR,y</t>
    </r>
  </si>
  <si>
    <t>Emissions from biomass transportation to the Power Plant</t>
  </si>
  <si>
    <t>Total mass of freight transported in freight transportation activity f</t>
  </si>
  <si>
    <r>
      <t>FR</t>
    </r>
    <r>
      <rPr>
        <vertAlign val="subscript"/>
        <sz val="10"/>
        <rFont val="Times New Roman"/>
        <family val="1"/>
      </rPr>
      <t>f,m</t>
    </r>
  </si>
  <si>
    <t>(wet tons/yr)</t>
  </si>
  <si>
    <t>Return trip road distance between the origin and destination of freight transportation activity f.( b )</t>
  </si>
  <si>
    <r>
      <t>D</t>
    </r>
    <r>
      <rPr>
        <vertAlign val="subscript"/>
        <sz val="10"/>
        <rFont val="Times New Roman"/>
        <family val="1"/>
      </rPr>
      <t>f,m</t>
    </r>
  </si>
  <si>
    <t>Weight average calculation (c)</t>
  </si>
  <si>
    <r>
      <t>∑ D</t>
    </r>
    <r>
      <rPr>
        <vertAlign val="subscript"/>
        <sz val="10"/>
        <rFont val="Times New Roman"/>
        <family val="1"/>
      </rPr>
      <t>f,m</t>
    </r>
    <r>
      <rPr>
        <sz val="10"/>
        <rFont val="Times New Roman"/>
        <family val="1"/>
      </rPr>
      <t xml:space="preserve"> * FR</t>
    </r>
    <r>
      <rPr>
        <vertAlign val="subscript"/>
        <sz val="10"/>
        <rFont val="Times New Roman"/>
        <family val="1"/>
      </rPr>
      <t>f,m</t>
    </r>
  </si>
  <si>
    <t>t-km</t>
  </si>
  <si>
    <t>Default CO2 emission factor for freight transportation activity f.</t>
  </si>
  <si>
    <r>
      <t>EF</t>
    </r>
    <r>
      <rPr>
        <vertAlign val="subscript"/>
        <sz val="10"/>
        <rFont val="Times New Roman"/>
        <family val="1"/>
      </rPr>
      <t xml:space="preserve"> CO2,f</t>
    </r>
  </si>
  <si>
    <t>(g CO2/t-km)</t>
  </si>
  <si>
    <r>
      <t>PE</t>
    </r>
    <r>
      <rPr>
        <vertAlign val="subscript"/>
        <sz val="10"/>
        <rFont val="Times New Roman"/>
        <family val="1"/>
      </rPr>
      <t xml:space="preserve"> TR,y</t>
    </r>
  </si>
  <si>
    <r>
      <t>2.5 Determination of PE</t>
    </r>
    <r>
      <rPr>
        <u/>
        <vertAlign val="subscript"/>
        <sz val="10"/>
        <rFont val="Times New Roman"/>
        <family val="1"/>
      </rPr>
      <t xml:space="preserve"> BR,y</t>
    </r>
  </si>
  <si>
    <t>Emissions from the combustion of biomass residues in boiler</t>
  </si>
  <si>
    <r>
      <t>BR</t>
    </r>
    <r>
      <rPr>
        <vertAlign val="subscript"/>
        <sz val="10"/>
        <rFont val="Times New Roman"/>
        <family val="1"/>
      </rPr>
      <t>PJ,3,Y</t>
    </r>
  </si>
  <si>
    <r>
      <t>BR</t>
    </r>
    <r>
      <rPr>
        <vertAlign val="subscript"/>
        <sz val="10"/>
        <rFont val="Times New Roman"/>
        <family val="1"/>
      </rPr>
      <t xml:space="preserve"> PJ,4,y</t>
    </r>
  </si>
  <si>
    <t xml:space="preserve">Total emissions </t>
  </si>
  <si>
    <r>
      <t>PE</t>
    </r>
    <r>
      <rPr>
        <vertAlign val="subscript"/>
        <sz val="10"/>
        <rFont val="Times New Roman"/>
        <family val="1"/>
      </rPr>
      <t>BR,y</t>
    </r>
    <r>
      <rPr>
        <sz val="10"/>
        <rFont val="Times New Roman"/>
        <family val="1"/>
      </rPr>
      <t xml:space="preserve">  =  GWP</t>
    </r>
    <r>
      <rPr>
        <vertAlign val="subscript"/>
        <sz val="10"/>
        <rFont val="Times New Roman"/>
        <family val="1"/>
      </rPr>
      <t>CH4</t>
    </r>
    <r>
      <rPr>
        <sz val="10"/>
        <rFont val="Times New Roman"/>
        <family val="1"/>
      </rPr>
      <t>* EF</t>
    </r>
    <r>
      <rPr>
        <vertAlign val="subscript"/>
        <sz val="10"/>
        <rFont val="Times New Roman"/>
        <family val="1"/>
      </rPr>
      <t>CH4,BR</t>
    </r>
    <r>
      <rPr>
        <sz val="10"/>
        <rFont val="Times New Roman"/>
        <family val="1"/>
      </rPr>
      <t>* ∑ BR</t>
    </r>
    <r>
      <rPr>
        <vertAlign val="subscript"/>
        <sz val="10"/>
        <rFont val="Times New Roman"/>
        <family val="1"/>
      </rPr>
      <t>PJ,n,y</t>
    </r>
    <r>
      <rPr>
        <sz val="10"/>
        <rFont val="Times New Roman"/>
        <family val="1"/>
      </rPr>
      <t>* NCV</t>
    </r>
    <r>
      <rPr>
        <vertAlign val="subscript"/>
        <sz val="10"/>
        <rFont val="Times New Roman"/>
        <family val="1"/>
      </rPr>
      <t>BR,n,y</t>
    </r>
  </si>
  <si>
    <r>
      <t>(tCO</t>
    </r>
    <r>
      <rPr>
        <b/>
        <vertAlign val="subscript"/>
        <sz val="10"/>
        <rFont val="Times New Roman"/>
        <family val="1"/>
      </rPr>
      <t>2</t>
    </r>
    <r>
      <rPr>
        <b/>
        <sz val="10"/>
        <rFont val="Times New Roman"/>
        <family val="1"/>
      </rPr>
      <t>eq/yr)</t>
    </r>
  </si>
  <si>
    <t>2.6 Determination of PE ww,y</t>
  </si>
  <si>
    <t xml:space="preserve">Emissions from biogas </t>
  </si>
  <si>
    <t>PEww,y</t>
  </si>
  <si>
    <t>PROJECT EMISSIONS</t>
  </si>
  <si>
    <t>Note: Table below  contains results truncated an ronded up from rows 258 to 263, total project emissions.</t>
  </si>
  <si>
    <t>Emissions from fossil fuel consumption at the project site.</t>
  </si>
  <si>
    <r>
      <t>(tCO</t>
    </r>
    <r>
      <rPr>
        <vertAlign val="subscript"/>
        <sz val="10"/>
        <rFont val="Times New Roman"/>
        <family val="1"/>
      </rPr>
      <t>2</t>
    </r>
    <r>
      <rPr>
        <sz val="10"/>
        <rFont val="Times New Roman"/>
        <family val="1"/>
      </rPr>
      <t>/yr)</t>
    </r>
  </si>
  <si>
    <t>Emissions from electricity imported from the grid.</t>
  </si>
  <si>
    <r>
      <t>PE</t>
    </r>
    <r>
      <rPr>
        <vertAlign val="subscript"/>
        <sz val="10"/>
        <rFont val="Times New Roman"/>
        <family val="1"/>
      </rPr>
      <t xml:space="preserve"> GR1,y</t>
    </r>
  </si>
  <si>
    <t>Emissions from electricity generated on-site.</t>
  </si>
  <si>
    <r>
      <t>PE</t>
    </r>
    <r>
      <rPr>
        <vertAlign val="subscript"/>
        <sz val="10"/>
        <rFont val="Times New Roman"/>
        <family val="1"/>
      </rPr>
      <t xml:space="preserve"> GR2,y</t>
    </r>
  </si>
  <si>
    <t>Emissions from biomass transportation to the Power Plant.</t>
  </si>
  <si>
    <t>Emissions from the combustion of biomass residues in boiler.</t>
  </si>
  <si>
    <r>
      <t>PE</t>
    </r>
    <r>
      <rPr>
        <vertAlign val="subscript"/>
        <sz val="10"/>
        <rFont val="Times New Roman"/>
        <family val="1"/>
      </rPr>
      <t xml:space="preserve"> BR,y</t>
    </r>
  </si>
  <si>
    <t>Emissions from biogas.</t>
  </si>
  <si>
    <r>
      <t>PE</t>
    </r>
    <r>
      <rPr>
        <vertAlign val="subscript"/>
        <sz val="10"/>
        <rFont val="Times New Roman"/>
        <family val="1"/>
      </rPr>
      <t xml:space="preserve"> ww,y</t>
    </r>
  </si>
  <si>
    <t>TOTAL PROJECT EMISSIONS</t>
  </si>
  <si>
    <t>(tCO2eq/yr)</t>
  </si>
  <si>
    <t>1. Electric power generation data</t>
  </si>
  <si>
    <t>Ene</t>
  </si>
  <si>
    <t>Feb</t>
  </si>
  <si>
    <t>Mar</t>
  </si>
  <si>
    <t>Abr</t>
  </si>
  <si>
    <t>May</t>
  </si>
  <si>
    <t>Jun</t>
  </si>
  <si>
    <t>Jul</t>
  </si>
  <si>
    <t>Aug</t>
  </si>
  <si>
    <t>Sep</t>
  </si>
  <si>
    <t>Oct</t>
  </si>
  <si>
    <t>Nov</t>
  </si>
  <si>
    <t>Dec</t>
  </si>
  <si>
    <t>Gross quantity of electricity generated</t>
  </si>
  <si>
    <r>
      <t xml:space="preserve">EL </t>
    </r>
    <r>
      <rPr>
        <vertAlign val="subscript"/>
        <sz val="11"/>
        <rFont val="Times New Roman"/>
        <family val="1"/>
      </rPr>
      <t xml:space="preserve">PJ, gross,y </t>
    </r>
  </si>
  <si>
    <t>(MWh/month)</t>
  </si>
  <si>
    <t>Project electricity imports from the grid</t>
  </si>
  <si>
    <r>
      <t>EL</t>
    </r>
    <r>
      <rPr>
        <sz val="11"/>
        <rFont val="Times New Roman"/>
        <family val="1"/>
      </rPr>
      <t xml:space="preserve"> </t>
    </r>
    <r>
      <rPr>
        <vertAlign val="subscript"/>
        <sz val="11"/>
        <rFont val="Times New Roman"/>
        <family val="1"/>
      </rPr>
      <t>PJ,imp,y</t>
    </r>
  </si>
  <si>
    <t>Total auxiliary electricity consumption for the operation of the power plant</t>
  </si>
  <si>
    <r>
      <t>EL</t>
    </r>
    <r>
      <rPr>
        <vertAlign val="subscript"/>
        <sz val="10"/>
        <rFont val="Times New Roman"/>
        <family val="1"/>
      </rPr>
      <t xml:space="preserve"> </t>
    </r>
    <r>
      <rPr>
        <vertAlign val="subscript"/>
        <sz val="11"/>
        <rFont val="Times New Roman"/>
        <family val="1"/>
      </rPr>
      <t>PJ,aux,y</t>
    </r>
  </si>
  <si>
    <t>Measured auxiliary electricity consumption for the operation of the power plant</t>
  </si>
  <si>
    <t>Auxiliary consumption due to pneumatic transportation system</t>
  </si>
  <si>
    <t>Numbers of stopagges</t>
  </si>
  <si>
    <t>Hr</t>
  </si>
  <si>
    <t>Numbers of stopagges days</t>
  </si>
  <si>
    <t>days</t>
  </si>
  <si>
    <t>2. Heat generation</t>
  </si>
  <si>
    <t>(P Barg,T°C)</t>
  </si>
  <si>
    <t>(85 bar,485ºC)</t>
  </si>
  <si>
    <t>(ton/month)</t>
  </si>
  <si>
    <t>(6,5 bar,200ºC)</t>
  </si>
  <si>
    <t>Steam line 5 bar</t>
  </si>
  <si>
    <t>(5,0 bar,157º C)</t>
  </si>
  <si>
    <t>Feedwater condition</t>
  </si>
  <si>
    <t>(90 bar, 244°C)</t>
  </si>
  <si>
    <t>3. Biomass combusted in power boiler</t>
  </si>
  <si>
    <t>Wet biomass mix from internal industrial operations</t>
  </si>
  <si>
    <r>
      <t>[BR</t>
    </r>
    <r>
      <rPr>
        <vertAlign val="subscript"/>
        <sz val="10"/>
        <rFont val="Times New Roman"/>
        <family val="1"/>
      </rPr>
      <t xml:space="preserve">PJ,1,y </t>
    </r>
    <r>
      <rPr>
        <sz val="10"/>
        <rFont val="Times New Roman"/>
        <family val="1"/>
      </rPr>
      <t>+ BR</t>
    </r>
    <r>
      <rPr>
        <vertAlign val="subscript"/>
        <sz val="10"/>
        <rFont val="Times New Roman"/>
        <family val="1"/>
      </rPr>
      <t>PJ,2,y]</t>
    </r>
  </si>
  <si>
    <t>Wet biomass mix from internal industrial operations (Sunder dust)</t>
  </si>
  <si>
    <t>Wet biomass mix from internal industrial operations (Weighbridge)</t>
  </si>
  <si>
    <t>Wet mix of sawdust and bark from external industrial operations for electricity generation</t>
  </si>
  <si>
    <t>Wet mix biomass from forestry operations for electricity generation</t>
  </si>
  <si>
    <t>3.1. Moisture content of biomass residues category</t>
  </si>
  <si>
    <t>Average moisture content of biomass mix from internal industrial operations</t>
  </si>
  <si>
    <t>Average moisture content of biomass from external industrial operations for electricity generation</t>
  </si>
  <si>
    <t>Average moisture content of biomass from forestry operations for electricity generation</t>
  </si>
  <si>
    <t>3.2 Net calorific value NCV according to biomass residues category</t>
  </si>
  <si>
    <t>First semester measure</t>
  </si>
  <si>
    <t>Second semester measure</t>
  </si>
  <si>
    <t>Net calorific value (NCV) of dry biomass mix from internal industrial operations</t>
  </si>
  <si>
    <r>
      <t xml:space="preserve">(NCV </t>
    </r>
    <r>
      <rPr>
        <vertAlign val="subscript"/>
        <sz val="10"/>
        <rFont val="Times New Roman"/>
        <family val="1"/>
      </rPr>
      <t>BR,1,y</t>
    </r>
    <r>
      <rPr>
        <sz val="10"/>
        <rFont val="Times New Roman"/>
        <family val="1"/>
      </rPr>
      <t>)=(NCV BR,2,y)</t>
    </r>
  </si>
  <si>
    <t>(Kcal/kg)</t>
  </si>
  <si>
    <t>Net calorific value (NCV) of dry biomass mix from external industrial operations</t>
  </si>
  <si>
    <r>
      <t xml:space="preserve">(NCV </t>
    </r>
    <r>
      <rPr>
        <vertAlign val="subscript"/>
        <sz val="10"/>
        <rFont val="Times New Roman"/>
        <family val="1"/>
      </rPr>
      <t>BR,3,y</t>
    </r>
    <r>
      <rPr>
        <sz val="10"/>
        <rFont val="Times New Roman"/>
        <family val="1"/>
      </rPr>
      <t>)</t>
    </r>
  </si>
  <si>
    <t>Net calorific value (NCV) of dry biomass mix from forestry operations</t>
  </si>
  <si>
    <r>
      <t>(NCV</t>
    </r>
    <r>
      <rPr>
        <vertAlign val="subscript"/>
        <sz val="10"/>
        <rFont val="Times New Roman"/>
        <family val="1"/>
      </rPr>
      <t xml:space="preserve"> BR,4,y</t>
    </r>
    <r>
      <rPr>
        <sz val="10"/>
        <rFont val="Times New Roman"/>
        <family val="1"/>
      </rPr>
      <t>)</t>
    </r>
  </si>
  <si>
    <t>4. Fossil fuel type i consumption for biomass transportation to power plant.</t>
  </si>
  <si>
    <t>Total mass of freight transported in freight transportation activity (external+Forestry)</t>
  </si>
  <si>
    <t>Weight average calculation.(c)</t>
  </si>
  <si>
    <t>∑ [FRf,m * Df,m ]</t>
  </si>
  <si>
    <r>
      <t>Default CO</t>
    </r>
    <r>
      <rPr>
        <vertAlign val="subscript"/>
        <sz val="10"/>
        <rFont val="Times New Roman"/>
        <family val="1"/>
      </rPr>
      <t>2</t>
    </r>
    <r>
      <rPr>
        <sz val="10"/>
        <rFont val="Times New Roman"/>
        <family val="1"/>
      </rPr>
      <t xml:space="preserve"> emission factor for freight transportation activity </t>
    </r>
    <r>
      <rPr>
        <i/>
        <sz val="10"/>
        <rFont val="Times New Roman"/>
        <family val="1"/>
      </rPr>
      <t>f</t>
    </r>
  </si>
  <si>
    <r>
      <t xml:space="preserve">EF </t>
    </r>
    <r>
      <rPr>
        <vertAlign val="subscript"/>
        <sz val="10"/>
        <rFont val="Times New Roman"/>
        <family val="1"/>
      </rPr>
      <t>CO2,f</t>
    </r>
  </si>
  <si>
    <r>
      <t>(g CO</t>
    </r>
    <r>
      <rPr>
        <vertAlign val="subscript"/>
        <sz val="10"/>
        <rFont val="Times New Roman"/>
        <family val="1"/>
      </rPr>
      <t>2</t>
    </r>
    <r>
      <rPr>
        <sz val="10"/>
        <rFont val="Times New Roman"/>
        <family val="1"/>
      </rPr>
      <t>/ t-km)</t>
    </r>
  </si>
  <si>
    <t>5.Fossil fuel combusted in power boiler</t>
  </si>
  <si>
    <t>5.1 Fossil fuel consumption due to power plant stoppages</t>
  </si>
  <si>
    <t>Jan</t>
  </si>
  <si>
    <t>Apr</t>
  </si>
  <si>
    <r>
      <t>FC i</t>
    </r>
    <r>
      <rPr>
        <vertAlign val="subscript"/>
        <sz val="11"/>
        <rFont val="Times New Roman"/>
        <family val="1"/>
      </rPr>
      <t>, Project Plant, y</t>
    </r>
  </si>
  <si>
    <t>(lt/month)</t>
  </si>
  <si>
    <t>Others (LPG) (liquid fase)</t>
  </si>
  <si>
    <t>5.2 Combustibles fosiles consumidos debido a transporte al interior de planta</t>
  </si>
  <si>
    <t>Ago</t>
  </si>
  <si>
    <t>Dic</t>
  </si>
  <si>
    <r>
      <t>FCi</t>
    </r>
    <r>
      <rPr>
        <vertAlign val="subscript"/>
        <sz val="11"/>
        <rFont val="Times New Roman"/>
        <family val="1"/>
      </rPr>
      <t>, Project site, y</t>
    </r>
  </si>
  <si>
    <t>Otro</t>
  </si>
  <si>
    <t>6.  Combustibles fosiles consumidos en el proceso de trituración de biomasa forestal</t>
  </si>
  <si>
    <r>
      <t xml:space="preserve">FC </t>
    </r>
    <r>
      <rPr>
        <vertAlign val="subscript"/>
        <sz val="10"/>
        <rFont val="Times New Roman"/>
        <family val="1"/>
      </rPr>
      <t>i</t>
    </r>
    <r>
      <rPr>
        <vertAlign val="subscript"/>
        <sz val="11"/>
        <rFont val="Times New Roman"/>
        <family val="1"/>
      </rPr>
      <t>, biomass processing, y</t>
    </r>
  </si>
  <si>
    <r>
      <t>FC</t>
    </r>
    <r>
      <rPr>
        <vertAlign val="subscript"/>
        <sz val="10"/>
        <rFont val="Times New Roman"/>
        <family val="1"/>
      </rPr>
      <t xml:space="preserve"> i</t>
    </r>
    <r>
      <rPr>
        <vertAlign val="subscript"/>
        <sz val="11"/>
        <rFont val="Times New Roman"/>
        <family val="1"/>
      </rPr>
      <t>, biomass processing, y</t>
    </r>
  </si>
  <si>
    <t>5.3 Datos de combustible fósil: De acuerdo a PDD</t>
  </si>
  <si>
    <t>NCV</t>
  </si>
  <si>
    <t>Density</t>
  </si>
  <si>
    <r>
      <t xml:space="preserve">NCV </t>
    </r>
    <r>
      <rPr>
        <vertAlign val="subscript"/>
        <sz val="10"/>
        <rFont val="Times New Roman"/>
        <family val="1"/>
      </rPr>
      <t>FF,diesel,y</t>
    </r>
  </si>
  <si>
    <r>
      <t xml:space="preserve">NCV </t>
    </r>
    <r>
      <rPr>
        <vertAlign val="subscript"/>
        <sz val="10"/>
        <rFont val="Times New Roman"/>
        <family val="1"/>
      </rPr>
      <t>FF,fuel oil,y</t>
    </r>
  </si>
  <si>
    <t>LPG (liquid phase)</t>
  </si>
  <si>
    <r>
      <t xml:space="preserve">NCV </t>
    </r>
    <r>
      <rPr>
        <vertAlign val="subscript"/>
        <sz val="10"/>
        <rFont val="Times New Roman"/>
        <family val="1"/>
      </rPr>
      <t>FF,LPG,y</t>
    </r>
  </si>
  <si>
    <r>
      <t>(Kg/m</t>
    </r>
    <r>
      <rPr>
        <vertAlign val="superscript"/>
        <sz val="10"/>
        <rFont val="Times New Roman"/>
        <family val="1"/>
      </rPr>
      <t>3</t>
    </r>
    <r>
      <rPr>
        <sz val="10"/>
        <rFont val="Times New Roman"/>
        <family val="1"/>
      </rPr>
      <t>)</t>
    </r>
  </si>
  <si>
    <t>Valores del IPCC  (para referencia)</t>
  </si>
  <si>
    <t>LPG (fase líquida)</t>
  </si>
  <si>
    <t>5.2 Fossil fuel consumption due to biomass internal transportation</t>
  </si>
  <si>
    <t>Others</t>
  </si>
  <si>
    <t>5.3 Fossil fuel data: According to registered an revised PDD the Project Participant will use IPCC values.</t>
  </si>
  <si>
    <t>IPCC values</t>
  </si>
  <si>
    <t>(GJ /ton)</t>
  </si>
  <si>
    <t>6.  Fossil fuel consumption due to forestry biomass processing</t>
  </si>
  <si>
    <t>Año</t>
  </si>
  <si>
    <t>Nombre de archivo</t>
  </si>
  <si>
    <t>hrs</t>
  </si>
  <si>
    <t>LOCy</t>
  </si>
  <si>
    <t>CAPHG,h</t>
  </si>
  <si>
    <t>GJ</t>
  </si>
  <si>
    <t>LFC HG,h</t>
  </si>
  <si>
    <t>GJ/hr</t>
  </si>
  <si>
    <t>Heat generating capacity</t>
  </si>
  <si>
    <t>Avrg</t>
  </si>
  <si>
    <t>MWh</t>
  </si>
  <si>
    <t>(tCO2/MWh)</t>
  </si>
  <si>
    <t>Combined margen</t>
  </si>
  <si>
    <t>Ekectricity import from grid</t>
  </si>
  <si>
    <t>Year: 2021</t>
  </si>
  <si>
    <t>Year: 2022</t>
  </si>
  <si>
    <t>Year: 2023</t>
  </si>
  <si>
    <t>Jan-01-2021</t>
  </si>
  <si>
    <t xml:space="preserve">High steam </t>
  </si>
  <si>
    <r>
      <t>BR</t>
    </r>
    <r>
      <rPr>
        <vertAlign val="subscript"/>
        <sz val="10"/>
        <color theme="1"/>
        <rFont val="Arial"/>
        <family val="2"/>
      </rPr>
      <t>PJ,n,y</t>
    </r>
  </si>
  <si>
    <t>Total year 2023</t>
  </si>
  <si>
    <t>Total year 2022</t>
  </si>
  <si>
    <t>Total year 2021</t>
  </si>
  <si>
    <t>Activity</t>
  </si>
  <si>
    <t>Origin</t>
  </si>
  <si>
    <t>Destination</t>
  </si>
  <si>
    <t>Freight type</t>
  </si>
  <si>
    <t>wet tons</t>
  </si>
  <si>
    <t>Road distance</t>
  </si>
  <si>
    <t>Vehicle class</t>
  </si>
  <si>
    <t>Claudio Muñoz Rozzi</t>
  </si>
  <si>
    <t>Viñales</t>
  </si>
  <si>
    <t>Biomass residues (mix of sawdust and bark)</t>
  </si>
  <si>
    <t>Heavy class</t>
  </si>
  <si>
    <t>Forestal Arauco</t>
  </si>
  <si>
    <t>Hector Alarcon</t>
  </si>
  <si>
    <t xml:space="preserve">Manuel Muñoz </t>
  </si>
  <si>
    <t>Sandra Rojas Rojas</t>
  </si>
  <si>
    <t>Soc.De Transportes Y Aserraderos Benjamin Munoz Lt</t>
  </si>
  <si>
    <t>Comercial Radiata del Maule LTDA.</t>
  </si>
  <si>
    <t>Maderas Martin Ltda</t>
  </si>
  <si>
    <t>Aserradero Santa Loreto LTDA.</t>
  </si>
  <si>
    <t>Sociedad Isaul Bernal E Hijos Limitada</t>
  </si>
  <si>
    <t>Aserraderos Mestre Limitada</t>
  </si>
  <si>
    <t>Luis Nunez Ibieta</t>
  </si>
  <si>
    <t>Forestal Santa Blanca S.A.</t>
  </si>
  <si>
    <t>Juan Padilla Caceres</t>
  </si>
  <si>
    <t>Industria De La Madera Damian Fuentes Carrasco Eir</t>
  </si>
  <si>
    <t>Retamal Faundez, Robilio</t>
  </si>
  <si>
    <t>Mauricio Muñoz Y C&amp;A. Ltda.</t>
  </si>
  <si>
    <t>Sociedad De Transportes Rinconada Limitada</t>
  </si>
  <si>
    <t>Forestal Mallorca Ltda.</t>
  </si>
  <si>
    <t>Sociedad De Transportes Geomar Spa</t>
  </si>
  <si>
    <t>Maderera Indalicio Nunez Limitada</t>
  </si>
  <si>
    <t>Maderas Dario Sebastian Torres Caceres SPA</t>
  </si>
  <si>
    <t>Procort</t>
  </si>
  <si>
    <t>Manuel Muñoz</t>
  </si>
  <si>
    <t>Manuel Poblete</t>
  </si>
  <si>
    <t>Salgado Valdes Maria del Rosario</t>
  </si>
  <si>
    <t>Luis Guzman Vergara</t>
  </si>
  <si>
    <t>Juan Cancino Corvalan</t>
  </si>
  <si>
    <t>As. Gabriel Valdebenito</t>
  </si>
  <si>
    <t>Maderera Ariel Nuñez EIRL</t>
  </si>
  <si>
    <t>E.Maderera Ivan A.Uribe Pacheco E.I.R.L.</t>
  </si>
  <si>
    <t>As. Viñales</t>
  </si>
  <si>
    <t>Remanufactura</t>
  </si>
  <si>
    <t>tCO2</t>
  </si>
  <si>
    <t>PETR,m</t>
  </si>
  <si>
    <t>km</t>
  </si>
  <si>
    <t>Df,m</t>
  </si>
  <si>
    <t>t</t>
  </si>
  <si>
    <t>∑Df,m * FR,f,m</t>
  </si>
  <si>
    <t>gCO2/t*km</t>
  </si>
  <si>
    <t>EFCO2,f</t>
  </si>
  <si>
    <t>Agricola Altos de Nihue Limitada</t>
  </si>
  <si>
    <t>SANTA JAVIERA DOS PUNTO CERO SPA</t>
  </si>
  <si>
    <t>Maderas Duran</t>
  </si>
  <si>
    <t>SALGADO VALDES, MARIA DEL ROSARIO</t>
  </si>
  <si>
    <t>Maderera el Pino LTDA</t>
  </si>
  <si>
    <t>Marco Muñoz Torres</t>
  </si>
  <si>
    <t>Agricola Altos de Nihue</t>
  </si>
  <si>
    <t>As. Catalina</t>
  </si>
  <si>
    <t>As. Indalicio Nuñez</t>
  </si>
  <si>
    <t>As. Mestre</t>
  </si>
  <si>
    <t>As. Santa Loreto ltda.</t>
  </si>
  <si>
    <t>Benjamin Muñoz</t>
  </si>
  <si>
    <t>Com. Radiata del Maule</t>
  </si>
  <si>
    <t>Damian Fuentes</t>
  </si>
  <si>
    <t>Forestal Mallorca</t>
  </si>
  <si>
    <t>Forestal Sta Blanca</t>
  </si>
  <si>
    <t>Luis Humberto Nuñez</t>
  </si>
  <si>
    <t>Maderas Geomar</t>
  </si>
  <si>
    <t>Maderas Martin</t>
  </si>
  <si>
    <t>Maderas Urimad</t>
  </si>
  <si>
    <t xml:space="preserve">Mauricio Muñoz </t>
  </si>
  <si>
    <t xml:space="preserve">Pta. Santa Javiera </t>
  </si>
  <si>
    <t>Trans. Juan Padilla</t>
  </si>
  <si>
    <t>Trans. Rinconada</t>
  </si>
  <si>
    <t>Trans. San Nicolas</t>
  </si>
  <si>
    <t>Maderera Dunas Ltda</t>
  </si>
  <si>
    <t>Com. Valenzuela Caceres</t>
  </si>
  <si>
    <t>Soc.Comercial Valenzuela Caceres Hnos.Ltda</t>
  </si>
  <si>
    <t>Luis Alberto Catalan Moreno</t>
  </si>
  <si>
    <t>MUNOZ GUAJARDO, MANUEL ESTEBAN</t>
  </si>
  <si>
    <t>Maderas Duran SPA</t>
  </si>
  <si>
    <t>Sandra Mercedes Rojas Rojas</t>
  </si>
  <si>
    <t>Emission Factor SIC 2021vf</t>
  </si>
  <si>
    <t>Emission Factor SIC 2022vf</t>
  </si>
  <si>
    <t>Emission Factor SIC 2023vf</t>
  </si>
  <si>
    <r>
      <t>Adjusted CH</t>
    </r>
    <r>
      <rPr>
        <vertAlign val="subscript"/>
        <sz val="10"/>
        <rFont val="Times New Roman"/>
        <family val="1"/>
      </rPr>
      <t xml:space="preserve">4 </t>
    </r>
    <r>
      <rPr>
        <sz val="10"/>
        <rFont val="Times New Roman"/>
        <family val="1"/>
      </rPr>
      <t>emission factor for controlled burning, biomass.</t>
    </r>
  </si>
  <si>
    <r>
      <t>(tCO</t>
    </r>
    <r>
      <rPr>
        <b/>
        <vertAlign val="subscript"/>
        <sz val="10"/>
        <color theme="1"/>
        <rFont val="Times New Roman"/>
        <family val="1"/>
      </rPr>
      <t>2</t>
    </r>
    <r>
      <rPr>
        <b/>
        <sz val="10"/>
        <color theme="1"/>
        <rFont val="Times New Roman"/>
        <family val="1"/>
      </rPr>
      <t>/ ton)</t>
    </r>
  </si>
  <si>
    <r>
      <t>(tCO</t>
    </r>
    <r>
      <rPr>
        <b/>
        <vertAlign val="subscript"/>
        <sz val="10"/>
        <rFont val="Times New Roman"/>
        <family val="1"/>
      </rPr>
      <t>2</t>
    </r>
    <r>
      <rPr>
        <b/>
        <sz val="10"/>
        <rFont val="Times New Roman"/>
        <family val="1"/>
      </rPr>
      <t>/ ton)</t>
    </r>
  </si>
  <si>
    <t>No power generation at baseline</t>
  </si>
  <si>
    <t>moisture values are approximately 50 %, i.e. final moisture weight is approximately 2 kg. So to achieve lower/higher moisture values, orginal values were decreased/increased by a factor equal to [(0,2/2000)+(0,2/4000)]*100=0,015</t>
  </si>
  <si>
    <t>Note1: Adjustments were made based on the scales' maximum detected error (+/- 2 g) and the error propagation formula for a quotient. In order to be conservative, moisture values must be lower than measured.  The wet sample size is approximately 4 kg and</t>
  </si>
  <si>
    <t>adjusted</t>
  </si>
  <si>
    <t>adjsued</t>
  </si>
  <si>
    <t>adjusated</t>
  </si>
  <si>
    <t>In the case of the proposed project activity, these emissions correspond to those related to fossil fuel consumption in the heat generator (e.g. boiler) at the project site.</t>
  </si>
  <si>
    <t>According to PD page 61 (see note bellow)</t>
  </si>
  <si>
    <t>Santa Javiera dos punto cero SPA</t>
  </si>
  <si>
    <t>Maderas Santa Elisa SPA</t>
  </si>
  <si>
    <t>Industria Maderera Geomar Limitada</t>
  </si>
  <si>
    <t>Forestal Yukon</t>
  </si>
  <si>
    <t>SERNAM SPA</t>
  </si>
  <si>
    <t>Biomasa Chile S.A</t>
  </si>
  <si>
    <t>Sociedad Millahue S.P.A</t>
  </si>
  <si>
    <t>Raul Valdes Orellana</t>
  </si>
  <si>
    <t>Comercializadora y forestal Los Rios SPA</t>
  </si>
  <si>
    <t>Comercial Guivar LTDA</t>
  </si>
  <si>
    <t>Ramon Torres Garrido</t>
  </si>
  <si>
    <t>Trans. Manuel Opazo Muñoz</t>
  </si>
  <si>
    <t>wet ton</t>
  </si>
  <si>
    <t>(wet ton* km)</t>
  </si>
  <si>
    <t>(wet ton * km)</t>
  </si>
  <si>
    <t>Net emissions savings for CP1MP3</t>
  </si>
  <si>
    <t>Vintage period</t>
  </si>
  <si>
    <r>
      <t>Baseline emissions (tCO</t>
    </r>
    <r>
      <rPr>
        <b/>
        <vertAlign val="subscript"/>
        <sz val="9.5"/>
        <color rgb="FFFFFFFF"/>
        <rFont val="Franklin Gothic Book"/>
        <family val="2"/>
      </rPr>
      <t>2</t>
    </r>
    <r>
      <rPr>
        <b/>
        <sz val="9.5"/>
        <color rgb="FFFFFFFF"/>
        <rFont val="Franklin Gothic Book"/>
        <family val="2"/>
      </rPr>
      <t>e)</t>
    </r>
  </si>
  <si>
    <r>
      <t>Project emissions (tCO</t>
    </r>
    <r>
      <rPr>
        <b/>
        <vertAlign val="subscript"/>
        <sz val="9.5"/>
        <color rgb="FFFFFFFF"/>
        <rFont val="Franklin Gothic Book"/>
        <family val="2"/>
      </rPr>
      <t>2</t>
    </r>
    <r>
      <rPr>
        <b/>
        <sz val="9.5"/>
        <color rgb="FFFFFFFF"/>
        <rFont val="Franklin Gothic Book"/>
        <family val="2"/>
      </rPr>
      <t>e)</t>
    </r>
  </si>
  <si>
    <r>
      <t>Leakage emissions (tCO</t>
    </r>
    <r>
      <rPr>
        <b/>
        <vertAlign val="subscript"/>
        <sz val="9.5"/>
        <color rgb="FFFFFFFF"/>
        <rFont val="Franklin Gothic Book"/>
        <family val="2"/>
      </rPr>
      <t>2</t>
    </r>
    <r>
      <rPr>
        <b/>
        <sz val="9.5"/>
        <color rgb="FFFFFFFF"/>
        <rFont val="Franklin Gothic Book"/>
        <family val="2"/>
      </rPr>
      <t>e)</t>
    </r>
  </si>
  <si>
    <r>
      <t>Reduction VCUs (tCO</t>
    </r>
    <r>
      <rPr>
        <b/>
        <vertAlign val="subscript"/>
        <sz val="9.5"/>
        <color rgb="FFFFFFFF"/>
        <rFont val="Franklin Gothic Book"/>
        <family val="2"/>
      </rPr>
      <t>2</t>
    </r>
    <r>
      <rPr>
        <b/>
        <sz val="9.5"/>
        <color rgb="FFFFFFFF"/>
        <rFont val="Franklin Gothic Book"/>
        <family val="2"/>
      </rPr>
      <t>e)</t>
    </r>
  </si>
  <si>
    <r>
      <t>Removal VCUs (tCO</t>
    </r>
    <r>
      <rPr>
        <b/>
        <vertAlign val="subscript"/>
        <sz val="9.5"/>
        <color rgb="FFFFFFFF"/>
        <rFont val="Franklin Gothic Book"/>
        <family val="2"/>
      </rPr>
      <t>2</t>
    </r>
    <r>
      <rPr>
        <b/>
        <sz val="9.5"/>
        <color rgb="FFFFFFFF"/>
        <rFont val="Franklin Gothic Book"/>
        <family val="2"/>
      </rPr>
      <t>e)</t>
    </r>
  </si>
  <si>
    <r>
      <t>Total VCUs (tCO</t>
    </r>
    <r>
      <rPr>
        <b/>
        <vertAlign val="subscript"/>
        <sz val="9.5"/>
        <color rgb="FFFFFFFF"/>
        <rFont val="Franklin Gothic Book"/>
        <family val="2"/>
      </rPr>
      <t>2</t>
    </r>
    <r>
      <rPr>
        <b/>
        <sz val="9.5"/>
        <color rgb="FFFFFFFF"/>
        <rFont val="Franklin Gothic Book"/>
        <family val="2"/>
      </rPr>
      <t>e)</t>
    </r>
  </si>
  <si>
    <t>01-Jan-2021 to 31-Dec-2021</t>
  </si>
  <si>
    <t xml:space="preserve">Total </t>
  </si>
  <si>
    <t>Ex-ante estimated reductions/</t>
  </si>
  <si>
    <t>removals</t>
  </si>
  <si>
    <t>Achieved reductions/</t>
  </si>
  <si>
    <t>Percent difference</t>
  </si>
  <si>
    <t xml:space="preserve">Explanation for the difference </t>
  </si>
  <si>
    <t>01-Jan-2022 to 31-Dec-2022</t>
  </si>
  <si>
    <t>01-Jan-2023 to 31-Dec-2023</t>
  </si>
  <si>
    <t>Note: Emissions from on-site fossil fuel consumption for the generation of electric power and heat:</t>
  </si>
  <si>
    <r>
      <t>(tCO</t>
    </r>
    <r>
      <rPr>
        <b/>
        <vertAlign val="subscript"/>
        <sz val="10"/>
        <rFont val="Times New Roman"/>
        <family val="1"/>
      </rPr>
      <t>2</t>
    </r>
    <r>
      <rPr>
        <b/>
        <sz val="10"/>
        <rFont val="Times New Roman"/>
        <family val="1"/>
      </rPr>
      <t>eq/ TJ)</t>
    </r>
  </si>
  <si>
    <t>An important reason is the emission factor. The actual emission factor was 48% lower than the estimated PD. The actual electricity generation was 14.5% lower than that estimated in PD.</t>
  </si>
  <si>
    <t>An important reason is the emission factor. The actual emission factor was 38.9% lower than the estimated PD. The actual electricity generation was 14.5% lower than that estimated in PD.</t>
  </si>
  <si>
    <t> An important reason is the emission factor. The actual emission factor was 29.6 % lower than the estimated PD. The actual electricity generation was 6% lower than that estimated in PD.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</si>
</sst>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164" formatCode="_ * #,##0_ ;_ * \-#,##0_ ;_ * &quot;-&quot;_ ;_ @_ "/>
    <numFmt numFmtId="165" formatCode="#,##0.0"/>
    <numFmt numFmtId="166" formatCode="#,##0.0000000"/>
    <numFmt numFmtId="167" formatCode="#,##0.00000"/>
    <numFmt numFmtId="168" formatCode="0.0%"/>
    <numFmt numFmtId="169" formatCode="\(\5\)"/>
    <numFmt numFmtId="170" formatCode="#,##0.0000"/>
    <numFmt numFmtId="171" formatCode="#,##0.000"/>
    <numFmt numFmtId="172" formatCode="#,##0\ \ &quot;(MWh)&quot;"/>
    <numFmt numFmtId="173" formatCode="#,##0.000\ \ &quot;(tCO2/MWh)&quot;"/>
    <numFmt numFmtId="174" formatCode="#,##0\ &quot;(tCO2)&quot;"/>
    <numFmt numFmtId="175" formatCode="#,##0.000000000\ &quot;(tCO2)&quot;"/>
    <numFmt numFmtId="176" formatCode="General_)"/>
    <numFmt numFmtId="177" formatCode="#,##0.00000000\ &quot;(tCO2)&quot;"/>
    <numFmt numFmtId="178" formatCode="#,##0\ \ &quot;(ton/yr)&quot;"/>
    <numFmt numFmtId="179" formatCode="#,##0.00\ \ &quot;(GJ/ton)&quot;"/>
    <numFmt numFmtId="180" formatCode="#,##0.0000\ \ &quot;(tCO2/GJ)&quot;"/>
    <numFmt numFmtId="181" formatCode="#,##0.00\ \ &quot;(ton/yr)&quot;"/>
    <numFmt numFmtId="182" formatCode="#,##0&quot;(tCO2/yr)&quot;"/>
    <numFmt numFmtId="183" formatCode="#,##0.000000&quot;(tCO2/yr)&quot;"/>
    <numFmt numFmtId="184" formatCode="#,##0.0000000&quot;(tCO2/yr)&quot;"/>
    <numFmt numFmtId="185" formatCode="#,##0\ \ &quot;(BDt/yr)&quot;"/>
    <numFmt numFmtId="186" formatCode="#,##0.000000#########\ \ &quot;(tCH4/GJ)&quot;"/>
    <numFmt numFmtId="187" formatCode="#,##0.00\ &quot;(number)&quot;"/>
    <numFmt numFmtId="188" formatCode="0\ \ &quot;(number)&quot;"/>
    <numFmt numFmtId="189" formatCode="#,##0&quot;(tCO2eq/yr)&quot;"/>
    <numFmt numFmtId="190" formatCode="#,##0.00000&quot;(tCO2eq/yr)&quot;"/>
    <numFmt numFmtId="191" formatCode="#,##0.000000&quot;(tCO2eq/yr)&quot;"/>
    <numFmt numFmtId="192" formatCode="#,##0.00000000"/>
    <numFmt numFmtId="193" formatCode="#,##0\ \ &quot;(wet ton/yr)&quot;"/>
    <numFmt numFmtId="194" formatCode="0.0"/>
  </numFmts>
  <fonts count="73" x14ac:knownFonts="1">
    <font>
      <sz val="11"/>
      <color theme="1"/>
      <name val="Calibri"/>
      <family val="2"/>
      <scheme val="minor"/>
    </font>
    <font>
      <b/>
      <u/>
      <sz val="18"/>
      <name val="Arial"/>
      <family val="2"/>
    </font>
    <font>
      <sz val="10"/>
      <name val="Arial"/>
      <family val="2"/>
    </font>
    <font>
      <b/>
      <u/>
      <sz val="18"/>
      <name val="Times New Roman"/>
      <family val="1"/>
    </font>
    <font>
      <b/>
      <sz val="18"/>
      <name val="Times New Roman"/>
      <family val="1"/>
    </font>
    <font>
      <b/>
      <sz val="14"/>
      <name val="Times New Roman"/>
      <family val="1"/>
    </font>
    <font>
      <b/>
      <sz val="10"/>
      <name val="Times New Roman"/>
      <family val="1"/>
    </font>
    <font>
      <b/>
      <u/>
      <sz val="10"/>
      <name val="Times New Roman"/>
      <family val="1"/>
    </font>
    <font>
      <sz val="10"/>
      <name val="Times New Roman"/>
      <family val="1"/>
    </font>
    <font>
      <vertAlign val="subscript"/>
      <sz val="11"/>
      <name val="Times New Roman"/>
      <family val="1"/>
    </font>
    <font>
      <sz val="10"/>
      <color indexed="12"/>
      <name val="Times New Roman"/>
      <family val="1"/>
    </font>
    <font>
      <sz val="11"/>
      <name val="Times New Roman"/>
      <family val="1"/>
    </font>
    <font>
      <vertAlign val="subscript"/>
      <sz val="10"/>
      <name val="Times New Roman"/>
      <family val="1"/>
    </font>
    <font>
      <b/>
      <sz val="10"/>
      <color indexed="12"/>
      <name val="Times New Roman"/>
      <family val="1"/>
    </font>
    <font>
      <sz val="9"/>
      <name val="Times New Roman"/>
      <family val="1"/>
    </font>
    <font>
      <sz val="10"/>
      <color rgb="FF0000FF"/>
      <name val="Times New Roman"/>
      <family val="1"/>
    </font>
    <font>
      <u/>
      <sz val="10"/>
      <name val="Times New Roman"/>
      <family val="1"/>
    </font>
    <font>
      <i/>
      <sz val="10"/>
      <name val="Times New Roman"/>
      <family val="1"/>
    </font>
    <font>
      <sz val="10"/>
      <color indexed="12"/>
      <name val="Arial"/>
      <family val="2"/>
    </font>
    <font>
      <vertAlign val="superscript"/>
      <sz val="10"/>
      <name val="Times New Roman"/>
      <family val="1"/>
    </font>
    <font>
      <b/>
      <sz val="9"/>
      <color indexed="81"/>
      <name val="Tahoma"/>
      <family val="2"/>
    </font>
    <font>
      <sz val="9"/>
      <color indexed="81"/>
      <name val="Tahoma"/>
      <family val="2"/>
    </font>
    <font>
      <sz val="11"/>
      <color theme="1"/>
      <name val="Calibri"/>
      <family val="2"/>
      <scheme val="minor"/>
    </font>
    <font>
      <b/>
      <u/>
      <sz val="10"/>
      <name val="Arial"/>
      <family val="2"/>
    </font>
    <font>
      <i/>
      <sz val="10"/>
      <name val="Arial"/>
      <family val="2"/>
    </font>
    <font>
      <b/>
      <sz val="10"/>
      <name val="Arial"/>
      <family val="2"/>
    </font>
    <font>
      <u/>
      <sz val="10"/>
      <name val="Arial"/>
      <family val="2"/>
    </font>
    <font>
      <vertAlign val="subscript"/>
      <sz val="10"/>
      <name val="Arial"/>
      <family val="2"/>
    </font>
    <font>
      <sz val="9"/>
      <name val="Arial"/>
      <family val="2"/>
    </font>
    <font>
      <sz val="8"/>
      <name val="Arial"/>
      <family val="2"/>
    </font>
    <font>
      <b/>
      <vertAlign val="subscript"/>
      <sz val="10"/>
      <name val="Arial"/>
      <family val="2"/>
    </font>
    <font>
      <sz val="10"/>
      <name val="Courier"/>
      <family val="3"/>
    </font>
    <font>
      <b/>
      <u/>
      <vertAlign val="subscript"/>
      <sz val="10"/>
      <name val="Arial"/>
      <family val="2"/>
    </font>
    <font>
      <u/>
      <sz val="8"/>
      <name val="Arial"/>
      <family val="2"/>
    </font>
    <font>
      <vertAlign val="superscript"/>
      <sz val="10"/>
      <name val="Arial"/>
      <family val="2"/>
    </font>
    <font>
      <sz val="10"/>
      <color theme="1"/>
      <name val="Arial"/>
      <family val="2"/>
    </font>
    <font>
      <b/>
      <vertAlign val="superscript"/>
      <sz val="10"/>
      <name val="Arial"/>
      <family val="2"/>
    </font>
    <font>
      <b/>
      <u/>
      <sz val="12"/>
      <name val="Arial"/>
      <family val="2"/>
    </font>
    <font>
      <sz val="10"/>
      <color rgb="FF0070C0"/>
      <name val="Arial"/>
      <family val="2"/>
    </font>
    <font>
      <sz val="12"/>
      <name val="Arial"/>
      <family val="2"/>
    </font>
    <font>
      <b/>
      <sz val="11"/>
      <name val="Arial"/>
      <family val="2"/>
    </font>
    <font>
      <b/>
      <sz val="12"/>
      <name val="Arial"/>
      <family val="2"/>
    </font>
    <font>
      <b/>
      <u/>
      <sz val="11"/>
      <name val="Times New Roman"/>
      <family val="1"/>
    </font>
    <font>
      <sz val="8"/>
      <name val="Times New Roman"/>
      <family val="1"/>
    </font>
    <font>
      <sz val="10"/>
      <color rgb="FFFF0000"/>
      <name val="Times New Roman"/>
      <family val="1"/>
    </font>
    <font>
      <b/>
      <vertAlign val="subscript"/>
      <sz val="10"/>
      <name val="Times New Roman"/>
      <family val="1"/>
    </font>
    <font>
      <u/>
      <sz val="9"/>
      <name val="Times New Roman"/>
      <family val="1"/>
    </font>
    <font>
      <sz val="10"/>
      <color theme="1"/>
      <name val="Times New Roman"/>
      <family val="1"/>
    </font>
    <font>
      <vertAlign val="subscript"/>
      <sz val="10"/>
      <color theme="1"/>
      <name val="Times New Roman"/>
      <family val="1"/>
    </font>
    <font>
      <b/>
      <sz val="10"/>
      <color theme="1"/>
      <name val="Times New Roman"/>
      <family val="1"/>
    </font>
    <font>
      <b/>
      <vertAlign val="subscript"/>
      <sz val="10"/>
      <color theme="1"/>
      <name val="Times New Roman"/>
      <family val="1"/>
    </font>
    <font>
      <vertAlign val="superscript"/>
      <sz val="10"/>
      <color theme="1"/>
      <name val="Times New Roman"/>
      <family val="1"/>
    </font>
    <font>
      <sz val="10"/>
      <color indexed="8"/>
      <name val="Times New Roman"/>
      <family val="1"/>
    </font>
    <font>
      <b/>
      <sz val="11"/>
      <name val="Times New Roman"/>
      <family val="1"/>
    </font>
    <font>
      <sz val="10"/>
      <name val="Symbol"/>
      <family val="1"/>
      <charset val="2"/>
    </font>
    <font>
      <b/>
      <u/>
      <vertAlign val="subscript"/>
      <sz val="10"/>
      <name val="Times New Roman"/>
      <family val="1"/>
    </font>
    <font>
      <u/>
      <vertAlign val="subscript"/>
      <sz val="10"/>
      <name val="Times New Roman"/>
      <family val="1"/>
    </font>
    <font>
      <sz val="10"/>
      <color rgb="FF808080"/>
      <name val="Times New Roman"/>
      <family val="1"/>
    </font>
    <font>
      <sz val="11"/>
      <color theme="1"/>
      <name val="Calibri"/>
      <family val="2"/>
    </font>
    <font>
      <vertAlign val="subscript"/>
      <sz val="10"/>
      <color theme="1"/>
      <name val="Arial"/>
      <family val="2"/>
    </font>
    <font>
      <sz val="10"/>
      <color theme="1"/>
      <name val="Calibri"/>
      <family val="2"/>
      <scheme val="minor"/>
    </font>
    <font>
      <b/>
      <i/>
      <sz val="20"/>
      <color rgb="FFFF0000"/>
      <name val="Calibri"/>
      <family val="2"/>
      <scheme val="minor"/>
    </font>
    <font>
      <b/>
      <sz val="12"/>
      <color theme="0"/>
      <name val="Times New Roman"/>
      <family val="1"/>
    </font>
    <font>
      <sz val="11"/>
      <color theme="1"/>
      <name val="Times New Roman"/>
      <family val="1"/>
    </font>
    <font>
      <sz val="10"/>
      <name val="Calibri"/>
      <family val="2"/>
      <scheme val="minor"/>
    </font>
    <font>
      <b/>
      <sz val="10"/>
      <color theme="1"/>
      <name val="Calibri"/>
      <family val="2"/>
      <scheme val="minor"/>
    </font>
    <font>
      <b/>
      <sz val="10"/>
      <name val="Calibri"/>
      <family val="2"/>
      <scheme val="minor"/>
    </font>
    <font>
      <sz val="11"/>
      <color rgb="FF000000"/>
      <name val="Calibri"/>
      <family val="2"/>
      <scheme val="minor"/>
    </font>
    <font>
      <b/>
      <sz val="9.5"/>
      <color rgb="FFFFFFFF"/>
      <name val="Franklin Gothic Book"/>
      <family val="2"/>
    </font>
    <font>
      <b/>
      <vertAlign val="subscript"/>
      <sz val="9.5"/>
      <color rgb="FFFFFFFF"/>
      <name val="Franklin Gothic Book"/>
      <family val="2"/>
    </font>
    <font>
      <sz val="9.5"/>
      <color rgb="FF000000"/>
      <name val="Franklin Gothic Book"/>
      <family val="2"/>
    </font>
    <font>
      <sz val="9.5"/>
      <color rgb="FF404040"/>
      <name val="Franklin Gothic Book"/>
      <family val="2"/>
    </font>
    <font>
      <b/>
      <sz val="9.5"/>
      <color rgb="FF404040"/>
      <name val="Franklin Gothic Book"/>
      <family val="2"/>
    </font>
  </fonts>
  <fills count="1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bgColor theme="4"/>
      </patternFill>
    </fill>
    <fill>
      <patternFill patternType="solid">
        <fgColor theme="3" tint="0.749992370372631"/>
        <bgColor indexed="64"/>
      </patternFill>
    </fill>
    <fill>
      <patternFill patternType="solid">
        <fgColor rgb="FF92D050"/>
        <bgColor indexed="64"/>
      </patternFill>
    </fill>
    <fill>
      <patternFill patternType="solid">
        <fgColor rgb="FFFFC000"/>
        <bgColor indexed="64"/>
      </patternFill>
    </fill>
    <fill>
      <patternFill patternType="solid">
        <fgColor theme="7"/>
        <bgColor indexed="64"/>
      </patternFill>
    </fill>
    <fill>
      <patternFill patternType="solid">
        <fgColor theme="0" tint="-0.249977111117893"/>
        <bgColor indexed="64"/>
      </patternFill>
    </fill>
    <fill>
      <patternFill patternType="solid">
        <fgColor rgb="FF2B3957"/>
        <bgColor indexed="64"/>
      </patternFill>
    </fill>
    <fill>
      <patternFill patternType="solid">
        <fgColor rgb="FFF2F2F2"/>
        <bgColor indexed="64"/>
      </patternFill>
    </fill>
  </fills>
  <borders count="4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rgb="FFFFFFFF"/>
      </right>
      <top/>
      <bottom style="medium">
        <color rgb="FFFFFFFF"/>
      </bottom>
      <diagonal/>
    </border>
    <border>
      <left/>
      <right/>
      <top/>
      <bottom style="medium">
        <color rgb="FFFFFFFF"/>
      </bottom>
      <diagonal/>
    </border>
    <border>
      <left/>
      <right style="medium">
        <color rgb="FFFFFFFF"/>
      </right>
      <top/>
      <bottom/>
      <diagonal/>
    </border>
    <border>
      <left style="medium">
        <color rgb="FFFFFFFF"/>
      </left>
      <right/>
      <top style="medium">
        <color rgb="FFFFFFFF"/>
      </top>
      <bottom/>
      <diagonal/>
    </border>
    <border>
      <left style="medium">
        <color rgb="FFFFFFFF"/>
      </left>
      <right/>
      <top/>
      <bottom style="medium">
        <color rgb="FFFFFFFF"/>
      </bottom>
      <diagonal/>
    </border>
    <border>
      <left/>
      <right/>
      <top style="medium">
        <color rgb="FFFFFFFF"/>
      </top>
      <bottom/>
      <diagonal/>
    </border>
    <border>
      <left/>
      <right style="medium">
        <color rgb="FFFFFFFF"/>
      </right>
      <top style="medium">
        <color rgb="FFFFFFFF"/>
      </top>
      <bottom/>
      <diagonal/>
    </border>
    <border>
      <left style="medium">
        <color rgb="FFFFFFFF"/>
      </left>
      <right style="medium">
        <color rgb="FFFFFFFF"/>
      </right>
      <top/>
      <bottom style="medium">
        <color rgb="FFFFFFFF"/>
      </bottom>
      <diagonal/>
    </border>
  </borders>
  <cellStyleXfs count="6">
    <xf numFmtId="0" fontId="0" fillId="0" borderId="0"/>
    <xf numFmtId="0" fontId="2" fillId="0" borderId="0"/>
    <xf numFmtId="0" fontId="2" fillId="0" borderId="0"/>
    <xf numFmtId="9" fontId="2" fillId="0" borderId="0" applyFont="0" applyFill="0" applyBorder="0" applyAlignment="0" applyProtection="0"/>
    <xf numFmtId="164" fontId="22" fillId="0" borderId="0" applyFont="0" applyFill="0" applyBorder="0" applyAlignment="0" applyProtection="0"/>
    <xf numFmtId="176" fontId="31" fillId="0" borderId="0"/>
  </cellStyleXfs>
  <cellXfs count="838">
    <xf numFmtId="0" fontId="0" fillId="0" borderId="0" xfId="0"/>
    <xf numFmtId="3" fontId="1" fillId="0" borderId="0" xfId="0" applyNumberFormat="1" applyFont="1"/>
    <xf numFmtId="3" fontId="3" fillId="0" borderId="0" xfId="1" applyNumberFormat="1" applyFont="1"/>
    <xf numFmtId="3" fontId="4" fillId="0" borderId="0" xfId="1" applyNumberFormat="1" applyFont="1" applyAlignment="1">
      <alignment horizontal="right"/>
    </xf>
    <xf numFmtId="0" fontId="2" fillId="0" borderId="0" xfId="1"/>
    <xf numFmtId="3" fontId="5" fillId="0" borderId="0" xfId="1" applyNumberFormat="1" applyFont="1"/>
    <xf numFmtId="0" fontId="5" fillId="0" borderId="0" xfId="1" applyFont="1" applyAlignment="1">
      <alignment horizontal="center"/>
    </xf>
    <xf numFmtId="0" fontId="6" fillId="0" borderId="0" xfId="1" applyFont="1" applyAlignment="1">
      <alignment horizontal="left"/>
    </xf>
    <xf numFmtId="3" fontId="7" fillId="0" borderId="0" xfId="0" applyNumberFormat="1" applyFont="1"/>
    <xf numFmtId="3" fontId="6" fillId="0" borderId="0" xfId="1" applyNumberFormat="1" applyFont="1"/>
    <xf numFmtId="3" fontId="6" fillId="0" borderId="0" xfId="1" applyNumberFormat="1" applyFont="1" applyAlignment="1">
      <alignment horizontal="left"/>
    </xf>
    <xf numFmtId="3" fontId="8" fillId="0" borderId="1" xfId="1" applyNumberFormat="1" applyFont="1" applyBorder="1"/>
    <xf numFmtId="3" fontId="8" fillId="0" borderId="2" xfId="1" applyNumberFormat="1" applyFont="1" applyBorder="1"/>
    <xf numFmtId="3" fontId="8" fillId="0" borderId="3" xfId="1" applyNumberFormat="1" applyFont="1" applyBorder="1" applyAlignment="1">
      <alignment horizontal="left"/>
    </xf>
    <xf numFmtId="14" fontId="6" fillId="0" borderId="4" xfId="1" applyNumberFormat="1" applyFont="1" applyBorder="1" applyAlignment="1">
      <alignment horizontal="center"/>
    </xf>
    <xf numFmtId="14" fontId="6" fillId="0" borderId="3" xfId="1" applyNumberFormat="1" applyFont="1" applyBorder="1" applyAlignment="1">
      <alignment horizontal="center"/>
    </xf>
    <xf numFmtId="3" fontId="6" fillId="0" borderId="2" xfId="1" applyNumberFormat="1" applyFont="1" applyBorder="1" applyAlignment="1">
      <alignment horizontal="center"/>
    </xf>
    <xf numFmtId="3" fontId="8" fillId="0" borderId="5" xfId="1" applyNumberFormat="1" applyFont="1" applyBorder="1"/>
    <xf numFmtId="3" fontId="8" fillId="0" borderId="5" xfId="1" applyNumberFormat="1" applyFont="1" applyBorder="1" applyAlignment="1">
      <alignment horizontal="left" vertical="center"/>
    </xf>
    <xf numFmtId="3" fontId="8" fillId="0" borderId="5" xfId="1" applyNumberFormat="1" applyFont="1" applyBorder="1" applyAlignment="1">
      <alignment horizontal="center"/>
    </xf>
    <xf numFmtId="3" fontId="10" fillId="0" borderId="0" xfId="0" applyNumberFormat="1" applyFont="1" applyAlignment="1">
      <alignment horizontal="center" vertical="center"/>
    </xf>
    <xf numFmtId="3" fontId="10" fillId="0" borderId="6" xfId="1" applyNumberFormat="1" applyFont="1" applyBorder="1" applyAlignment="1">
      <alignment horizontal="center" vertical="center"/>
    </xf>
    <xf numFmtId="3" fontId="8" fillId="0" borderId="6" xfId="1" applyNumberFormat="1" applyFont="1" applyBorder="1"/>
    <xf numFmtId="3" fontId="8" fillId="0" borderId="6" xfId="1" applyNumberFormat="1" applyFont="1" applyBorder="1" applyAlignment="1">
      <alignment horizontal="left" vertical="center"/>
    </xf>
    <xf numFmtId="3" fontId="8" fillId="0" borderId="6" xfId="1" applyNumberFormat="1" applyFont="1" applyBorder="1" applyAlignment="1">
      <alignment horizontal="center"/>
    </xf>
    <xf numFmtId="3" fontId="8" fillId="0" borderId="6" xfId="1" applyNumberFormat="1" applyFont="1" applyBorder="1" applyAlignment="1">
      <alignment wrapText="1"/>
    </xf>
    <xf numFmtId="3" fontId="8" fillId="0" borderId="7" xfId="1" applyNumberFormat="1" applyFont="1" applyBorder="1" applyAlignment="1">
      <alignment wrapText="1"/>
    </xf>
    <xf numFmtId="3" fontId="8" fillId="0" borderId="7" xfId="1" applyNumberFormat="1" applyFont="1" applyBorder="1" applyAlignment="1">
      <alignment horizontal="left" vertical="center"/>
    </xf>
    <xf numFmtId="0" fontId="6" fillId="0" borderId="2" xfId="2" applyFont="1" applyBorder="1" applyAlignment="1">
      <alignment vertical="center" wrapText="1"/>
    </xf>
    <xf numFmtId="3" fontId="6" fillId="0" borderId="3" xfId="1" applyNumberFormat="1" applyFont="1" applyBorder="1" applyAlignment="1">
      <alignment horizontal="left"/>
    </xf>
    <xf numFmtId="3" fontId="6" fillId="0" borderId="4" xfId="1" applyNumberFormat="1" applyFont="1" applyBorder="1" applyAlignment="1">
      <alignment horizontal="center"/>
    </xf>
    <xf numFmtId="3" fontId="13" fillId="0" borderId="2" xfId="1" applyNumberFormat="1" applyFont="1" applyBorder="1" applyAlignment="1">
      <alignment horizontal="center" vertical="center"/>
    </xf>
    <xf numFmtId="3" fontId="14" fillId="0" borderId="0" xfId="1" applyNumberFormat="1" applyFont="1"/>
    <xf numFmtId="3" fontId="8" fillId="0" borderId="3" xfId="1" applyNumberFormat="1" applyFont="1" applyBorder="1" applyAlignment="1">
      <alignment horizontal="center"/>
    </xf>
    <xf numFmtId="3" fontId="10" fillId="0" borderId="2" xfId="1" applyNumberFormat="1" applyFont="1" applyBorder="1" applyAlignment="1">
      <alignment horizontal="center" vertical="center"/>
    </xf>
    <xf numFmtId="165" fontId="10" fillId="0" borderId="4" xfId="1" applyNumberFormat="1" applyFont="1" applyBorder="1" applyAlignment="1">
      <alignment horizontal="center" vertical="center"/>
    </xf>
    <xf numFmtId="3" fontId="8" fillId="0" borderId="2" xfId="1" applyNumberFormat="1" applyFont="1" applyBorder="1" applyAlignment="1">
      <alignment horizontal="left" vertical="center" wrapText="1"/>
    </xf>
    <xf numFmtId="3" fontId="15" fillId="0" borderId="5" xfId="1" applyNumberFormat="1" applyFont="1" applyBorder="1" applyAlignment="1">
      <alignment horizontal="left"/>
    </xf>
    <xf numFmtId="3" fontId="10" fillId="0" borderId="5" xfId="1" applyNumberFormat="1" applyFont="1" applyBorder="1" applyAlignment="1">
      <alignment horizontal="center" vertical="center"/>
    </xf>
    <xf numFmtId="3" fontId="15" fillId="0" borderId="6" xfId="1" applyNumberFormat="1" applyFont="1" applyBorder="1" applyAlignment="1">
      <alignment horizontal="left"/>
    </xf>
    <xf numFmtId="3" fontId="8" fillId="0" borderId="7" xfId="1" applyNumberFormat="1" applyFont="1" applyBorder="1" applyAlignment="1">
      <alignment horizontal="center"/>
    </xf>
    <xf numFmtId="3" fontId="10" fillId="0" borderId="7" xfId="1" applyNumberFormat="1" applyFont="1" applyBorder="1" applyAlignment="1">
      <alignment horizontal="center" vertical="center"/>
    </xf>
    <xf numFmtId="0" fontId="2" fillId="0" borderId="9" xfId="1" applyBorder="1"/>
    <xf numFmtId="3" fontId="15" fillId="0" borderId="2" xfId="1" applyNumberFormat="1" applyFont="1" applyBorder="1" applyAlignment="1">
      <alignment horizontal="left"/>
    </xf>
    <xf numFmtId="3" fontId="8" fillId="0" borderId="0" xfId="1" applyNumberFormat="1" applyFont="1" applyAlignment="1">
      <alignment horizontal="center"/>
    </xf>
    <xf numFmtId="3" fontId="8" fillId="0" borderId="8" xfId="1" applyNumberFormat="1" applyFont="1" applyBorder="1"/>
    <xf numFmtId="3" fontId="8" fillId="0" borderId="0" xfId="1" applyNumberFormat="1" applyFont="1"/>
    <xf numFmtId="166" fontId="8" fillId="0" borderId="0" xfId="1" applyNumberFormat="1" applyFont="1" applyAlignment="1">
      <alignment horizontal="center"/>
    </xf>
    <xf numFmtId="167" fontId="8" fillId="0" borderId="0" xfId="1" applyNumberFormat="1" applyFont="1"/>
    <xf numFmtId="3" fontId="2" fillId="0" borderId="0" xfId="1" applyNumberFormat="1"/>
    <xf numFmtId="3" fontId="8" fillId="0" borderId="2" xfId="1" applyNumberFormat="1" applyFont="1" applyBorder="1" applyAlignment="1">
      <alignment horizontal="left"/>
    </xf>
    <xf numFmtId="3" fontId="6" fillId="0" borderId="3" xfId="1" applyNumberFormat="1" applyFont="1" applyBorder="1" applyAlignment="1">
      <alignment horizontal="center" vertical="center"/>
    </xf>
    <xf numFmtId="3" fontId="8" fillId="0" borderId="6" xfId="1" applyNumberFormat="1" applyFont="1" applyBorder="1" applyAlignment="1">
      <alignment vertical="center"/>
    </xf>
    <xf numFmtId="3" fontId="8" fillId="0" borderId="6" xfId="1" applyNumberFormat="1" applyFont="1" applyBorder="1" applyAlignment="1">
      <alignment horizontal="left"/>
    </xf>
    <xf numFmtId="3" fontId="8" fillId="0" borderId="10" xfId="1" applyNumberFormat="1" applyFont="1" applyBorder="1" applyAlignment="1">
      <alignment horizontal="center" vertical="center"/>
    </xf>
    <xf numFmtId="3" fontId="8" fillId="0" borderId="7" xfId="1" applyNumberFormat="1" applyFont="1" applyBorder="1" applyAlignment="1">
      <alignment horizontal="left"/>
    </xf>
    <xf numFmtId="3" fontId="8" fillId="0" borderId="11" xfId="1" applyNumberFormat="1" applyFont="1" applyBorder="1" applyAlignment="1">
      <alignment horizontal="center" vertical="center"/>
    </xf>
    <xf numFmtId="3" fontId="10" fillId="0" borderId="0" xfId="1" applyNumberFormat="1" applyFont="1" applyAlignment="1">
      <alignment horizontal="center" vertical="center"/>
    </xf>
    <xf numFmtId="3" fontId="6" fillId="0" borderId="2" xfId="1" applyNumberFormat="1" applyFont="1" applyBorder="1" applyAlignment="1">
      <alignment vertical="center"/>
    </xf>
    <xf numFmtId="3" fontId="6" fillId="0" borderId="2" xfId="1" applyNumberFormat="1" applyFont="1" applyBorder="1" applyAlignment="1">
      <alignment horizontal="left" vertical="center"/>
    </xf>
    <xf numFmtId="3" fontId="6" fillId="0" borderId="1" xfId="1" applyNumberFormat="1" applyFont="1" applyBorder="1" applyAlignment="1">
      <alignment horizontal="center" vertical="center"/>
    </xf>
    <xf numFmtId="3" fontId="6" fillId="0" borderId="4" xfId="1" applyNumberFormat="1" applyFont="1" applyBorder="1" applyAlignment="1">
      <alignment horizontal="center" vertical="center"/>
    </xf>
    <xf numFmtId="3" fontId="6" fillId="0" borderId="0" xfId="1" applyNumberFormat="1" applyFont="1" applyAlignment="1">
      <alignment vertical="center"/>
    </xf>
    <xf numFmtId="3" fontId="6" fillId="0" borderId="0" xfId="1" applyNumberFormat="1" applyFont="1" applyAlignment="1">
      <alignment horizontal="left" vertical="center"/>
    </xf>
    <xf numFmtId="3" fontId="10" fillId="0" borderId="0" xfId="1" applyNumberFormat="1" applyFont="1" applyAlignment="1">
      <alignment vertical="center"/>
    </xf>
    <xf numFmtId="3" fontId="8" fillId="0" borderId="0" xfId="1" applyNumberFormat="1" applyFont="1" applyAlignment="1">
      <alignment wrapText="1"/>
    </xf>
    <xf numFmtId="167" fontId="6" fillId="0" borderId="0" xfId="1" applyNumberFormat="1" applyFont="1" applyAlignment="1">
      <alignment horizontal="left"/>
    </xf>
    <xf numFmtId="9" fontId="6" fillId="0" borderId="0" xfId="3" applyFont="1" applyFill="1" applyBorder="1"/>
    <xf numFmtId="2" fontId="6" fillId="0" borderId="0" xfId="3" applyNumberFormat="1" applyFont="1" applyFill="1" applyBorder="1"/>
    <xf numFmtId="3" fontId="16" fillId="0" borderId="0" xfId="1" applyNumberFormat="1" applyFont="1" applyAlignment="1">
      <alignment vertical="center"/>
    </xf>
    <xf numFmtId="3" fontId="13" fillId="0" borderId="0" xfId="1" applyNumberFormat="1" applyFont="1" applyAlignment="1">
      <alignment vertical="center"/>
    </xf>
    <xf numFmtId="3" fontId="13" fillId="0" borderId="0" xfId="1" applyNumberFormat="1" applyFont="1" applyAlignment="1">
      <alignment horizontal="center" vertical="center"/>
    </xf>
    <xf numFmtId="3" fontId="8" fillId="0" borderId="1" xfId="1" applyNumberFormat="1" applyFont="1" applyBorder="1" applyAlignment="1">
      <alignment vertical="center"/>
    </xf>
    <xf numFmtId="3" fontId="8" fillId="0" borderId="9" xfId="1" applyNumberFormat="1" applyFont="1" applyBorder="1" applyAlignment="1">
      <alignment wrapText="1"/>
    </xf>
    <xf numFmtId="3" fontId="8" fillId="0" borderId="6" xfId="1" applyNumberFormat="1" applyFont="1" applyBorder="1" applyAlignment="1">
      <alignment horizontal="center" vertical="center"/>
    </xf>
    <xf numFmtId="168" fontId="10" fillId="0" borderId="0" xfId="2" applyNumberFormat="1" applyFont="1" applyAlignment="1">
      <alignment horizontal="center" vertical="center"/>
    </xf>
    <xf numFmtId="168" fontId="10" fillId="0" borderId="5" xfId="1" applyNumberFormat="1" applyFont="1" applyBorder="1" applyAlignment="1">
      <alignment horizontal="center" vertical="center"/>
    </xf>
    <xf numFmtId="168" fontId="10" fillId="0" borderId="6" xfId="1" applyNumberFormat="1" applyFont="1" applyBorder="1" applyAlignment="1">
      <alignment horizontal="center" vertical="center"/>
    </xf>
    <xf numFmtId="3" fontId="8" fillId="0" borderId="12" xfId="1" applyNumberFormat="1" applyFont="1" applyBorder="1" applyAlignment="1">
      <alignment wrapText="1"/>
    </xf>
    <xf numFmtId="3" fontId="8" fillId="0" borderId="7" xfId="1" applyNumberFormat="1" applyFont="1" applyBorder="1"/>
    <xf numFmtId="3" fontId="8" fillId="0" borderId="7" xfId="1" applyNumberFormat="1" applyFont="1" applyBorder="1" applyAlignment="1">
      <alignment horizontal="center" vertical="center"/>
    </xf>
    <xf numFmtId="3" fontId="8" fillId="0" borderId="13" xfId="1" applyNumberFormat="1" applyFont="1" applyBorder="1" applyAlignment="1">
      <alignment horizontal="center" vertical="center"/>
    </xf>
    <xf numFmtId="168" fontId="10" fillId="0" borderId="13" xfId="2" applyNumberFormat="1" applyFont="1" applyBorder="1" applyAlignment="1">
      <alignment horizontal="center" vertical="center"/>
    </xf>
    <xf numFmtId="168" fontId="10" fillId="0" borderId="7" xfId="1" applyNumberFormat="1" applyFont="1" applyBorder="1" applyAlignment="1">
      <alignment horizontal="center" vertical="center"/>
    </xf>
    <xf numFmtId="169" fontId="8" fillId="0" borderId="0" xfId="1" applyNumberFormat="1" applyFont="1" applyAlignment="1">
      <alignment horizontal="left"/>
    </xf>
    <xf numFmtId="168" fontId="10" fillId="0" borderId="0" xfId="1" applyNumberFormat="1" applyFont="1" applyAlignment="1">
      <alignment vertical="center"/>
    </xf>
    <xf numFmtId="168" fontId="10" fillId="0" borderId="0" xfId="1" applyNumberFormat="1" applyFont="1" applyAlignment="1">
      <alignment horizontal="center" vertical="center"/>
    </xf>
    <xf numFmtId="3" fontId="16" fillId="0" borderId="0" xfId="1" applyNumberFormat="1" applyFont="1"/>
    <xf numFmtId="3" fontId="8" fillId="0" borderId="0" xfId="1" applyNumberFormat="1" applyFont="1" applyAlignment="1">
      <alignment vertical="center" wrapText="1"/>
    </xf>
    <xf numFmtId="3" fontId="8" fillId="0" borderId="1" xfId="1" applyNumberFormat="1" applyFont="1" applyBorder="1" applyAlignment="1">
      <alignment horizontal="left" vertical="center" wrapText="1"/>
    </xf>
    <xf numFmtId="3" fontId="8" fillId="0" borderId="2" xfId="1" applyNumberFormat="1" applyFont="1" applyBorder="1" applyAlignment="1">
      <alignment vertical="center" wrapText="1"/>
    </xf>
    <xf numFmtId="170" fontId="8" fillId="0" borderId="0" xfId="1" applyNumberFormat="1" applyFont="1"/>
    <xf numFmtId="3" fontId="8" fillId="0" borderId="14" xfId="1" applyNumberFormat="1" applyFont="1" applyBorder="1" applyAlignment="1">
      <alignment wrapText="1"/>
    </xf>
    <xf numFmtId="3" fontId="8" fillId="0" borderId="8" xfId="1" applyNumberFormat="1" applyFont="1" applyBorder="1" applyAlignment="1">
      <alignment horizontal="left"/>
    </xf>
    <xf numFmtId="3" fontId="8" fillId="0" borderId="5" xfId="1" applyNumberFormat="1" applyFont="1" applyBorder="1" applyAlignment="1">
      <alignment horizontal="center" vertical="center"/>
    </xf>
    <xf numFmtId="3" fontId="8" fillId="0" borderId="13" xfId="1" applyNumberFormat="1" applyFont="1" applyBorder="1" applyAlignment="1">
      <alignment horizontal="left"/>
    </xf>
    <xf numFmtId="4" fontId="8" fillId="0" borderId="7" xfId="2" applyNumberFormat="1" applyFont="1" applyBorder="1" applyAlignment="1">
      <alignment horizontal="center" vertical="center"/>
    </xf>
    <xf numFmtId="3" fontId="8" fillId="0" borderId="0" xfId="1" applyNumberFormat="1" applyFont="1" applyAlignment="1">
      <alignment horizontal="left"/>
    </xf>
    <xf numFmtId="3" fontId="10" fillId="0" borderId="6" xfId="2" applyNumberFormat="1" applyFont="1" applyBorder="1" applyAlignment="1">
      <alignment horizontal="center" vertical="center"/>
    </xf>
    <xf numFmtId="3" fontId="8" fillId="0" borderId="0" xfId="0" applyNumberFormat="1" applyFont="1" applyAlignment="1">
      <alignment wrapText="1"/>
    </xf>
    <xf numFmtId="3" fontId="8" fillId="0" borderId="14" xfId="1" applyNumberFormat="1" applyFont="1" applyBorder="1"/>
    <xf numFmtId="3" fontId="8" fillId="0" borderId="14" xfId="1" applyNumberFormat="1" applyFont="1" applyBorder="1" applyAlignment="1">
      <alignment horizontal="center"/>
    </xf>
    <xf numFmtId="3" fontId="6" fillId="0" borderId="15" xfId="1" applyNumberFormat="1" applyFont="1" applyBorder="1" applyAlignment="1">
      <alignment horizontal="center"/>
    </xf>
    <xf numFmtId="3" fontId="10" fillId="0" borderId="8" xfId="1" applyNumberFormat="1" applyFont="1" applyBorder="1" applyAlignment="1">
      <alignment horizontal="center" vertical="center"/>
    </xf>
    <xf numFmtId="3" fontId="8" fillId="0" borderId="0" xfId="1" applyNumberFormat="1" applyFont="1" applyAlignment="1">
      <alignment horizontal="center" vertical="center"/>
    </xf>
    <xf numFmtId="3" fontId="10" fillId="0" borderId="10" xfId="1" applyNumberFormat="1" applyFont="1" applyBorder="1" applyAlignment="1">
      <alignment horizontal="center" vertical="center"/>
    </xf>
    <xf numFmtId="3" fontId="8" fillId="0" borderId="12" xfId="0" applyNumberFormat="1" applyFont="1" applyBorder="1" applyAlignment="1">
      <alignment horizontal="left" wrapText="1"/>
    </xf>
    <xf numFmtId="3" fontId="8" fillId="0" borderId="13" xfId="1" applyNumberFormat="1" applyFont="1" applyBorder="1" applyAlignment="1">
      <alignment horizontal="center"/>
    </xf>
    <xf numFmtId="3" fontId="8" fillId="0" borderId="11" xfId="1" applyNumberFormat="1" applyFont="1" applyBorder="1" applyAlignment="1">
      <alignment horizontal="center"/>
    </xf>
    <xf numFmtId="3" fontId="8" fillId="0" borderId="4" xfId="1" applyNumberFormat="1" applyFont="1" applyBorder="1" applyAlignment="1">
      <alignment horizontal="left"/>
    </xf>
    <xf numFmtId="3" fontId="8" fillId="0" borderId="2" xfId="1" applyNumberFormat="1" applyFont="1" applyBorder="1" applyAlignment="1">
      <alignment horizontal="center"/>
    </xf>
    <xf numFmtId="3" fontId="6" fillId="0" borderId="5" xfId="1" applyNumberFormat="1" applyFont="1" applyBorder="1" applyAlignment="1">
      <alignment horizontal="center"/>
    </xf>
    <xf numFmtId="3" fontId="8" fillId="0" borderId="5" xfId="1" applyNumberFormat="1" applyFont="1" applyBorder="1" applyAlignment="1">
      <alignment horizontal="left"/>
    </xf>
    <xf numFmtId="3" fontId="8" fillId="0" borderId="9" xfId="1" applyNumberFormat="1" applyFont="1" applyBorder="1" applyAlignment="1">
      <alignment horizontal="center"/>
    </xf>
    <xf numFmtId="3" fontId="10" fillId="0" borderId="5" xfId="1" applyNumberFormat="1" applyFont="1" applyBorder="1" applyAlignment="1">
      <alignment horizontal="center"/>
    </xf>
    <xf numFmtId="3" fontId="8" fillId="0" borderId="9" xfId="1" applyNumberFormat="1" applyFont="1" applyBorder="1"/>
    <xf numFmtId="3" fontId="10" fillId="0" borderId="6" xfId="1" applyNumberFormat="1" applyFont="1" applyBorder="1" applyAlignment="1">
      <alignment horizontal="center"/>
    </xf>
    <xf numFmtId="3" fontId="8" fillId="0" borderId="12" xfId="1" applyNumberFormat="1" applyFont="1" applyBorder="1"/>
    <xf numFmtId="3" fontId="8" fillId="0" borderId="12" xfId="1" applyNumberFormat="1" applyFont="1" applyBorder="1" applyAlignment="1">
      <alignment horizontal="center"/>
    </xf>
    <xf numFmtId="165" fontId="10" fillId="0" borderId="12" xfId="1" applyNumberFormat="1" applyFont="1" applyBorder="1" applyAlignment="1">
      <alignment horizontal="center" vertical="center"/>
    </xf>
    <xf numFmtId="165" fontId="10" fillId="0" borderId="13" xfId="1" applyNumberFormat="1" applyFont="1" applyBorder="1" applyAlignment="1">
      <alignment horizontal="center" vertical="center"/>
    </xf>
    <xf numFmtId="3" fontId="10" fillId="0" borderId="13" xfId="1" applyNumberFormat="1" applyFont="1" applyBorder="1" applyAlignment="1">
      <alignment horizontal="center" vertical="center"/>
    </xf>
    <xf numFmtId="3" fontId="10" fillId="0" borderId="7" xfId="1" applyNumberFormat="1" applyFont="1" applyBorder="1" applyAlignment="1">
      <alignment horizontal="center"/>
    </xf>
    <xf numFmtId="3" fontId="8" fillId="0" borderId="4" xfId="1" applyNumberFormat="1" applyFont="1" applyBorder="1"/>
    <xf numFmtId="3" fontId="8" fillId="0" borderId="13" xfId="1" applyNumberFormat="1" applyFont="1" applyBorder="1"/>
    <xf numFmtId="3" fontId="18" fillId="0" borderId="5" xfId="1" applyNumberFormat="1" applyFont="1" applyBorder="1" applyAlignment="1">
      <alignment horizontal="center"/>
    </xf>
    <xf numFmtId="3" fontId="18" fillId="0" borderId="0" xfId="1" applyNumberFormat="1" applyFont="1" applyAlignment="1">
      <alignment horizontal="center"/>
    </xf>
    <xf numFmtId="3" fontId="18" fillId="0" borderId="10" xfId="1" applyNumberFormat="1" applyFont="1" applyBorder="1" applyAlignment="1">
      <alignment horizontal="center"/>
    </xf>
    <xf numFmtId="3" fontId="18" fillId="0" borderId="6" xfId="1" applyNumberFormat="1" applyFont="1" applyBorder="1" applyAlignment="1">
      <alignment horizontal="center"/>
    </xf>
    <xf numFmtId="3" fontId="18" fillId="0" borderId="7" xfId="1" applyNumberFormat="1" applyFont="1" applyBorder="1" applyAlignment="1">
      <alignment horizontal="center"/>
    </xf>
    <xf numFmtId="3" fontId="18" fillId="0" borderId="13" xfId="1" applyNumberFormat="1" applyFont="1" applyBorder="1" applyAlignment="1">
      <alignment horizontal="center"/>
    </xf>
    <xf numFmtId="3" fontId="18" fillId="0" borderId="11" xfId="1" applyNumberFormat="1" applyFont="1" applyBorder="1" applyAlignment="1">
      <alignment horizontal="center"/>
    </xf>
    <xf numFmtId="3" fontId="6" fillId="0" borderId="1" xfId="1" applyNumberFormat="1" applyFont="1" applyBorder="1"/>
    <xf numFmtId="4" fontId="10" fillId="0" borderId="5" xfId="1" applyNumberFormat="1" applyFont="1" applyBorder="1"/>
    <xf numFmtId="171" fontId="8" fillId="0" borderId="5" xfId="1" applyNumberFormat="1" applyFont="1" applyBorder="1" applyAlignment="1">
      <alignment horizontal="center"/>
    </xf>
    <xf numFmtId="4" fontId="10" fillId="0" borderId="6" xfId="1" applyNumberFormat="1" applyFont="1" applyBorder="1"/>
    <xf numFmtId="4" fontId="8" fillId="2" borderId="6" xfId="1" applyNumberFormat="1" applyFont="1" applyFill="1" applyBorder="1"/>
    <xf numFmtId="4" fontId="10" fillId="0" borderId="7" xfId="1" applyNumberFormat="1" applyFont="1" applyBorder="1"/>
    <xf numFmtId="165" fontId="10" fillId="0" borderId="7" xfId="1" applyNumberFormat="1" applyFont="1" applyBorder="1"/>
    <xf numFmtId="3" fontId="8" fillId="3" borderId="14" xfId="1" applyNumberFormat="1" applyFont="1" applyFill="1" applyBorder="1"/>
    <xf numFmtId="3" fontId="8" fillId="3" borderId="8" xfId="1" applyNumberFormat="1" applyFont="1" applyFill="1" applyBorder="1"/>
    <xf numFmtId="3" fontId="8" fillId="3" borderId="5" xfId="1" applyNumberFormat="1" applyFont="1" applyFill="1" applyBorder="1" applyAlignment="1">
      <alignment horizontal="left"/>
    </xf>
    <xf numFmtId="4" fontId="8" fillId="3" borderId="5" xfId="1" applyNumberFormat="1" applyFont="1" applyFill="1" applyBorder="1"/>
    <xf numFmtId="3" fontId="8" fillId="3" borderId="5" xfId="1" applyNumberFormat="1" applyFont="1" applyFill="1" applyBorder="1" applyAlignment="1">
      <alignment horizontal="center"/>
    </xf>
    <xf numFmtId="3" fontId="8" fillId="3" borderId="9" xfId="1" applyNumberFormat="1" applyFont="1" applyFill="1" applyBorder="1"/>
    <xf numFmtId="3" fontId="8" fillId="3" borderId="0" xfId="1" applyNumberFormat="1" applyFont="1" applyFill="1"/>
    <xf numFmtId="3" fontId="8" fillId="3" borderId="6" xfId="1" applyNumberFormat="1" applyFont="1" applyFill="1" applyBorder="1" applyAlignment="1">
      <alignment horizontal="left"/>
    </xf>
    <xf numFmtId="4" fontId="8" fillId="3" borderId="6" xfId="1" applyNumberFormat="1" applyFont="1" applyFill="1" applyBorder="1"/>
    <xf numFmtId="3" fontId="8" fillId="3" borderId="6" xfId="1" applyNumberFormat="1" applyFont="1" applyFill="1" applyBorder="1" applyAlignment="1">
      <alignment horizontal="center"/>
    </xf>
    <xf numFmtId="3" fontId="8" fillId="3" borderId="12" xfId="1" applyNumberFormat="1" applyFont="1" applyFill="1" applyBorder="1"/>
    <xf numFmtId="3" fontId="8" fillId="3" borderId="13" xfId="1" applyNumberFormat="1" applyFont="1" applyFill="1" applyBorder="1"/>
    <xf numFmtId="3" fontId="8" fillId="3" borderId="7" xfId="1" applyNumberFormat="1" applyFont="1" applyFill="1" applyBorder="1" applyAlignment="1">
      <alignment horizontal="left"/>
    </xf>
    <xf numFmtId="4" fontId="8" fillId="3" borderId="7" xfId="1" applyNumberFormat="1" applyFont="1" applyFill="1" applyBorder="1"/>
    <xf numFmtId="3" fontId="8" fillId="3" borderId="7" xfId="1" applyNumberFormat="1" applyFont="1" applyFill="1" applyBorder="1" applyAlignment="1">
      <alignment horizontal="center"/>
    </xf>
    <xf numFmtId="3" fontId="8" fillId="0" borderId="0" xfId="2" applyNumberFormat="1" applyFont="1"/>
    <xf numFmtId="0" fontId="2" fillId="0" borderId="0" xfId="2"/>
    <xf numFmtId="3" fontId="8" fillId="0" borderId="1" xfId="2" applyNumberFormat="1" applyFont="1" applyBorder="1"/>
    <xf numFmtId="3" fontId="8" fillId="0" borderId="8" xfId="2" applyNumberFormat="1" applyFont="1" applyBorder="1" applyAlignment="1">
      <alignment horizontal="left"/>
    </xf>
    <xf numFmtId="3" fontId="8" fillId="0" borderId="2" xfId="2" applyNumberFormat="1" applyFont="1" applyBorder="1" applyAlignment="1">
      <alignment horizontal="center"/>
    </xf>
    <xf numFmtId="3" fontId="6" fillId="0" borderId="5" xfId="2" applyNumberFormat="1" applyFont="1" applyBorder="1" applyAlignment="1">
      <alignment horizontal="center"/>
    </xf>
    <xf numFmtId="3" fontId="8" fillId="0" borderId="14" xfId="2" applyNumberFormat="1" applyFont="1" applyBorder="1"/>
    <xf numFmtId="3" fontId="8" fillId="0" borderId="5" xfId="2" applyNumberFormat="1" applyFont="1" applyBorder="1" applyAlignment="1">
      <alignment horizontal="left"/>
    </xf>
    <xf numFmtId="3" fontId="8" fillId="0" borderId="10" xfId="2" applyNumberFormat="1" applyFont="1" applyBorder="1" applyAlignment="1">
      <alignment horizontal="center"/>
    </xf>
    <xf numFmtId="3" fontId="10" fillId="0" borderId="5" xfId="2" applyNumberFormat="1" applyFont="1" applyBorder="1" applyAlignment="1">
      <alignment horizontal="center"/>
    </xf>
    <xf numFmtId="3" fontId="8" fillId="0" borderId="9" xfId="2" applyNumberFormat="1" applyFont="1" applyBorder="1"/>
    <xf numFmtId="3" fontId="8" fillId="0" borderId="6" xfId="2" applyNumberFormat="1" applyFont="1" applyBorder="1" applyAlignment="1">
      <alignment horizontal="left"/>
    </xf>
    <xf numFmtId="3" fontId="10" fillId="0" borderId="6" xfId="2" applyNumberFormat="1" applyFont="1" applyBorder="1" applyAlignment="1">
      <alignment horizontal="center"/>
    </xf>
    <xf numFmtId="3" fontId="8" fillId="0" borderId="12" xfId="2" applyNumberFormat="1" applyFont="1" applyBorder="1"/>
    <xf numFmtId="3" fontId="8" fillId="0" borderId="7" xfId="2" applyNumberFormat="1" applyFont="1" applyBorder="1" applyAlignment="1">
      <alignment horizontal="left"/>
    </xf>
    <xf numFmtId="3" fontId="8" fillId="0" borderId="11" xfId="2" applyNumberFormat="1" applyFont="1" applyBorder="1" applyAlignment="1">
      <alignment horizontal="center"/>
    </xf>
    <xf numFmtId="3" fontId="10" fillId="0" borderId="7" xfId="2" applyNumberFormat="1" applyFont="1" applyBorder="1" applyAlignment="1">
      <alignment horizontal="center"/>
    </xf>
    <xf numFmtId="3" fontId="8" fillId="0" borderId="0" xfId="0" applyNumberFormat="1" applyFont="1"/>
    <xf numFmtId="3" fontId="8" fillId="0" borderId="4" xfId="2" applyNumberFormat="1" applyFont="1" applyBorder="1"/>
    <xf numFmtId="3" fontId="8" fillId="0" borderId="5" xfId="2" applyNumberFormat="1" applyFont="1" applyBorder="1" applyAlignment="1">
      <alignment horizontal="center"/>
    </xf>
    <xf numFmtId="3" fontId="6" fillId="0" borderId="2" xfId="2" applyNumberFormat="1" applyFont="1" applyBorder="1" applyAlignment="1">
      <alignment horizontal="center"/>
    </xf>
    <xf numFmtId="3" fontId="8" fillId="0" borderId="5" xfId="2" applyNumberFormat="1" applyFont="1" applyBorder="1"/>
    <xf numFmtId="3" fontId="8" fillId="3" borderId="14" xfId="2" applyNumberFormat="1" applyFont="1" applyFill="1" applyBorder="1"/>
    <xf numFmtId="3" fontId="8" fillId="3" borderId="8" xfId="2" applyNumberFormat="1" applyFont="1" applyFill="1" applyBorder="1"/>
    <xf numFmtId="3" fontId="8" fillId="3" borderId="5" xfId="2" applyNumberFormat="1" applyFont="1" applyFill="1" applyBorder="1" applyAlignment="1">
      <alignment horizontal="center"/>
    </xf>
    <xf numFmtId="4" fontId="8" fillId="3" borderId="5" xfId="2" applyNumberFormat="1" applyFont="1" applyFill="1" applyBorder="1"/>
    <xf numFmtId="3" fontId="8" fillId="3" borderId="9" xfId="2" applyNumberFormat="1" applyFont="1" applyFill="1" applyBorder="1"/>
    <xf numFmtId="3" fontId="8" fillId="3" borderId="0" xfId="2" applyNumberFormat="1" applyFont="1" applyFill="1"/>
    <xf numFmtId="3" fontId="8" fillId="3" borderId="6" xfId="2" applyNumberFormat="1" applyFont="1" applyFill="1" applyBorder="1" applyAlignment="1">
      <alignment horizontal="center"/>
    </xf>
    <xf numFmtId="4" fontId="8" fillId="3" borderId="6" xfId="2" applyNumberFormat="1" applyFont="1" applyFill="1" applyBorder="1"/>
    <xf numFmtId="3" fontId="8" fillId="3" borderId="12" xfId="2" applyNumberFormat="1" applyFont="1" applyFill="1" applyBorder="1"/>
    <xf numFmtId="3" fontId="8" fillId="3" borderId="13" xfId="2" applyNumberFormat="1" applyFont="1" applyFill="1" applyBorder="1"/>
    <xf numFmtId="3" fontId="8" fillId="3" borderId="7" xfId="2" applyNumberFormat="1" applyFont="1" applyFill="1" applyBorder="1" applyAlignment="1">
      <alignment horizontal="center"/>
    </xf>
    <xf numFmtId="4" fontId="8" fillId="3" borderId="7" xfId="2" applyNumberFormat="1" applyFont="1" applyFill="1" applyBorder="1"/>
    <xf numFmtId="3" fontId="6" fillId="0" borderId="0" xfId="2" applyNumberFormat="1" applyFont="1"/>
    <xf numFmtId="14" fontId="6" fillId="0" borderId="8" xfId="1" applyNumberFormat="1" applyFont="1" applyBorder="1" applyAlignment="1">
      <alignment horizontal="center"/>
    </xf>
    <xf numFmtId="14" fontId="6" fillId="0" borderId="15" xfId="1" applyNumberFormat="1" applyFont="1" applyBorder="1" applyAlignment="1">
      <alignment horizontal="center"/>
    </xf>
    <xf numFmtId="3" fontId="8" fillId="0" borderId="0" xfId="2" applyNumberFormat="1" applyFont="1" applyAlignment="1">
      <alignment horizontal="center"/>
    </xf>
    <xf numFmtId="3" fontId="8" fillId="0" borderId="13" xfId="2" applyNumberFormat="1" applyFont="1" applyBorder="1" applyAlignment="1">
      <alignment horizontal="center"/>
    </xf>
    <xf numFmtId="164" fontId="6" fillId="0" borderId="0" xfId="4" applyFont="1" applyAlignment="1">
      <alignment horizontal="left"/>
    </xf>
    <xf numFmtId="164" fontId="2" fillId="0" borderId="0" xfId="4" applyFont="1"/>
    <xf numFmtId="0" fontId="23" fillId="0" borderId="0" xfId="0" applyFont="1" applyAlignment="1">
      <alignment horizontal="center"/>
    </xf>
    <xf numFmtId="0" fontId="23" fillId="0" borderId="0" xfId="0" applyFont="1" applyAlignment="1">
      <alignment horizontal="left"/>
    </xf>
    <xf numFmtId="0" fontId="2" fillId="0" borderId="0" xfId="0" applyFont="1"/>
    <xf numFmtId="0" fontId="2" fillId="0" borderId="0" xfId="0" applyFont="1" applyAlignment="1">
      <alignment horizontal="left"/>
    </xf>
    <xf numFmtId="0" fontId="2" fillId="0" borderId="0" xfId="0" applyFont="1" applyAlignment="1">
      <alignment horizontal="center"/>
    </xf>
    <xf numFmtId="0" fontId="24" fillId="0" borderId="0" xfId="0" applyFont="1"/>
    <xf numFmtId="0" fontId="25" fillId="0" borderId="0" xfId="0" applyFont="1"/>
    <xf numFmtId="0" fontId="26" fillId="0" borderId="0" xfId="0" applyFont="1"/>
    <xf numFmtId="0" fontId="25" fillId="0" borderId="2" xfId="0" applyFont="1" applyBorder="1" applyAlignment="1">
      <alignment horizontal="center"/>
    </xf>
    <xf numFmtId="0" fontId="2" fillId="0" borderId="14" xfId="0" applyFont="1" applyBorder="1" applyAlignment="1">
      <alignment horizontal="left" vertical="center" wrapText="1"/>
    </xf>
    <xf numFmtId="0" fontId="2" fillId="0" borderId="5" xfId="0" applyFont="1" applyBorder="1" applyAlignment="1">
      <alignment horizontal="center" vertical="center" wrapText="1"/>
    </xf>
    <xf numFmtId="172" fontId="2" fillId="0" borderId="15" xfId="0" applyNumberFormat="1" applyFont="1" applyBorder="1" applyAlignment="1">
      <alignment horizontal="center"/>
    </xf>
    <xf numFmtId="0" fontId="2" fillId="0" borderId="9" xfId="0" applyFont="1" applyBorder="1" applyAlignment="1">
      <alignment horizontal="left" vertical="center" wrapText="1"/>
    </xf>
    <xf numFmtId="0" fontId="2" fillId="0" borderId="6" xfId="0" applyFont="1" applyBorder="1" applyAlignment="1">
      <alignment horizontal="center" vertical="center" wrapText="1"/>
    </xf>
    <xf numFmtId="172" fontId="2" fillId="0" borderId="10" xfId="0" applyNumberFormat="1" applyFont="1" applyBorder="1" applyAlignment="1">
      <alignment horizontal="center"/>
    </xf>
    <xf numFmtId="0" fontId="2" fillId="0" borderId="12" xfId="0" applyFont="1" applyBorder="1" applyAlignment="1">
      <alignment horizontal="left" vertical="center" wrapText="1"/>
    </xf>
    <xf numFmtId="0" fontId="2" fillId="0" borderId="7" xfId="0" applyFont="1" applyBorder="1" applyAlignment="1">
      <alignment horizontal="center" vertical="center" wrapText="1"/>
    </xf>
    <xf numFmtId="172" fontId="2" fillId="0" borderId="11" xfId="0" applyNumberFormat="1" applyFont="1" applyBorder="1" applyAlignment="1">
      <alignment horizontal="center"/>
    </xf>
    <xf numFmtId="0" fontId="28" fillId="0" borderId="0" xfId="0" applyFont="1"/>
    <xf numFmtId="0" fontId="29" fillId="0" borderId="0" xfId="0" applyFont="1"/>
    <xf numFmtId="0" fontId="25" fillId="0" borderId="2" xfId="0" applyFont="1" applyBorder="1" applyAlignment="1">
      <alignment vertical="center" wrapText="1"/>
    </xf>
    <xf numFmtId="0" fontId="2" fillId="0" borderId="2" xfId="0" applyFont="1" applyBorder="1" applyAlignment="1">
      <alignment horizontal="center" vertical="center" wrapText="1"/>
    </xf>
    <xf numFmtId="0" fontId="25" fillId="0" borderId="2" xfId="0" applyFont="1" applyBorder="1" applyAlignment="1">
      <alignment horizontal="center" vertical="center" wrapText="1"/>
    </xf>
    <xf numFmtId="172" fontId="25" fillId="0" borderId="2" xfId="0" applyNumberFormat="1" applyFont="1" applyBorder="1" applyAlignment="1">
      <alignment horizontal="center" vertical="center"/>
    </xf>
    <xf numFmtId="0" fontId="26" fillId="0" borderId="0" xfId="0" applyFont="1" applyAlignment="1">
      <alignment vertical="center"/>
    </xf>
    <xf numFmtId="0" fontId="23" fillId="0" borderId="0" xfId="0" applyFont="1" applyAlignment="1">
      <alignment vertical="center"/>
    </xf>
    <xf numFmtId="0" fontId="2" fillId="0" borderId="14" xfId="0" applyFont="1" applyBorder="1" applyAlignment="1">
      <alignment horizontal="center" vertical="center" wrapText="1"/>
    </xf>
    <xf numFmtId="173" fontId="2" fillId="0" borderId="5" xfId="0" applyNumberFormat="1" applyFont="1" applyBorder="1" applyAlignment="1">
      <alignment horizontal="center" vertical="center" wrapText="1"/>
    </xf>
    <xf numFmtId="173" fontId="2" fillId="0" borderId="6" xfId="0" applyNumberFormat="1" applyFont="1" applyBorder="1" applyAlignment="1">
      <alignment horizontal="center" vertical="center" wrapText="1"/>
    </xf>
    <xf numFmtId="9" fontId="2" fillId="0" borderId="6" xfId="0" applyNumberFormat="1" applyFont="1" applyBorder="1" applyAlignment="1">
      <alignment horizontal="center" vertical="center" wrapText="1"/>
    </xf>
    <xf numFmtId="0" fontId="2" fillId="0" borderId="12" xfId="0" applyFont="1" applyBorder="1" applyAlignment="1">
      <alignment horizontal="center" vertical="center" wrapText="1"/>
    </xf>
    <xf numFmtId="9" fontId="2" fillId="0" borderId="7" xfId="0" applyNumberFormat="1" applyFont="1" applyBorder="1" applyAlignment="1">
      <alignment horizontal="center" vertical="center" wrapText="1"/>
    </xf>
    <xf numFmtId="0" fontId="28" fillId="0" borderId="0" xfId="0" applyFont="1" applyAlignment="1">
      <alignment vertical="center"/>
    </xf>
    <xf numFmtId="0" fontId="25" fillId="0" borderId="2" xfId="0" applyFont="1" applyBorder="1" applyAlignment="1">
      <alignment horizontal="left" vertical="center" wrapText="1"/>
    </xf>
    <xf numFmtId="172" fontId="2" fillId="0" borderId="5" xfId="0" applyNumberFormat="1" applyFont="1" applyBorder="1" applyAlignment="1">
      <alignment horizontal="center" vertical="center"/>
    </xf>
    <xf numFmtId="172" fontId="2" fillId="0" borderId="7" xfId="0" applyNumberFormat="1" applyFont="1" applyBorder="1" applyAlignment="1">
      <alignment horizontal="center" vertical="center"/>
    </xf>
    <xf numFmtId="3" fontId="25" fillId="0" borderId="1" xfId="0" applyNumberFormat="1" applyFont="1" applyBorder="1"/>
    <xf numFmtId="3" fontId="2" fillId="0" borderId="5" xfId="0" applyNumberFormat="1" applyFont="1" applyBorder="1" applyAlignment="1">
      <alignment horizontal="center"/>
    </xf>
    <xf numFmtId="3" fontId="25" fillId="0" borderId="2" xfId="0" applyNumberFormat="1" applyFont="1" applyBorder="1" applyAlignment="1">
      <alignment horizontal="center"/>
    </xf>
    <xf numFmtId="174" fontId="25" fillId="0" borderId="3" xfId="0" applyNumberFormat="1" applyFont="1" applyBorder="1" applyAlignment="1">
      <alignment horizontal="center"/>
    </xf>
    <xf numFmtId="175" fontId="2" fillId="0" borderId="0" xfId="0" applyNumberFormat="1" applyFont="1"/>
    <xf numFmtId="0" fontId="25" fillId="0" borderId="0" xfId="0" applyFont="1" applyAlignment="1">
      <alignment horizontal="left"/>
    </xf>
    <xf numFmtId="3" fontId="23" fillId="0" borderId="0" xfId="0" applyNumberFormat="1" applyFont="1"/>
    <xf numFmtId="3" fontId="2" fillId="0" borderId="0" xfId="0" applyNumberFormat="1" applyFont="1" applyAlignment="1">
      <alignment horizontal="center"/>
    </xf>
    <xf numFmtId="3" fontId="2" fillId="0" borderId="0" xfId="0" applyNumberFormat="1" applyFont="1"/>
    <xf numFmtId="3" fontId="25" fillId="0" borderId="2" xfId="0" applyNumberFormat="1" applyFont="1" applyBorder="1"/>
    <xf numFmtId="3" fontId="2" fillId="0" borderId="2" xfId="0" applyNumberFormat="1" applyFont="1" applyBorder="1" applyAlignment="1">
      <alignment horizontal="center"/>
    </xf>
    <xf numFmtId="3" fontId="26" fillId="0" borderId="6" xfId="0" applyNumberFormat="1" applyFont="1" applyBorder="1"/>
    <xf numFmtId="3" fontId="2" fillId="0" borderId="6" xfId="0" applyNumberFormat="1" applyFont="1" applyBorder="1" applyAlignment="1">
      <alignment horizontal="center"/>
    </xf>
    <xf numFmtId="3" fontId="8" fillId="0" borderId="5" xfId="0" applyNumberFormat="1" applyFont="1" applyBorder="1"/>
    <xf numFmtId="3" fontId="8" fillId="0" borderId="6" xfId="0" applyNumberFormat="1" applyFont="1" applyBorder="1"/>
    <xf numFmtId="3" fontId="8" fillId="0" borderId="7" xfId="0" applyNumberFormat="1" applyFont="1" applyBorder="1"/>
    <xf numFmtId="3" fontId="2" fillId="0" borderId="7" xfId="0" applyNumberFormat="1" applyFont="1" applyBorder="1" applyAlignment="1">
      <alignment horizontal="center"/>
    </xf>
    <xf numFmtId="0" fontId="2" fillId="0" borderId="0" xfId="0" applyFont="1" applyAlignment="1">
      <alignment horizontal="left" vertical="center"/>
    </xf>
    <xf numFmtId="3" fontId="8" fillId="0" borderId="5" xfId="0" applyNumberFormat="1" applyFont="1" applyBorder="1" applyAlignment="1">
      <alignment horizontal="center"/>
    </xf>
    <xf numFmtId="3" fontId="2" fillId="0" borderId="15" xfId="0" applyNumberFormat="1" applyFont="1" applyBorder="1" applyAlignment="1">
      <alignment horizontal="center"/>
    </xf>
    <xf numFmtId="3" fontId="8" fillId="0" borderId="6" xfId="0" applyNumberFormat="1" applyFont="1" applyBorder="1" applyAlignment="1">
      <alignment horizontal="center"/>
    </xf>
    <xf numFmtId="3" fontId="2" fillId="0" borderId="10" xfId="0" applyNumberFormat="1" applyFont="1" applyBorder="1" applyAlignment="1">
      <alignment horizontal="center"/>
    </xf>
    <xf numFmtId="3" fontId="8" fillId="0" borderId="7" xfId="0" applyNumberFormat="1" applyFont="1" applyBorder="1" applyAlignment="1">
      <alignment horizontal="center"/>
    </xf>
    <xf numFmtId="0" fontId="25" fillId="0" borderId="2" xfId="0" applyFont="1" applyBorder="1" applyAlignment="1">
      <alignment horizontal="left" vertical="center"/>
    </xf>
    <xf numFmtId="3" fontId="25" fillId="0" borderId="3" xfId="0" applyNumberFormat="1" applyFont="1" applyBorder="1" applyAlignment="1">
      <alignment horizontal="center"/>
    </xf>
    <xf numFmtId="3" fontId="2" fillId="0" borderId="7" xfId="0" applyNumberFormat="1" applyFont="1" applyBorder="1"/>
    <xf numFmtId="9" fontId="2" fillId="0" borderId="11" xfId="0" applyNumberFormat="1" applyFont="1" applyBorder="1" applyAlignment="1">
      <alignment horizontal="center"/>
    </xf>
    <xf numFmtId="3" fontId="26" fillId="0" borderId="0" xfId="0" applyNumberFormat="1" applyFont="1"/>
    <xf numFmtId="3" fontId="2" fillId="0" borderId="2" xfId="0" applyNumberFormat="1" applyFont="1" applyBorder="1" applyAlignment="1">
      <alignment horizontal="center" vertical="center"/>
    </xf>
    <xf numFmtId="3" fontId="2" fillId="0" borderId="5" xfId="0" applyNumberFormat="1" applyFont="1" applyBorder="1" applyAlignment="1">
      <alignment horizontal="center" vertical="center"/>
    </xf>
    <xf numFmtId="3" fontId="25" fillId="0" borderId="3" xfId="0" applyNumberFormat="1" applyFont="1" applyBorder="1" applyAlignment="1">
      <alignment horizontal="center" vertical="center"/>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3" fontId="2" fillId="0" borderId="6" xfId="0" applyNumberFormat="1" applyFont="1" applyBorder="1" applyAlignment="1">
      <alignment horizontal="center" vertical="center"/>
    </xf>
    <xf numFmtId="0" fontId="2" fillId="0" borderId="7" xfId="0" applyFont="1" applyBorder="1" applyAlignment="1">
      <alignment horizontal="left" vertical="top" wrapText="1"/>
    </xf>
    <xf numFmtId="3" fontId="2" fillId="0" borderId="7" xfId="0" applyNumberFormat="1" applyFont="1" applyBorder="1" applyAlignment="1">
      <alignment horizontal="center" vertical="center"/>
    </xf>
    <xf numFmtId="0" fontId="2" fillId="0" borderId="6" xfId="0" applyFont="1" applyBorder="1" applyAlignment="1">
      <alignment horizontal="justify" vertical="center" wrapText="1"/>
    </xf>
    <xf numFmtId="0" fontId="2" fillId="0" borderId="6" xfId="0" applyFont="1" applyBorder="1" applyAlignment="1">
      <alignment horizontal="center" vertical="top" wrapText="1"/>
    </xf>
    <xf numFmtId="4" fontId="2" fillId="0" borderId="6" xfId="0" applyNumberFormat="1" applyFont="1" applyBorder="1" applyAlignment="1">
      <alignment horizontal="center" vertical="center"/>
    </xf>
    <xf numFmtId="3" fontId="2" fillId="0" borderId="6" xfId="0" applyNumberFormat="1" applyFont="1" applyBorder="1" applyAlignment="1">
      <alignment horizontal="left" vertical="top" wrapText="1"/>
    </xf>
    <xf numFmtId="0" fontId="2" fillId="0" borderId="6" xfId="0" applyFont="1" applyBorder="1" applyAlignment="1">
      <alignment horizontal="center"/>
    </xf>
    <xf numFmtId="3" fontId="2" fillId="0" borderId="7" xfId="0" applyNumberFormat="1" applyFont="1" applyBorder="1" applyAlignment="1">
      <alignment horizontal="left" vertical="top" wrapText="1"/>
    </xf>
    <xf numFmtId="3" fontId="2" fillId="0" borderId="0" xfId="0" applyNumberFormat="1" applyFont="1" applyAlignment="1">
      <alignment horizontal="left" vertical="center"/>
    </xf>
    <xf numFmtId="0" fontId="2" fillId="0" borderId="14" xfId="0" applyFont="1" applyBorder="1" applyAlignment="1">
      <alignment horizontal="left" vertical="center"/>
    </xf>
    <xf numFmtId="3" fontId="2" fillId="0" borderId="14" xfId="0" applyNumberFormat="1" applyFont="1" applyBorder="1" applyAlignment="1">
      <alignment horizontal="center"/>
    </xf>
    <xf numFmtId="3" fontId="2" fillId="0" borderId="5" xfId="5" applyNumberFormat="1" applyFont="1" applyBorder="1" applyAlignment="1" applyProtection="1">
      <alignment horizontal="center"/>
      <protection locked="0"/>
    </xf>
    <xf numFmtId="0" fontId="2" fillId="0" borderId="9" xfId="0" applyFont="1" applyBorder="1" applyAlignment="1">
      <alignment horizontal="left" vertical="center"/>
    </xf>
    <xf numFmtId="3" fontId="2" fillId="0" borderId="9" xfId="0" applyNumberFormat="1" applyFont="1" applyBorder="1" applyAlignment="1">
      <alignment horizontal="center"/>
    </xf>
    <xf numFmtId="3" fontId="2" fillId="0" borderId="6" xfId="5" applyNumberFormat="1" applyFont="1" applyBorder="1" applyAlignment="1" applyProtection="1">
      <alignment horizontal="center"/>
      <protection locked="0"/>
    </xf>
    <xf numFmtId="3" fontId="25" fillId="0" borderId="10" xfId="0" applyNumberFormat="1" applyFont="1" applyBorder="1" applyAlignment="1">
      <alignment horizontal="center"/>
    </xf>
    <xf numFmtId="3" fontId="2" fillId="0" borderId="9" xfId="0" applyNumberFormat="1" applyFont="1" applyBorder="1" applyAlignment="1">
      <alignment horizontal="left"/>
    </xf>
    <xf numFmtId="3" fontId="2" fillId="0" borderId="7" xfId="5" applyNumberFormat="1" applyFont="1" applyBorder="1" applyAlignment="1" applyProtection="1">
      <alignment horizontal="center"/>
      <protection locked="0"/>
    </xf>
    <xf numFmtId="3" fontId="25" fillId="0" borderId="1" xfId="0" applyNumberFormat="1" applyFont="1" applyBorder="1" applyAlignment="1">
      <alignment horizontal="left"/>
    </xf>
    <xf numFmtId="3" fontId="25" fillId="0" borderId="1" xfId="0" applyNumberFormat="1" applyFont="1" applyBorder="1" applyAlignment="1">
      <alignment horizontal="center"/>
    </xf>
    <xf numFmtId="3" fontId="25" fillId="0" borderId="7" xfId="5" applyNumberFormat="1" applyFont="1" applyBorder="1" applyAlignment="1" applyProtection="1">
      <alignment horizontal="center"/>
      <protection locked="0"/>
    </xf>
    <xf numFmtId="3" fontId="29" fillId="0" borderId="0" xfId="0" applyNumberFormat="1" applyFont="1" applyAlignment="1">
      <alignment horizontal="left"/>
    </xf>
    <xf numFmtId="177" fontId="2" fillId="0" borderId="0" xfId="0" applyNumberFormat="1" applyFont="1"/>
    <xf numFmtId="3" fontId="2" fillId="0" borderId="0" xfId="0" applyNumberFormat="1" applyFont="1" applyAlignment="1">
      <alignment horizontal="left"/>
    </xf>
    <xf numFmtId="3" fontId="2" fillId="0" borderId="9" xfId="0" applyNumberFormat="1" applyFont="1" applyBorder="1"/>
    <xf numFmtId="3" fontId="2" fillId="0" borderId="15" xfId="5" applyNumberFormat="1" applyFont="1" applyBorder="1" applyAlignment="1" applyProtection="1">
      <alignment horizontal="center"/>
      <protection locked="0"/>
    </xf>
    <xf numFmtId="3" fontId="2" fillId="0" borderId="10" xfId="5" applyNumberFormat="1" applyFont="1" applyBorder="1" applyAlignment="1" applyProtection="1">
      <alignment horizontal="center"/>
      <protection locked="0"/>
    </xf>
    <xf numFmtId="3" fontId="2" fillId="0" borderId="11" xfId="0" applyNumberFormat="1" applyFont="1" applyBorder="1" applyAlignment="1">
      <alignment horizontal="center"/>
    </xf>
    <xf numFmtId="0" fontId="23" fillId="0" borderId="0" xfId="0" applyFont="1"/>
    <xf numFmtId="0" fontId="2" fillId="0" borderId="5" xfId="0" applyFont="1" applyBorder="1" applyAlignment="1">
      <alignment horizontal="center"/>
    </xf>
    <xf numFmtId="178" fontId="2" fillId="0" borderId="15" xfId="0" applyNumberFormat="1" applyFont="1" applyBorder="1" applyAlignment="1">
      <alignment horizontal="center"/>
    </xf>
    <xf numFmtId="179" fontId="2" fillId="0" borderId="10" xfId="0" applyNumberFormat="1" applyFont="1" applyBorder="1" applyAlignment="1">
      <alignment horizontal="center" vertical="top" wrapText="1"/>
    </xf>
    <xf numFmtId="0" fontId="2" fillId="0" borderId="7" xfId="0" applyFont="1" applyBorder="1" applyAlignment="1">
      <alignment horizontal="center"/>
    </xf>
    <xf numFmtId="180" fontId="2" fillId="0" borderId="11" xfId="0" applyNumberFormat="1" applyFont="1" applyBorder="1" applyAlignment="1">
      <alignment horizontal="center" vertical="top" wrapText="1"/>
    </xf>
    <xf numFmtId="0" fontId="23" fillId="0" borderId="1" xfId="0" applyFont="1" applyBorder="1" applyAlignment="1">
      <alignment horizontal="left" vertical="top" wrapText="1"/>
    </xf>
    <xf numFmtId="0" fontId="2" fillId="0" borderId="2" xfId="0" applyFont="1" applyBorder="1" applyAlignment="1">
      <alignment horizontal="center"/>
    </xf>
    <xf numFmtId="182" fontId="25" fillId="0" borderId="2" xfId="0" applyNumberFormat="1" applyFont="1" applyBorder="1" applyAlignment="1">
      <alignment horizontal="center" vertical="top" wrapText="1"/>
    </xf>
    <xf numFmtId="183" fontId="2" fillId="0" borderId="0" xfId="0" applyNumberFormat="1" applyFont="1"/>
    <xf numFmtId="0" fontId="2" fillId="0" borderId="5" xfId="0" applyFont="1" applyBorder="1" applyAlignment="1">
      <alignment vertical="top" wrapText="1"/>
    </xf>
    <xf numFmtId="0" fontId="2" fillId="0" borderId="5" xfId="0" applyFont="1" applyBorder="1" applyAlignment="1">
      <alignment horizontal="left"/>
    </xf>
    <xf numFmtId="178" fontId="2" fillId="0" borderId="5" xfId="0" applyNumberFormat="1" applyFont="1" applyBorder="1" applyAlignment="1">
      <alignment horizontal="center"/>
    </xf>
    <xf numFmtId="0" fontId="2" fillId="0" borderId="6" xfId="0" applyFont="1" applyBorder="1" applyAlignment="1">
      <alignment vertical="top" wrapText="1"/>
    </xf>
    <xf numFmtId="0" fontId="2" fillId="0" borderId="6" xfId="0" applyFont="1" applyBorder="1" applyAlignment="1">
      <alignment horizontal="left"/>
    </xf>
    <xf numFmtId="179" fontId="2" fillId="0" borderId="6" xfId="0" applyNumberFormat="1" applyFont="1" applyBorder="1" applyAlignment="1">
      <alignment horizontal="center" vertical="top" wrapText="1"/>
    </xf>
    <xf numFmtId="0" fontId="2" fillId="0" borderId="7" xfId="0" applyFont="1" applyBorder="1" applyAlignment="1">
      <alignment vertical="top" wrapText="1"/>
    </xf>
    <xf numFmtId="0" fontId="2" fillId="0" borderId="7" xfId="0" applyFont="1" applyBorder="1" applyAlignment="1">
      <alignment horizontal="left"/>
    </xf>
    <xf numFmtId="180" fontId="2" fillId="0" borderId="7" xfId="0" applyNumberFormat="1" applyFont="1" applyBorder="1" applyAlignment="1">
      <alignment horizontal="center" vertical="top" wrapText="1"/>
    </xf>
    <xf numFmtId="0" fontId="25" fillId="0" borderId="2" xfId="0" applyFont="1" applyBorder="1" applyAlignment="1">
      <alignment vertical="top" wrapText="1"/>
    </xf>
    <xf numFmtId="0" fontId="2" fillId="0" borderId="2" xfId="0" applyFont="1" applyBorder="1" applyAlignment="1">
      <alignment horizontal="center" vertical="top" wrapText="1"/>
    </xf>
    <xf numFmtId="182" fontId="25" fillId="0" borderId="3" xfId="0" applyNumberFormat="1" applyFont="1" applyBorder="1" applyAlignment="1">
      <alignment horizontal="center" vertical="top" wrapText="1"/>
    </xf>
    <xf numFmtId="184" fontId="2" fillId="0" borderId="0" xfId="0" applyNumberFormat="1" applyFont="1"/>
    <xf numFmtId="0" fontId="2" fillId="0" borderId="14" xfId="0" applyFont="1" applyBorder="1" applyAlignment="1">
      <alignment horizontal="left" vertical="top" wrapText="1"/>
    </xf>
    <xf numFmtId="0" fontId="2" fillId="0" borderId="9" xfId="0" applyFont="1" applyBorder="1" applyAlignment="1">
      <alignment vertical="top" wrapText="1"/>
    </xf>
    <xf numFmtId="0" fontId="2" fillId="0" borderId="12" xfId="0" applyFont="1" applyBorder="1" applyAlignment="1">
      <alignment vertical="top" wrapText="1"/>
    </xf>
    <xf numFmtId="0" fontId="2" fillId="0" borderId="1" xfId="0" applyFont="1" applyBorder="1" applyAlignment="1">
      <alignment horizontal="center" vertical="top" wrapText="1"/>
    </xf>
    <xf numFmtId="0" fontId="25" fillId="0" borderId="1" xfId="0" applyFont="1" applyBorder="1" applyAlignment="1">
      <alignment horizontal="center" vertical="top" wrapText="1"/>
    </xf>
    <xf numFmtId="0" fontId="2" fillId="0" borderId="2" xfId="0" applyFont="1" applyBorder="1" applyAlignment="1">
      <alignment horizontal="left"/>
    </xf>
    <xf numFmtId="0" fontId="2" fillId="0" borderId="14" xfId="0" applyFont="1" applyBorder="1"/>
    <xf numFmtId="182" fontId="2" fillId="0" borderId="15" xfId="0" applyNumberFormat="1" applyFont="1" applyBorder="1" applyAlignment="1">
      <alignment horizontal="center" vertical="top" wrapText="1"/>
    </xf>
    <xf numFmtId="0" fontId="2" fillId="0" borderId="9" xfId="0" applyFont="1" applyBorder="1"/>
    <xf numFmtId="182" fontId="2" fillId="0" borderId="10" xfId="0" applyNumberFormat="1" applyFont="1" applyBorder="1" applyAlignment="1">
      <alignment horizontal="center" vertical="top" wrapText="1"/>
    </xf>
    <xf numFmtId="0" fontId="2" fillId="0" borderId="12" xfId="0" applyFont="1" applyBorder="1"/>
    <xf numFmtId="182" fontId="2" fillId="0" borderId="11" xfId="0" applyNumberFormat="1" applyFont="1" applyBorder="1" applyAlignment="1">
      <alignment horizontal="center" vertical="top" wrapText="1"/>
    </xf>
    <xf numFmtId="0" fontId="25" fillId="0" borderId="1" xfId="0" applyFont="1" applyBorder="1"/>
    <xf numFmtId="0" fontId="2" fillId="0" borderId="14" xfId="0" applyFont="1" applyBorder="1" applyAlignment="1">
      <alignment vertical="top" wrapText="1"/>
    </xf>
    <xf numFmtId="172" fontId="2" fillId="0" borderId="15" xfId="0" applyNumberFormat="1" applyFont="1" applyBorder="1" applyAlignment="1">
      <alignment horizontal="center" vertical="center"/>
    </xf>
    <xf numFmtId="173" fontId="2" fillId="0" borderId="11" xfId="0" applyNumberFormat="1" applyFont="1" applyBorder="1" applyAlignment="1">
      <alignment horizontal="center"/>
    </xf>
    <xf numFmtId="0" fontId="25" fillId="0" borderId="2" xfId="0" applyFont="1" applyBorder="1" applyAlignment="1">
      <alignment horizontal="left" vertical="top" wrapText="1"/>
    </xf>
    <xf numFmtId="0" fontId="2" fillId="0" borderId="1" xfId="0" applyFont="1" applyBorder="1" applyAlignment="1">
      <alignment horizontal="center"/>
    </xf>
    <xf numFmtId="0" fontId="2" fillId="0" borderId="5" xfId="0" applyFont="1" applyBorder="1" applyAlignment="1">
      <alignment horizontal="center" vertical="center"/>
    </xf>
    <xf numFmtId="0" fontId="2" fillId="0" borderId="6" xfId="0" applyFont="1" applyBorder="1" applyAlignment="1">
      <alignment vertical="center" wrapText="1"/>
    </xf>
    <xf numFmtId="0" fontId="2" fillId="0" borderId="6" xfId="0" applyFont="1" applyBorder="1" applyAlignment="1">
      <alignment horizontal="center" vertical="center"/>
    </xf>
    <xf numFmtId="3" fontId="2" fillId="0" borderId="10" xfId="0" applyNumberFormat="1" applyFont="1" applyBorder="1" applyAlignment="1">
      <alignment horizontal="center" vertical="center" wrapText="1"/>
    </xf>
    <xf numFmtId="0" fontId="2" fillId="0" borderId="7" xfId="0" applyFont="1" applyBorder="1" applyAlignment="1">
      <alignment vertical="center" wrapText="1"/>
    </xf>
    <xf numFmtId="0" fontId="2" fillId="0" borderId="7" xfId="0" applyFont="1" applyBorder="1" applyAlignment="1">
      <alignment horizontal="center" vertical="center"/>
    </xf>
    <xf numFmtId="3" fontId="2" fillId="0" borderId="11" xfId="0" applyNumberFormat="1" applyFont="1" applyBorder="1" applyAlignment="1">
      <alignment horizontal="center" vertical="center" wrapText="1"/>
    </xf>
    <xf numFmtId="0" fontId="33" fillId="0" borderId="0" xfId="0" applyFont="1" applyAlignment="1">
      <alignment vertical="top" wrapText="1"/>
    </xf>
    <xf numFmtId="4" fontId="2" fillId="0" borderId="0" xfId="0" applyNumberFormat="1" applyFont="1" applyAlignment="1">
      <alignment horizontal="left" vertical="top" wrapText="1"/>
    </xf>
    <xf numFmtId="0" fontId="26" fillId="0" borderId="0" xfId="0" applyFont="1" applyAlignment="1">
      <alignment vertical="top" wrapText="1"/>
    </xf>
    <xf numFmtId="0" fontId="35" fillId="0" borderId="14" xfId="0" applyFont="1" applyBorder="1"/>
    <xf numFmtId="185" fontId="2" fillId="0" borderId="10" xfId="0" applyNumberFormat="1" applyFont="1" applyBorder="1" applyAlignment="1">
      <alignment horizontal="center" vertical="top" wrapText="1"/>
    </xf>
    <xf numFmtId="0" fontId="35" fillId="0" borderId="9" xfId="0" applyFont="1" applyBorder="1"/>
    <xf numFmtId="0" fontId="35" fillId="0" borderId="6" xfId="0" applyFont="1" applyBorder="1"/>
    <xf numFmtId="0" fontId="35" fillId="0" borderId="9" xfId="0" applyFont="1" applyBorder="1" applyAlignment="1">
      <alignment horizontal="left" vertical="top" wrapText="1"/>
    </xf>
    <xf numFmtId="3" fontId="2" fillId="0" borderId="9" xfId="0" applyNumberFormat="1" applyFont="1" applyBorder="1" applyAlignment="1">
      <alignment vertical="top" wrapText="1"/>
    </xf>
    <xf numFmtId="186" fontId="2" fillId="0" borderId="10" xfId="0" applyNumberFormat="1" applyFont="1" applyBorder="1" applyAlignment="1">
      <alignment horizontal="center" vertical="top" wrapText="1"/>
    </xf>
    <xf numFmtId="187" fontId="2" fillId="0" borderId="10" xfId="0" applyNumberFormat="1" applyFont="1" applyBorder="1" applyAlignment="1">
      <alignment horizontal="center" vertical="top" wrapText="1"/>
    </xf>
    <xf numFmtId="3" fontId="2" fillId="0" borderId="12" xfId="0" applyNumberFormat="1" applyFont="1" applyBorder="1" applyAlignment="1">
      <alignment vertical="top" wrapText="1"/>
    </xf>
    <xf numFmtId="188" fontId="2" fillId="0" borderId="11" xfId="0" applyNumberFormat="1" applyFont="1" applyBorder="1" applyAlignment="1">
      <alignment horizontal="center" vertical="top" wrapText="1"/>
    </xf>
    <xf numFmtId="0" fontId="33" fillId="0" borderId="0" xfId="0" applyFont="1" applyAlignment="1">
      <alignment wrapText="1"/>
    </xf>
    <xf numFmtId="0" fontId="34" fillId="0" borderId="0" xfId="0" applyFont="1" applyAlignment="1">
      <alignment horizontal="left" wrapText="1"/>
    </xf>
    <xf numFmtId="0" fontId="34" fillId="0" borderId="0" xfId="0" applyFont="1" applyAlignment="1">
      <alignment horizontal="center" wrapText="1"/>
    </xf>
    <xf numFmtId="0" fontId="2" fillId="0" borderId="0" xfId="0" applyFont="1" applyAlignment="1">
      <alignment wrapText="1"/>
    </xf>
    <xf numFmtId="0" fontId="2" fillId="0" borderId="2" xfId="0" applyFont="1" applyBorder="1" applyAlignment="1">
      <alignment horizontal="left" vertical="center" wrapText="1"/>
    </xf>
    <xf numFmtId="189" fontId="25" fillId="0" borderId="3" xfId="0" applyNumberFormat="1" applyFont="1" applyBorder="1" applyAlignment="1">
      <alignment horizontal="center" vertical="center" wrapText="1"/>
    </xf>
    <xf numFmtId="190" fontId="2" fillId="0" borderId="0" xfId="0" applyNumberFormat="1" applyFont="1"/>
    <xf numFmtId="0" fontId="26" fillId="0" borderId="2" xfId="0" applyFont="1" applyBorder="1" applyAlignment="1">
      <alignment horizontal="center"/>
    </xf>
    <xf numFmtId="189" fontId="2" fillId="0" borderId="15" xfId="0" applyNumberFormat="1" applyFont="1" applyBorder="1" applyAlignment="1">
      <alignment horizontal="center" vertical="center" wrapText="1"/>
    </xf>
    <xf numFmtId="189" fontId="2" fillId="0" borderId="10" xfId="0" applyNumberFormat="1" applyFont="1" applyBorder="1" applyAlignment="1">
      <alignment horizontal="center" vertical="center" wrapText="1"/>
    </xf>
    <xf numFmtId="0" fontId="2" fillId="0" borderId="7" xfId="0" applyFont="1" applyBorder="1" applyAlignment="1">
      <alignment horizontal="center" vertical="top" wrapText="1"/>
    </xf>
    <xf numFmtId="189" fontId="2" fillId="0" borderId="11" xfId="0" applyNumberFormat="1" applyFont="1" applyBorder="1" applyAlignment="1">
      <alignment horizontal="center" vertical="center" wrapText="1"/>
    </xf>
    <xf numFmtId="191" fontId="2" fillId="0" borderId="0" xfId="0" applyNumberFormat="1" applyFont="1"/>
    <xf numFmtId="3" fontId="37" fillId="0" borderId="0" xfId="0" applyNumberFormat="1" applyFont="1"/>
    <xf numFmtId="3" fontId="2" fillId="0" borderId="2" xfId="0" applyNumberFormat="1" applyFont="1" applyBorder="1"/>
    <xf numFmtId="3" fontId="25" fillId="0" borderId="0" xfId="0" applyNumberFormat="1" applyFont="1"/>
    <xf numFmtId="0" fontId="2" fillId="0" borderId="16" xfId="0" applyFont="1" applyBorder="1"/>
    <xf numFmtId="3" fontId="2" fillId="0" borderId="16" xfId="0" applyNumberFormat="1" applyFont="1" applyBorder="1" applyAlignment="1">
      <alignment horizontal="center"/>
    </xf>
    <xf numFmtId="0" fontId="2" fillId="0" borderId="17" xfId="0" applyFont="1" applyBorder="1"/>
    <xf numFmtId="3" fontId="2" fillId="0" borderId="17" xfId="0" applyNumberFormat="1" applyFont="1" applyBorder="1" applyAlignment="1">
      <alignment horizontal="center"/>
    </xf>
    <xf numFmtId="171" fontId="2" fillId="0" borderId="0" xfId="0" applyNumberFormat="1" applyFont="1"/>
    <xf numFmtId="0" fontId="2" fillId="0" borderId="18" xfId="0" applyFont="1" applyBorder="1"/>
    <xf numFmtId="3" fontId="2" fillId="0" borderId="18" xfId="0" applyNumberFormat="1" applyFont="1" applyBorder="1" applyAlignment="1">
      <alignment horizontal="center"/>
    </xf>
    <xf numFmtId="3" fontId="2" fillId="0" borderId="16" xfId="0" applyNumberFormat="1" applyFont="1" applyBorder="1" applyAlignment="1">
      <alignment wrapText="1"/>
    </xf>
    <xf numFmtId="3" fontId="2" fillId="0" borderId="17" xfId="0" applyNumberFormat="1" applyFont="1" applyBorder="1" applyAlignment="1">
      <alignment wrapText="1"/>
    </xf>
    <xf numFmtId="3" fontId="2" fillId="0" borderId="18" xfId="0" applyNumberFormat="1" applyFont="1" applyBorder="1" applyAlignment="1">
      <alignment wrapText="1"/>
    </xf>
    <xf numFmtId="3" fontId="25" fillId="0" borderId="2" xfId="0" applyNumberFormat="1" applyFont="1" applyBorder="1" applyAlignment="1">
      <alignment wrapText="1"/>
    </xf>
    <xf numFmtId="0" fontId="25" fillId="0" borderId="2" xfId="0" applyFont="1" applyBorder="1"/>
    <xf numFmtId="0" fontId="2" fillId="0" borderId="2" xfId="0" applyFont="1" applyBorder="1"/>
    <xf numFmtId="0" fontId="23" fillId="0" borderId="16" xfId="0" applyFont="1" applyBorder="1"/>
    <xf numFmtId="0" fontId="2" fillId="0" borderId="17" xfId="0" applyFont="1" applyBorder="1" applyAlignment="1">
      <alignment horizontal="left"/>
    </xf>
    <xf numFmtId="0" fontId="23" fillId="0" borderId="17" xfId="0" applyFont="1" applyBorder="1"/>
    <xf numFmtId="0" fontId="2" fillId="0" borderId="17" xfId="0" applyFont="1" applyBorder="1" applyAlignment="1">
      <alignment horizontal="left" indent="1"/>
    </xf>
    <xf numFmtId="3" fontId="25" fillId="0" borderId="22" xfId="0" applyNumberFormat="1" applyFont="1" applyBorder="1" applyAlignment="1">
      <alignment horizontal="center"/>
    </xf>
    <xf numFmtId="3" fontId="25" fillId="0" borderId="23" xfId="0" applyNumberFormat="1" applyFont="1" applyBorder="1" applyAlignment="1">
      <alignment horizontal="center" vertical="center" wrapText="1"/>
    </xf>
    <xf numFmtId="3" fontId="2" fillId="0" borderId="22" xfId="0" applyNumberFormat="1" applyFont="1" applyBorder="1" applyAlignment="1">
      <alignment horizontal="center" vertical="center" wrapText="1"/>
    </xf>
    <xf numFmtId="3" fontId="2" fillId="0" borderId="24" xfId="0" applyNumberFormat="1" applyFont="1" applyBorder="1" applyAlignment="1">
      <alignment horizontal="center" vertical="center" wrapText="1"/>
    </xf>
    <xf numFmtId="3" fontId="2" fillId="0" borderId="25" xfId="0" applyNumberFormat="1" applyFont="1" applyBorder="1" applyAlignment="1">
      <alignment horizontal="center" vertical="center" wrapText="1"/>
    </xf>
    <xf numFmtId="3" fontId="2" fillId="0" borderId="26" xfId="0" applyNumberFormat="1" applyFont="1" applyBorder="1" applyAlignment="1">
      <alignment horizontal="center" vertical="center" wrapText="1"/>
    </xf>
    <xf numFmtId="3" fontId="2" fillId="0" borderId="27" xfId="0" applyNumberFormat="1" applyFont="1" applyBorder="1" applyAlignment="1">
      <alignment horizontal="center" vertical="center" wrapText="1"/>
    </xf>
    <xf numFmtId="3" fontId="2" fillId="0" borderId="28" xfId="0" applyNumberFormat="1" applyFont="1" applyBorder="1" applyAlignment="1">
      <alignment horizontal="center" vertical="center" wrapText="1"/>
    </xf>
    <xf numFmtId="3" fontId="25" fillId="0" borderId="0" xfId="0" applyNumberFormat="1" applyFont="1" applyAlignment="1">
      <alignment horizontal="center"/>
    </xf>
    <xf numFmtId="3" fontId="25"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4" fontId="2" fillId="0" borderId="0" xfId="0" applyNumberFormat="1" applyFont="1"/>
    <xf numFmtId="192" fontId="2" fillId="0" borderId="0" xfId="0" applyNumberFormat="1" applyFont="1"/>
    <xf numFmtId="165" fontId="2" fillId="0" borderId="0" xfId="0" applyNumberFormat="1" applyFont="1"/>
    <xf numFmtId="3" fontId="40" fillId="0" borderId="0" xfId="0" applyNumberFormat="1" applyFont="1"/>
    <xf numFmtId="165" fontId="41" fillId="0" borderId="0" xfId="0" applyNumberFormat="1" applyFont="1"/>
    <xf numFmtId="3" fontId="41" fillId="0" borderId="0" xfId="0" applyNumberFormat="1" applyFont="1"/>
    <xf numFmtId="0" fontId="1" fillId="0" borderId="0" xfId="0" applyFont="1" applyAlignment="1">
      <alignment horizontal="left"/>
    </xf>
    <xf numFmtId="3" fontId="16" fillId="0" borderId="0" xfId="0" applyNumberFormat="1" applyFont="1" applyAlignment="1">
      <alignment horizontal="left"/>
    </xf>
    <xf numFmtId="3" fontId="8" fillId="0" borderId="0" xfId="0" applyNumberFormat="1" applyFont="1" applyAlignment="1">
      <alignment horizontal="center"/>
    </xf>
    <xf numFmtId="3" fontId="5" fillId="0" borderId="0" xfId="0" applyNumberFormat="1" applyFont="1" applyAlignment="1">
      <alignment horizontal="center"/>
    </xf>
    <xf numFmtId="0" fontId="5" fillId="0" borderId="0" xfId="0" applyFont="1" applyAlignment="1">
      <alignment horizontal="center"/>
    </xf>
    <xf numFmtId="1" fontId="6" fillId="0" borderId="0" xfId="0" applyNumberFormat="1" applyFont="1" applyAlignment="1">
      <alignment horizontal="center"/>
    </xf>
    <xf numFmtId="3" fontId="6" fillId="0" borderId="2" xfId="0" applyNumberFormat="1" applyFont="1" applyBorder="1"/>
    <xf numFmtId="3" fontId="8" fillId="0" borderId="0" xfId="0" applyNumberFormat="1" applyFont="1" applyAlignment="1">
      <alignment horizontal="left"/>
    </xf>
    <xf numFmtId="3" fontId="42" fillId="0" borderId="0" xfId="0" applyNumberFormat="1" applyFont="1"/>
    <xf numFmtId="3" fontId="43" fillId="0" borderId="0" xfId="0" applyNumberFormat="1" applyFont="1" applyAlignment="1">
      <alignment horizontal="center"/>
    </xf>
    <xf numFmtId="1" fontId="6" fillId="0" borderId="2" xfId="0" applyNumberFormat="1" applyFont="1" applyBorder="1" applyAlignment="1">
      <alignment horizontal="center" vertical="center"/>
    </xf>
    <xf numFmtId="3" fontId="8" fillId="0" borderId="14" xfId="0" applyNumberFormat="1" applyFont="1" applyBorder="1" applyAlignment="1">
      <alignment horizontal="left"/>
    </xf>
    <xf numFmtId="3" fontId="10" fillId="0" borderId="5" xfId="0" applyNumberFormat="1" applyFont="1" applyBorder="1" applyAlignment="1">
      <alignment horizontal="center"/>
    </xf>
    <xf numFmtId="3" fontId="8" fillId="0" borderId="9" xfId="0" applyNumberFormat="1" applyFont="1" applyBorder="1" applyAlignment="1">
      <alignment horizontal="left"/>
    </xf>
    <xf numFmtId="3" fontId="8" fillId="0" borderId="10" xfId="0" applyNumberFormat="1" applyFont="1" applyBorder="1" applyAlignment="1">
      <alignment horizontal="center"/>
    </xf>
    <xf numFmtId="3" fontId="8" fillId="0" borderId="12" xfId="0" applyNumberFormat="1" applyFont="1" applyBorder="1" applyAlignment="1">
      <alignment horizontal="left"/>
    </xf>
    <xf numFmtId="3" fontId="6" fillId="0" borderId="11" xfId="0" applyNumberFormat="1" applyFont="1" applyBorder="1" applyAlignment="1">
      <alignment horizontal="center"/>
    </xf>
    <xf numFmtId="165" fontId="10" fillId="0" borderId="6" xfId="0" applyNumberFormat="1" applyFont="1" applyBorder="1" applyAlignment="1">
      <alignment horizontal="center"/>
    </xf>
    <xf numFmtId="3" fontId="16" fillId="0" borderId="0" xfId="0" applyNumberFormat="1" applyFont="1"/>
    <xf numFmtId="3" fontId="8" fillId="0" borderId="14" xfId="0" applyNumberFormat="1" applyFont="1" applyBorder="1" applyAlignment="1">
      <alignment vertical="center"/>
    </xf>
    <xf numFmtId="3" fontId="44" fillId="0" borderId="5" xfId="0" applyNumberFormat="1" applyFont="1" applyBorder="1"/>
    <xf numFmtId="3" fontId="8" fillId="0" borderId="8" xfId="0" applyNumberFormat="1" applyFont="1" applyBorder="1" applyAlignment="1">
      <alignment horizontal="center" vertical="center"/>
    </xf>
    <xf numFmtId="4" fontId="8" fillId="0" borderId="0" xfId="0" applyNumberFormat="1" applyFont="1"/>
    <xf numFmtId="4" fontId="8" fillId="0" borderId="5" xfId="3" applyNumberFormat="1" applyFont="1" applyBorder="1" applyAlignment="1">
      <alignment horizontal="center" vertical="center"/>
    </xf>
    <xf numFmtId="3" fontId="8" fillId="0" borderId="9" xfId="0" applyNumberFormat="1" applyFont="1" applyBorder="1" applyAlignment="1">
      <alignment vertical="center"/>
    </xf>
    <xf numFmtId="3" fontId="44" fillId="0" borderId="6" xfId="0" applyNumberFormat="1" applyFont="1" applyBorder="1"/>
    <xf numFmtId="3" fontId="8" fillId="0" borderId="0" xfId="0" applyNumberFormat="1" applyFont="1" applyAlignment="1">
      <alignment horizontal="center" vertical="center"/>
    </xf>
    <xf numFmtId="4" fontId="8" fillId="0" borderId="6" xfId="3" applyNumberFormat="1" applyFont="1" applyBorder="1" applyAlignment="1">
      <alignment horizontal="center" vertical="center"/>
    </xf>
    <xf numFmtId="3" fontId="8" fillId="0" borderId="12" xfId="0" applyNumberFormat="1" applyFont="1" applyBorder="1" applyAlignment="1">
      <alignment vertical="center"/>
    </xf>
    <xf numFmtId="3" fontId="44" fillId="0" borderId="7" xfId="0" applyNumberFormat="1" applyFont="1" applyBorder="1"/>
    <xf numFmtId="3" fontId="8" fillId="0" borderId="13" xfId="0" applyNumberFormat="1" applyFont="1" applyBorder="1" applyAlignment="1">
      <alignment horizontal="center" vertical="center"/>
    </xf>
    <xf numFmtId="3" fontId="10" fillId="0" borderId="7" xfId="0" applyNumberFormat="1" applyFont="1" applyBorder="1" applyAlignment="1">
      <alignment horizontal="center"/>
    </xf>
    <xf numFmtId="3" fontId="8" fillId="0" borderId="9" xfId="0" applyNumberFormat="1" applyFont="1" applyBorder="1" applyAlignment="1">
      <alignment horizontal="center"/>
    </xf>
    <xf numFmtId="3" fontId="6" fillId="0" borderId="5" xfId="0" applyNumberFormat="1" applyFont="1" applyBorder="1" applyAlignment="1">
      <alignment vertical="center"/>
    </xf>
    <xf numFmtId="3" fontId="8" fillId="0" borderId="5" xfId="0" applyNumberFormat="1" applyFont="1" applyBorder="1" applyAlignment="1">
      <alignment horizontal="left" vertical="center"/>
    </xf>
    <xf numFmtId="3" fontId="8" fillId="0" borderId="2" xfId="0" applyNumberFormat="1" applyFont="1" applyBorder="1"/>
    <xf numFmtId="10" fontId="8" fillId="0" borderId="0" xfId="3" applyNumberFormat="1" applyFont="1"/>
    <xf numFmtId="3" fontId="8" fillId="0" borderId="5" xfId="0" applyNumberFormat="1" applyFont="1" applyBorder="1" applyAlignment="1">
      <alignment vertical="center"/>
    </xf>
    <xf numFmtId="3" fontId="8" fillId="0" borderId="9" xfId="0" applyNumberFormat="1" applyFont="1" applyBorder="1" applyAlignment="1">
      <alignment horizontal="center" vertical="center"/>
    </xf>
    <xf numFmtId="4" fontId="8" fillId="0" borderId="5" xfId="0" applyNumberFormat="1" applyFont="1" applyBorder="1" applyAlignment="1">
      <alignment horizontal="center" vertical="center"/>
    </xf>
    <xf numFmtId="165" fontId="10" fillId="0" borderId="0" xfId="3" applyNumberFormat="1" applyFont="1"/>
    <xf numFmtId="0" fontId="8" fillId="0" borderId="6" xfId="0" applyFont="1" applyBorder="1" applyAlignment="1">
      <alignment vertical="center" wrapText="1"/>
    </xf>
    <xf numFmtId="0" fontId="8" fillId="0" borderId="6" xfId="0" applyFont="1" applyBorder="1" applyAlignment="1">
      <alignment horizontal="left" vertical="center" wrapText="1"/>
    </xf>
    <xf numFmtId="4" fontId="10" fillId="0" borderId="6" xfId="0" applyNumberFormat="1" applyFont="1" applyBorder="1" applyAlignment="1">
      <alignment horizontal="center"/>
    </xf>
    <xf numFmtId="3" fontId="8" fillId="0" borderId="7" xfId="0" applyNumberFormat="1" applyFont="1" applyBorder="1" applyAlignment="1">
      <alignment vertical="center"/>
    </xf>
    <xf numFmtId="3" fontId="8" fillId="0" borderId="6" xfId="0" applyNumberFormat="1" applyFont="1" applyBorder="1" applyAlignment="1">
      <alignment horizontal="left" vertical="center"/>
    </xf>
    <xf numFmtId="4" fontId="8" fillId="0" borderId="7" xfId="0" applyNumberFormat="1" applyFont="1" applyBorder="1" applyAlignment="1">
      <alignment horizontal="center" vertical="center"/>
    </xf>
    <xf numFmtId="3" fontId="6" fillId="0" borderId="2" xfId="0" applyNumberFormat="1" applyFont="1" applyBorder="1" applyAlignment="1">
      <alignment vertical="center"/>
    </xf>
    <xf numFmtId="3" fontId="8" fillId="0" borderId="2" xfId="0" applyNumberFormat="1" applyFont="1" applyBorder="1" applyAlignment="1">
      <alignment horizontal="left" vertical="center"/>
    </xf>
    <xf numFmtId="3" fontId="6" fillId="0" borderId="4" xfId="0" applyNumberFormat="1" applyFont="1" applyBorder="1" applyAlignment="1">
      <alignment horizontal="center" vertical="center"/>
    </xf>
    <xf numFmtId="4" fontId="10" fillId="0" borderId="0" xfId="0" applyNumberFormat="1" applyFont="1"/>
    <xf numFmtId="3" fontId="6" fillId="0" borderId="0" xfId="0" applyNumberFormat="1" applyFont="1" applyAlignment="1">
      <alignment vertical="center"/>
    </xf>
    <xf numFmtId="3" fontId="8" fillId="0" borderId="0" xfId="0" applyNumberFormat="1" applyFont="1" applyAlignment="1">
      <alignment horizontal="left" vertical="center"/>
    </xf>
    <xf numFmtId="3" fontId="6" fillId="0" borderId="0" xfId="0" applyNumberFormat="1" applyFont="1" applyAlignment="1">
      <alignment horizontal="center" vertical="center"/>
    </xf>
    <xf numFmtId="4" fontId="6" fillId="0" borderId="0" xfId="0" applyNumberFormat="1" applyFont="1" applyAlignment="1">
      <alignment horizontal="center" vertical="center"/>
    </xf>
    <xf numFmtId="3" fontId="8" fillId="0" borderId="0" xfId="0" applyNumberFormat="1" applyFont="1" applyAlignment="1">
      <alignment vertical="center"/>
    </xf>
    <xf numFmtId="3" fontId="6" fillId="0" borderId="1" xfId="0" applyNumberFormat="1" applyFont="1" applyBorder="1" applyAlignment="1">
      <alignment vertical="center"/>
    </xf>
    <xf numFmtId="3" fontId="8" fillId="0" borderId="4" xfId="0" applyNumberFormat="1" applyFont="1" applyBorder="1" applyAlignment="1">
      <alignment horizontal="center" vertical="center"/>
    </xf>
    <xf numFmtId="4" fontId="6" fillId="0" borderId="0" xfId="0" applyNumberFormat="1" applyFont="1"/>
    <xf numFmtId="3" fontId="16" fillId="0" borderId="9" xfId="0" applyNumberFormat="1" applyFont="1" applyBorder="1" applyAlignment="1">
      <alignment vertical="center"/>
    </xf>
    <xf numFmtId="165" fontId="8" fillId="0" borderId="6" xfId="3" applyNumberFormat="1" applyFont="1" applyBorder="1" applyAlignment="1">
      <alignment horizontal="center" vertical="center"/>
    </xf>
    <xf numFmtId="3" fontId="8" fillId="0" borderId="9" xfId="0" applyNumberFormat="1" applyFont="1" applyBorder="1"/>
    <xf numFmtId="4" fontId="10" fillId="0" borderId="0" xfId="3" applyNumberFormat="1" applyFont="1"/>
    <xf numFmtId="3" fontId="8" fillId="0" borderId="7" xfId="0" applyNumberFormat="1" applyFont="1" applyBorder="1" applyAlignment="1">
      <alignment horizontal="left" vertical="center"/>
    </xf>
    <xf numFmtId="165" fontId="8" fillId="0" borderId="7" xfId="3" applyNumberFormat="1" applyFont="1" applyBorder="1" applyAlignment="1">
      <alignment horizontal="center" vertical="center"/>
    </xf>
    <xf numFmtId="165" fontId="8" fillId="0" borderId="0" xfId="3" applyNumberFormat="1" applyFont="1"/>
    <xf numFmtId="3" fontId="6" fillId="0" borderId="14" xfId="0" applyNumberFormat="1" applyFont="1" applyBorder="1" applyAlignment="1">
      <alignment horizontal="center" vertical="center"/>
    </xf>
    <xf numFmtId="165" fontId="6" fillId="0" borderId="2" xfId="3" applyNumberFormat="1" applyFont="1" applyBorder="1" applyAlignment="1">
      <alignment horizontal="center" vertical="center"/>
    </xf>
    <xf numFmtId="165" fontId="6" fillId="0" borderId="0" xfId="3" applyNumberFormat="1" applyFont="1"/>
    <xf numFmtId="3" fontId="8" fillId="0" borderId="1" xfId="0" applyNumberFormat="1" applyFont="1" applyBorder="1" applyAlignment="1">
      <alignment vertical="center"/>
    </xf>
    <xf numFmtId="3" fontId="8" fillId="0" borderId="4" xfId="0" applyNumberFormat="1" applyFont="1" applyBorder="1" applyAlignment="1">
      <alignment horizontal="left" vertical="center"/>
    </xf>
    <xf numFmtId="165" fontId="8" fillId="0" borderId="4" xfId="3" applyNumberFormat="1" applyFont="1" applyBorder="1" applyAlignment="1">
      <alignment horizontal="center" vertical="center"/>
    </xf>
    <xf numFmtId="3" fontId="16" fillId="0" borderId="9" xfId="0" applyNumberFormat="1" applyFont="1" applyBorder="1" applyAlignment="1">
      <alignment horizontal="left" vertical="center"/>
    </xf>
    <xf numFmtId="165" fontId="8" fillId="0" borderId="5" xfId="3" applyNumberFormat="1" applyFont="1" applyBorder="1" applyAlignment="1">
      <alignment horizontal="center" vertical="center"/>
    </xf>
    <xf numFmtId="3" fontId="8" fillId="0" borderId="6" xfId="0" applyNumberFormat="1" applyFont="1" applyBorder="1" applyAlignment="1">
      <alignment horizontal="center" vertical="center"/>
    </xf>
    <xf numFmtId="3" fontId="16" fillId="0" borderId="6" xfId="0" applyNumberFormat="1" applyFont="1" applyBorder="1" applyAlignment="1">
      <alignment horizontal="left" vertical="center"/>
    </xf>
    <xf numFmtId="3" fontId="8" fillId="0" borderId="12" xfId="0" applyNumberFormat="1" applyFont="1" applyBorder="1" applyAlignment="1">
      <alignment horizontal="center" vertical="center"/>
    </xf>
    <xf numFmtId="3" fontId="6" fillId="0" borderId="1" xfId="0" applyNumberFormat="1" applyFont="1" applyBorder="1" applyAlignment="1">
      <alignment horizontal="center" vertical="center"/>
    </xf>
    <xf numFmtId="3" fontId="46" fillId="0" borderId="0" xfId="0" applyNumberFormat="1" applyFont="1" applyAlignment="1">
      <alignment vertical="center"/>
    </xf>
    <xf numFmtId="3" fontId="14" fillId="0" borderId="0" xfId="0" applyNumberFormat="1" applyFont="1" applyAlignment="1">
      <alignment vertical="center"/>
    </xf>
    <xf numFmtId="3" fontId="6" fillId="0" borderId="0" xfId="0" applyNumberFormat="1" applyFont="1"/>
    <xf numFmtId="0" fontId="47" fillId="0" borderId="5" xfId="0" applyFont="1" applyBorder="1" applyAlignment="1">
      <alignment vertical="center" wrapText="1"/>
    </xf>
    <xf numFmtId="0" fontId="47" fillId="0" borderId="5" xfId="0" applyFont="1" applyBorder="1" applyAlignment="1">
      <alignment horizontal="left" vertical="center" wrapText="1"/>
    </xf>
    <xf numFmtId="3" fontId="47" fillId="0" borderId="14" xfId="0" applyNumberFormat="1" applyFont="1" applyBorder="1" applyAlignment="1">
      <alignment horizontal="center"/>
    </xf>
    <xf numFmtId="4" fontId="8" fillId="0" borderId="6" xfId="0" applyNumberFormat="1" applyFont="1" applyBorder="1" applyAlignment="1">
      <alignment horizontal="center"/>
    </xf>
    <xf numFmtId="0" fontId="47" fillId="0" borderId="6" xfId="0" applyFont="1" applyBorder="1" applyAlignment="1">
      <alignment vertical="center" wrapText="1"/>
    </xf>
    <xf numFmtId="10" fontId="10" fillId="0" borderId="6" xfId="3" applyNumberFormat="1" applyFont="1" applyBorder="1" applyAlignment="1">
      <alignment horizontal="center"/>
    </xf>
    <xf numFmtId="0" fontId="47" fillId="0" borderId="9" xfId="0" applyFont="1" applyBorder="1" applyAlignment="1">
      <alignment vertical="center" wrapText="1"/>
    </xf>
    <xf numFmtId="0" fontId="47" fillId="0" borderId="6" xfId="0" applyFont="1" applyBorder="1" applyAlignment="1">
      <alignment horizontal="left" vertical="center" wrapText="1"/>
    </xf>
    <xf numFmtId="3" fontId="47" fillId="0" borderId="9" xfId="0" applyNumberFormat="1" applyFont="1" applyBorder="1" applyAlignment="1">
      <alignment horizontal="center"/>
    </xf>
    <xf numFmtId="165" fontId="8" fillId="0" borderId="6" xfId="0" applyNumberFormat="1" applyFont="1" applyBorder="1" applyAlignment="1">
      <alignment horizontal="center"/>
    </xf>
    <xf numFmtId="3" fontId="47" fillId="0" borderId="9" xfId="0" applyNumberFormat="1" applyFont="1" applyBorder="1"/>
    <xf numFmtId="3" fontId="47" fillId="0" borderId="6" xfId="0" applyNumberFormat="1" applyFont="1" applyBorder="1" applyAlignment="1">
      <alignment horizontal="left"/>
    </xf>
    <xf numFmtId="165" fontId="47" fillId="0" borderId="6" xfId="0" applyNumberFormat="1" applyFont="1" applyBorder="1" applyAlignment="1">
      <alignment horizontal="center"/>
    </xf>
    <xf numFmtId="3" fontId="47" fillId="0" borderId="7" xfId="0" applyNumberFormat="1" applyFont="1" applyBorder="1" applyAlignment="1">
      <alignment horizontal="left"/>
    </xf>
    <xf numFmtId="3" fontId="49" fillId="0" borderId="2" xfId="0" applyNumberFormat="1" applyFont="1" applyBorder="1"/>
    <xf numFmtId="3" fontId="47" fillId="0" borderId="1" xfId="0" applyNumberFormat="1" applyFont="1" applyBorder="1" applyAlignment="1">
      <alignment horizontal="left"/>
    </xf>
    <xf numFmtId="3" fontId="49" fillId="0" borderId="1" xfId="0" applyNumberFormat="1" applyFont="1" applyBorder="1" applyAlignment="1">
      <alignment horizontal="center"/>
    </xf>
    <xf numFmtId="171" fontId="49" fillId="0" borderId="2" xfId="0" applyNumberFormat="1" applyFont="1" applyBorder="1" applyAlignment="1">
      <alignment horizontal="center"/>
    </xf>
    <xf numFmtId="3" fontId="47" fillId="0" borderId="0" xfId="0" applyNumberFormat="1" applyFont="1"/>
    <xf numFmtId="3" fontId="47" fillId="0" borderId="0" xfId="0" applyNumberFormat="1" applyFont="1" applyAlignment="1">
      <alignment horizontal="left"/>
    </xf>
    <xf numFmtId="3" fontId="47" fillId="0" borderId="0" xfId="0" applyNumberFormat="1" applyFont="1" applyAlignment="1">
      <alignment horizontal="center"/>
    </xf>
    <xf numFmtId="3" fontId="49" fillId="0" borderId="0" xfId="0" applyNumberFormat="1" applyFont="1"/>
    <xf numFmtId="0" fontId="47" fillId="0" borderId="14" xfId="0" applyFont="1" applyBorder="1" applyAlignment="1">
      <alignment vertical="center" wrapText="1"/>
    </xf>
    <xf numFmtId="0" fontId="47" fillId="0" borderId="14" xfId="0" applyFont="1" applyBorder="1" applyAlignment="1">
      <alignment horizontal="left" vertical="center" wrapText="1"/>
    </xf>
    <xf numFmtId="4" fontId="8" fillId="0" borderId="5" xfId="0" applyNumberFormat="1" applyFont="1" applyBorder="1" applyAlignment="1">
      <alignment horizontal="center"/>
    </xf>
    <xf numFmtId="0" fontId="47" fillId="0" borderId="9" xfId="0" applyFont="1" applyBorder="1" applyAlignment="1">
      <alignment horizontal="left" vertical="center" wrapText="1"/>
    </xf>
    <xf numFmtId="3" fontId="47" fillId="0" borderId="9" xfId="0" applyNumberFormat="1" applyFont="1" applyBorder="1" applyAlignment="1">
      <alignment horizontal="left"/>
    </xf>
    <xf numFmtId="4" fontId="8" fillId="0" borderId="7" xfId="0" applyNumberFormat="1" applyFont="1" applyBorder="1" applyAlignment="1">
      <alignment horizontal="center"/>
    </xf>
    <xf numFmtId="3" fontId="8" fillId="0" borderId="2" xfId="0" applyNumberFormat="1" applyFont="1" applyBorder="1" applyAlignment="1">
      <alignment horizontal="left"/>
    </xf>
    <xf numFmtId="3" fontId="6" fillId="0" borderId="2" xfId="0" applyNumberFormat="1" applyFont="1" applyBorder="1" applyAlignment="1">
      <alignment horizontal="center"/>
    </xf>
    <xf numFmtId="171" fontId="6" fillId="0" borderId="2" xfId="0" applyNumberFormat="1" applyFont="1" applyBorder="1" applyAlignment="1">
      <alignment horizontal="center"/>
    </xf>
    <xf numFmtId="3" fontId="46" fillId="0" borderId="0" xfId="0" applyNumberFormat="1" applyFont="1"/>
    <xf numFmtId="3" fontId="14" fillId="0" borderId="0" xfId="0" applyNumberFormat="1" applyFont="1"/>
    <xf numFmtId="3" fontId="6" fillId="0" borderId="0" xfId="0" applyNumberFormat="1" applyFont="1" applyAlignment="1">
      <alignment horizontal="center"/>
    </xf>
    <xf numFmtId="3" fontId="8" fillId="0" borderId="9" xfId="0" applyNumberFormat="1" applyFont="1" applyBorder="1" applyAlignment="1">
      <alignment horizontal="left" vertical="center"/>
    </xf>
    <xf numFmtId="3" fontId="8" fillId="0" borderId="1" xfId="0" applyNumberFormat="1" applyFont="1" applyBorder="1" applyAlignment="1">
      <alignment horizontal="left" vertical="center"/>
    </xf>
    <xf numFmtId="3" fontId="6" fillId="0" borderId="1" xfId="0" applyNumberFormat="1" applyFont="1" applyBorder="1" applyAlignment="1">
      <alignment horizontal="center"/>
    </xf>
    <xf numFmtId="3" fontId="52" fillId="0" borderId="2" xfId="0" applyNumberFormat="1" applyFont="1" applyBorder="1" applyAlignment="1">
      <alignment horizontal="center"/>
    </xf>
    <xf numFmtId="3" fontId="6" fillId="0" borderId="1" xfId="0" applyNumberFormat="1" applyFont="1" applyBorder="1"/>
    <xf numFmtId="3" fontId="8" fillId="0" borderId="1" xfId="0" applyNumberFormat="1" applyFont="1" applyBorder="1" applyAlignment="1">
      <alignment horizontal="left"/>
    </xf>
    <xf numFmtId="3" fontId="6" fillId="0" borderId="0" xfId="5" applyNumberFormat="1" applyFont="1" applyAlignment="1" applyProtection="1">
      <alignment horizontal="center"/>
      <protection locked="0"/>
    </xf>
    <xf numFmtId="3" fontId="8" fillId="0" borderId="0" xfId="5" applyNumberFormat="1" applyFont="1" applyAlignment="1" applyProtection="1">
      <alignment horizontal="left"/>
      <protection locked="0"/>
    </xf>
    <xf numFmtId="3" fontId="8" fillId="0" borderId="3" xfId="0" applyNumberFormat="1" applyFont="1" applyBorder="1" applyAlignment="1">
      <alignment horizontal="left"/>
    </xf>
    <xf numFmtId="3" fontId="8" fillId="0" borderId="10" xfId="0" applyNumberFormat="1" applyFont="1" applyBorder="1" applyAlignment="1">
      <alignment horizontal="left"/>
    </xf>
    <xf numFmtId="3" fontId="10" fillId="0" borderId="6" xfId="0" applyNumberFormat="1" applyFont="1" applyBorder="1" applyAlignment="1">
      <alignment horizontal="center"/>
    </xf>
    <xf numFmtId="3" fontId="6" fillId="0" borderId="7" xfId="0" applyNumberFormat="1" applyFont="1" applyBorder="1"/>
    <xf numFmtId="3" fontId="6" fillId="0" borderId="2" xfId="0" applyNumberFormat="1" applyFont="1" applyBorder="1" applyAlignment="1">
      <alignment horizontal="left"/>
    </xf>
    <xf numFmtId="3" fontId="8" fillId="0" borderId="6" xfId="0" applyNumberFormat="1" applyFont="1" applyBorder="1" applyAlignment="1">
      <alignment horizontal="left"/>
    </xf>
    <xf numFmtId="3" fontId="8" fillId="0" borderId="2" xfId="0" applyNumberFormat="1" applyFont="1" applyBorder="1" applyAlignment="1">
      <alignment horizontal="center"/>
    </xf>
    <xf numFmtId="3" fontId="6" fillId="0" borderId="6" xfId="0" applyNumberFormat="1" applyFont="1" applyBorder="1" applyAlignment="1">
      <alignment horizontal="center"/>
    </xf>
    <xf numFmtId="9" fontId="8" fillId="0" borderId="0" xfId="3" applyFont="1" applyAlignment="1">
      <alignment horizontal="center"/>
    </xf>
    <xf numFmtId="3" fontId="16" fillId="0" borderId="2" xfId="0" applyNumberFormat="1" applyFont="1" applyBorder="1"/>
    <xf numFmtId="3" fontId="8" fillId="0" borderId="14" xfId="0" applyNumberFormat="1" applyFont="1" applyBorder="1"/>
    <xf numFmtId="9" fontId="8" fillId="0" borderId="14" xfId="3" applyFont="1" applyBorder="1" applyAlignment="1">
      <alignment horizontal="left"/>
    </xf>
    <xf numFmtId="3" fontId="8" fillId="0" borderId="15" xfId="3" applyNumberFormat="1" applyFont="1" applyBorder="1" applyAlignment="1">
      <alignment horizontal="center"/>
    </xf>
    <xf numFmtId="3" fontId="8" fillId="0" borderId="0" xfId="3" applyNumberFormat="1" applyFont="1" applyAlignment="1">
      <alignment horizontal="center"/>
    </xf>
    <xf numFmtId="3" fontId="8" fillId="0" borderId="12" xfId="0" applyNumberFormat="1" applyFont="1" applyBorder="1"/>
    <xf numFmtId="9" fontId="8" fillId="0" borderId="12" xfId="3" applyFont="1" applyBorder="1" applyAlignment="1">
      <alignment horizontal="left"/>
    </xf>
    <xf numFmtId="4" fontId="10" fillId="0" borderId="7" xfId="0" applyNumberFormat="1" applyFont="1" applyBorder="1" applyAlignment="1">
      <alignment horizontal="center"/>
    </xf>
    <xf numFmtId="9" fontId="8" fillId="0" borderId="13" xfId="3" applyFont="1" applyBorder="1" applyAlignment="1">
      <alignment horizontal="center"/>
    </xf>
    <xf numFmtId="9" fontId="8" fillId="0" borderId="2" xfId="3" applyFont="1" applyBorder="1" applyAlignment="1">
      <alignment horizontal="center"/>
    </xf>
    <xf numFmtId="9" fontId="8" fillId="0" borderId="2" xfId="3" applyFont="1" applyBorder="1" applyAlignment="1">
      <alignment horizontal="left"/>
    </xf>
    <xf numFmtId="9" fontId="6" fillId="0" borderId="4" xfId="3" applyFont="1" applyBorder="1" applyAlignment="1">
      <alignment horizontal="center"/>
    </xf>
    <xf numFmtId="3" fontId="6" fillId="0" borderId="2" xfId="3" applyNumberFormat="1" applyFont="1" applyBorder="1" applyAlignment="1">
      <alignment horizontal="center"/>
    </xf>
    <xf numFmtId="3" fontId="6" fillId="0" borderId="2" xfId="0" applyNumberFormat="1" applyFont="1" applyBorder="1" applyAlignment="1">
      <alignment wrapText="1"/>
    </xf>
    <xf numFmtId="3" fontId="8" fillId="0" borderId="2" xfId="0" applyNumberFormat="1" applyFont="1" applyBorder="1" applyAlignment="1">
      <alignment wrapText="1"/>
    </xf>
    <xf numFmtId="3" fontId="8" fillId="0" borderId="5" xfId="0" applyNumberFormat="1" applyFont="1" applyBorder="1" applyAlignment="1">
      <alignment horizontal="left"/>
    </xf>
    <xf numFmtId="3" fontId="8" fillId="0" borderId="7" xfId="0" applyNumberFormat="1" applyFont="1" applyBorder="1" applyAlignment="1">
      <alignment horizontal="left"/>
    </xf>
    <xf numFmtId="0" fontId="6" fillId="0" borderId="1" xfId="0" applyFont="1" applyBorder="1" applyAlignment="1">
      <alignment horizontal="left" vertical="center"/>
    </xf>
    <xf numFmtId="0" fontId="53" fillId="0" borderId="0" xfId="0" applyFont="1" applyAlignment="1">
      <alignment horizontal="left" vertical="center"/>
    </xf>
    <xf numFmtId="3" fontId="8" fillId="0" borderId="1" xfId="0" applyNumberFormat="1" applyFont="1" applyBorder="1"/>
    <xf numFmtId="3" fontId="8" fillId="0" borderId="15" xfId="0" applyNumberFormat="1" applyFont="1" applyBorder="1" applyAlignment="1">
      <alignment horizontal="center"/>
    </xf>
    <xf numFmtId="3" fontId="8" fillId="0" borderId="11" xfId="0" applyNumberFormat="1" applyFont="1" applyBorder="1" applyAlignment="1">
      <alignment horizontal="center"/>
    </xf>
    <xf numFmtId="3" fontId="7" fillId="0" borderId="0" xfId="0" applyNumberFormat="1" applyFont="1" applyAlignment="1">
      <alignment vertical="center"/>
    </xf>
    <xf numFmtId="4" fontId="8" fillId="0" borderId="0" xfId="0" applyNumberFormat="1" applyFont="1" applyAlignment="1">
      <alignment vertical="center"/>
    </xf>
    <xf numFmtId="3" fontId="16" fillId="0" borderId="0" xfId="0" applyNumberFormat="1" applyFont="1" applyAlignment="1">
      <alignment horizontal="left" vertical="center" indent="1"/>
    </xf>
    <xf numFmtId="0" fontId="8" fillId="0" borderId="5" xfId="0" applyFont="1" applyBorder="1" applyAlignment="1">
      <alignment horizontal="left"/>
    </xf>
    <xf numFmtId="3" fontId="8" fillId="0" borderId="5" xfId="0" applyNumberFormat="1" applyFont="1" applyBorder="1" applyAlignment="1">
      <alignment horizontal="center" vertical="center"/>
    </xf>
    <xf numFmtId="3" fontId="8" fillId="0" borderId="10" xfId="0" applyNumberFormat="1" applyFont="1" applyBorder="1" applyAlignment="1">
      <alignment horizontal="center" vertical="center"/>
    </xf>
    <xf numFmtId="3" fontId="6" fillId="0" borderId="3" xfId="0" applyNumberFormat="1" applyFont="1" applyBorder="1" applyAlignment="1">
      <alignment horizontal="center" vertical="center"/>
    </xf>
    <xf numFmtId="3" fontId="8" fillId="0" borderId="1" xfId="0" applyNumberFormat="1" applyFont="1" applyBorder="1" applyAlignment="1">
      <alignment horizontal="center" vertical="center"/>
    </xf>
    <xf numFmtId="3" fontId="8" fillId="0" borderId="6" xfId="0" applyNumberFormat="1" applyFont="1" applyBorder="1" applyAlignment="1">
      <alignment vertical="center"/>
    </xf>
    <xf numFmtId="3" fontId="8" fillId="0" borderId="14" xfId="0" applyNumberFormat="1" applyFont="1" applyBorder="1" applyAlignment="1">
      <alignment horizontal="center" vertical="center"/>
    </xf>
    <xf numFmtId="3" fontId="8" fillId="0" borderId="6" xfId="3" applyNumberFormat="1" applyFont="1" applyBorder="1" applyAlignment="1">
      <alignment horizontal="center" vertical="center"/>
    </xf>
    <xf numFmtId="165" fontId="8" fillId="0" borderId="15" xfId="0" applyNumberFormat="1" applyFont="1" applyBorder="1" applyAlignment="1">
      <alignment horizontal="center" vertical="center"/>
    </xf>
    <xf numFmtId="165" fontId="8" fillId="0" borderId="10" xfId="0" applyNumberFormat="1" applyFont="1" applyBorder="1" applyAlignment="1">
      <alignment horizontal="center" vertical="center"/>
    </xf>
    <xf numFmtId="0" fontId="8" fillId="0" borderId="7" xfId="0" applyFont="1" applyBorder="1" applyAlignment="1">
      <alignment horizontal="left"/>
    </xf>
    <xf numFmtId="4" fontId="8" fillId="0" borderId="0" xfId="0" applyNumberFormat="1" applyFont="1" applyAlignment="1">
      <alignment horizontal="center" vertical="center"/>
    </xf>
    <xf numFmtId="3" fontId="16" fillId="0" borderId="0" xfId="0" applyNumberFormat="1" applyFont="1" applyAlignment="1">
      <alignment vertical="center"/>
    </xf>
    <xf numFmtId="3" fontId="16" fillId="0" borderId="0" xfId="0" applyNumberFormat="1" applyFont="1" applyAlignment="1">
      <alignment horizontal="left" vertical="center"/>
    </xf>
    <xf numFmtId="3" fontId="8" fillId="0" borderId="10" xfId="3" applyNumberFormat="1" applyFont="1" applyBorder="1" applyAlignment="1">
      <alignment horizontal="center" vertical="center"/>
    </xf>
    <xf numFmtId="0" fontId="8" fillId="0" borderId="6" xfId="0" applyFont="1" applyBorder="1" applyAlignment="1">
      <alignment horizontal="left"/>
    </xf>
    <xf numFmtId="0" fontId="14" fillId="0" borderId="0" xfId="0" applyFont="1"/>
    <xf numFmtId="3" fontId="16" fillId="0" borderId="1" xfId="0" applyNumberFormat="1" applyFont="1" applyBorder="1" applyAlignment="1">
      <alignment vertical="center"/>
    </xf>
    <xf numFmtId="3" fontId="8" fillId="0" borderId="3" xfId="0" applyNumberFormat="1" applyFont="1" applyBorder="1" applyAlignment="1">
      <alignment vertical="center"/>
    </xf>
    <xf numFmtId="0" fontId="8" fillId="0" borderId="5" xfId="0" applyFont="1" applyBorder="1" applyAlignment="1">
      <alignment horizontal="left" vertical="center" wrapText="1"/>
    </xf>
    <xf numFmtId="3" fontId="8" fillId="0" borderId="7" xfId="0" applyNumberFormat="1" applyFont="1" applyBorder="1" applyAlignment="1">
      <alignment horizontal="center" vertical="center"/>
    </xf>
    <xf numFmtId="3" fontId="8" fillId="0" borderId="0" xfId="0" applyNumberFormat="1" applyFont="1" applyAlignment="1">
      <alignment horizontal="left" vertical="center" wrapText="1"/>
    </xf>
    <xf numFmtId="3" fontId="16" fillId="0" borderId="4" xfId="0" applyNumberFormat="1" applyFont="1" applyBorder="1" applyAlignment="1">
      <alignment horizontal="left" vertical="center"/>
    </xf>
    <xf numFmtId="0" fontId="8" fillId="0" borderId="6" xfId="0" applyFont="1" applyBorder="1" applyAlignment="1">
      <alignment horizontal="left" vertical="center"/>
    </xf>
    <xf numFmtId="3" fontId="8" fillId="0" borderId="2" xfId="0" applyNumberFormat="1" applyFont="1" applyBorder="1" applyAlignment="1">
      <alignment horizontal="left" vertical="center" wrapText="1"/>
    </xf>
    <xf numFmtId="3" fontId="6" fillId="0" borderId="2" xfId="0" applyNumberFormat="1" applyFont="1" applyBorder="1" applyAlignment="1">
      <alignment horizontal="center" vertical="center"/>
    </xf>
    <xf numFmtId="1" fontId="6" fillId="0" borderId="3" xfId="0" applyNumberFormat="1" applyFont="1" applyBorder="1" applyAlignment="1">
      <alignment horizontal="center" vertical="center"/>
    </xf>
    <xf numFmtId="3" fontId="6" fillId="0" borderId="0" xfId="0" applyNumberFormat="1" applyFont="1" applyAlignment="1">
      <alignment horizontal="left"/>
    </xf>
    <xf numFmtId="3" fontId="8" fillId="0" borderId="15" xfId="0" applyNumberFormat="1" applyFont="1" applyBorder="1" applyAlignment="1">
      <alignment horizontal="center" vertical="center"/>
    </xf>
    <xf numFmtId="181" fontId="2" fillId="0" borderId="5" xfId="0" applyNumberFormat="1" applyFont="1" applyBorder="1" applyAlignment="1">
      <alignment horizontal="center"/>
    </xf>
    <xf numFmtId="3" fontId="8" fillId="0" borderId="5" xfId="3" applyNumberFormat="1" applyFont="1" applyFill="1" applyBorder="1" applyAlignment="1">
      <alignment horizontal="center"/>
    </xf>
    <xf numFmtId="193" fontId="2" fillId="0" borderId="15" xfId="0" applyNumberFormat="1" applyFont="1" applyBorder="1" applyAlignment="1">
      <alignment horizontal="center" vertical="center" wrapText="1"/>
    </xf>
    <xf numFmtId="0" fontId="15" fillId="0" borderId="0" xfId="0" applyFont="1" applyAlignment="1">
      <alignment horizontal="center" vertical="center"/>
    </xf>
    <xf numFmtId="0" fontId="2" fillId="0" borderId="9" xfId="0" applyFont="1" applyBorder="1" applyAlignment="1">
      <alignment horizontal="center" vertical="center" wrapText="1"/>
    </xf>
    <xf numFmtId="0" fontId="2" fillId="0" borderId="34" xfId="0" applyFont="1" applyBorder="1" applyAlignment="1">
      <alignment horizontal="center"/>
    </xf>
    <xf numFmtId="0" fontId="2" fillId="0" borderId="35" xfId="0" applyFont="1" applyBorder="1" applyAlignment="1">
      <alignment horizontal="center"/>
    </xf>
    <xf numFmtId="3" fontId="2" fillId="0" borderId="34" xfId="0" applyNumberFormat="1" applyFont="1" applyBorder="1" applyAlignment="1">
      <alignment horizontal="center"/>
    </xf>
    <xf numFmtId="3" fontId="2" fillId="0" borderId="35" xfId="0" applyNumberFormat="1" applyFont="1" applyBorder="1" applyAlignment="1">
      <alignment horizontal="center"/>
    </xf>
    <xf numFmtId="171" fontId="38" fillId="0" borderId="16" xfId="0" applyNumberFormat="1" applyFont="1" applyBorder="1" applyAlignment="1">
      <alignment horizontal="center"/>
    </xf>
    <xf numFmtId="171" fontId="25" fillId="0" borderId="2" xfId="0" applyNumberFormat="1" applyFont="1" applyBorder="1" applyAlignment="1">
      <alignment horizontal="center"/>
    </xf>
    <xf numFmtId="0" fontId="58" fillId="0" borderId="2" xfId="0" applyFont="1" applyBorder="1" applyAlignment="1">
      <alignment vertical="center" wrapText="1"/>
    </xf>
    <xf numFmtId="0" fontId="0" fillId="0" borderId="0" xfId="0" applyAlignment="1">
      <alignment horizontal="center"/>
    </xf>
    <xf numFmtId="0" fontId="58" fillId="0" borderId="2" xfId="0" applyFont="1" applyBorder="1" applyAlignment="1">
      <alignment horizontal="center" vertical="center" wrapText="1"/>
    </xf>
    <xf numFmtId="171" fontId="58" fillId="0" borderId="2" xfId="0" applyNumberFormat="1" applyFont="1" applyBorder="1" applyAlignment="1">
      <alignment horizontal="center" vertical="center" wrapText="1"/>
    </xf>
    <xf numFmtId="3" fontId="8" fillId="0" borderId="0" xfId="5" applyNumberFormat="1" applyFont="1" applyAlignment="1" applyProtection="1">
      <alignment horizontal="center"/>
      <protection locked="0"/>
    </xf>
    <xf numFmtId="171" fontId="10" fillId="0" borderId="0" xfId="0" applyNumberFormat="1" applyFont="1" applyAlignment="1">
      <alignment horizontal="center"/>
    </xf>
    <xf numFmtId="4" fontId="8" fillId="0" borderId="0" xfId="3" applyNumberFormat="1" applyFont="1" applyAlignment="1">
      <alignment horizontal="center"/>
    </xf>
    <xf numFmtId="9" fontId="8" fillId="0" borderId="5" xfId="3" applyFont="1" applyBorder="1" applyAlignment="1">
      <alignment horizontal="left"/>
    </xf>
    <xf numFmtId="9" fontId="8" fillId="0" borderId="6" xfId="0" applyNumberFormat="1" applyFont="1" applyBorder="1" applyAlignment="1">
      <alignment horizontal="center"/>
    </xf>
    <xf numFmtId="3" fontId="2" fillId="0" borderId="2" xfId="1" applyNumberFormat="1" applyBorder="1" applyAlignment="1">
      <alignment horizontal="center"/>
    </xf>
    <xf numFmtId="4" fontId="8" fillId="0" borderId="2" xfId="2" applyNumberFormat="1" applyFont="1" applyBorder="1" applyAlignment="1">
      <alignment horizontal="center" vertical="center"/>
    </xf>
    <xf numFmtId="0" fontId="6" fillId="0" borderId="14" xfId="0" applyFont="1" applyBorder="1" applyAlignment="1">
      <alignment horizontal="left" vertical="center"/>
    </xf>
    <xf numFmtId="4" fontId="8" fillId="0" borderId="10" xfId="0" applyNumberFormat="1" applyFont="1" applyBorder="1" applyAlignment="1">
      <alignment horizontal="center" vertical="center"/>
    </xf>
    <xf numFmtId="171" fontId="6" fillId="0" borderId="3" xfId="0" applyNumberFormat="1" applyFont="1" applyBorder="1" applyAlignment="1">
      <alignment horizontal="center" vertical="center"/>
    </xf>
    <xf numFmtId="3" fontId="10" fillId="6" borderId="0" xfId="0" applyNumberFormat="1" applyFont="1" applyFill="1" applyAlignment="1">
      <alignment horizontal="center" vertical="center"/>
    </xf>
    <xf numFmtId="165" fontId="10" fillId="6" borderId="4" xfId="0" applyNumberFormat="1" applyFont="1" applyFill="1" applyBorder="1" applyAlignment="1">
      <alignment horizontal="center" vertical="center"/>
    </xf>
    <xf numFmtId="3" fontId="10" fillId="6" borderId="8" xfId="1" applyNumberFormat="1" applyFont="1" applyFill="1" applyBorder="1" applyAlignment="1">
      <alignment horizontal="center"/>
    </xf>
    <xf numFmtId="3" fontId="10" fillId="6" borderId="0" xfId="1" applyNumberFormat="1" applyFont="1" applyFill="1" applyAlignment="1">
      <alignment horizontal="center"/>
    </xf>
    <xf numFmtId="3" fontId="15" fillId="6" borderId="0" xfId="0" applyNumberFormat="1" applyFont="1" applyFill="1" applyAlignment="1">
      <alignment horizontal="center" vertical="center"/>
    </xf>
    <xf numFmtId="3" fontId="57" fillId="6" borderId="0" xfId="0" applyNumberFormat="1" applyFont="1" applyFill="1" applyAlignment="1">
      <alignment horizontal="center" vertical="center"/>
    </xf>
    <xf numFmtId="168" fontId="10" fillId="6" borderId="0" xfId="2" applyNumberFormat="1" applyFont="1" applyFill="1" applyAlignment="1">
      <alignment horizontal="center" vertical="center"/>
    </xf>
    <xf numFmtId="3" fontId="10" fillId="6" borderId="5" xfId="2" applyNumberFormat="1" applyFont="1" applyFill="1" applyBorder="1" applyAlignment="1">
      <alignment horizontal="center" vertical="center"/>
    </xf>
    <xf numFmtId="3" fontId="10" fillId="6" borderId="5" xfId="0" applyNumberFormat="1" applyFont="1" applyFill="1" applyBorder="1" applyAlignment="1">
      <alignment horizontal="center" vertical="center"/>
    </xf>
    <xf numFmtId="3" fontId="10" fillId="6" borderId="0" xfId="1" applyNumberFormat="1" applyFont="1" applyFill="1" applyAlignment="1">
      <alignment horizontal="center" vertical="center"/>
    </xf>
    <xf numFmtId="3" fontId="10" fillId="6" borderId="14" xfId="1" applyNumberFormat="1" applyFont="1" applyFill="1" applyBorder="1" applyAlignment="1">
      <alignment horizontal="center" vertical="center"/>
    </xf>
    <xf numFmtId="3" fontId="10" fillId="6" borderId="8" xfId="1" applyNumberFormat="1" applyFont="1" applyFill="1" applyBorder="1" applyAlignment="1">
      <alignment horizontal="center" vertical="center"/>
    </xf>
    <xf numFmtId="3" fontId="10" fillId="6" borderId="8" xfId="2" applyNumberFormat="1" applyFont="1" applyFill="1" applyBorder="1" applyAlignment="1">
      <alignment horizontal="center" vertical="center"/>
    </xf>
    <xf numFmtId="3" fontId="10" fillId="6" borderId="15" xfId="1" applyNumberFormat="1" applyFont="1" applyFill="1" applyBorder="1" applyAlignment="1">
      <alignment horizontal="center" vertical="center"/>
    </xf>
    <xf numFmtId="3" fontId="10" fillId="6" borderId="9" xfId="1" applyNumberFormat="1" applyFont="1" applyFill="1" applyBorder="1" applyAlignment="1">
      <alignment horizontal="center" vertical="center"/>
    </xf>
    <xf numFmtId="3" fontId="10" fillId="6" borderId="10" xfId="1" applyNumberFormat="1" applyFont="1" applyFill="1" applyBorder="1" applyAlignment="1">
      <alignment horizontal="center" vertical="center"/>
    </xf>
    <xf numFmtId="3" fontId="10" fillId="6" borderId="14" xfId="2" applyNumberFormat="1" applyFont="1" applyFill="1" applyBorder="1" applyAlignment="1">
      <alignment horizontal="center" vertical="center"/>
    </xf>
    <xf numFmtId="3" fontId="10" fillId="6" borderId="15" xfId="2" applyNumberFormat="1" applyFont="1" applyFill="1" applyBorder="1" applyAlignment="1">
      <alignment horizontal="center" vertical="center"/>
    </xf>
    <xf numFmtId="3" fontId="10" fillId="6" borderId="9" xfId="2" applyNumberFormat="1" applyFont="1" applyFill="1" applyBorder="1" applyAlignment="1">
      <alignment horizontal="center" vertical="center"/>
    </xf>
    <xf numFmtId="3" fontId="10" fillId="6" borderId="0" xfId="2" applyNumberFormat="1" applyFont="1" applyFill="1" applyAlignment="1">
      <alignment horizontal="center" vertical="center"/>
    </xf>
    <xf numFmtId="3" fontId="10" fillId="6" borderId="10" xfId="2" applyNumberFormat="1" applyFont="1" applyFill="1" applyBorder="1" applyAlignment="1">
      <alignment horizontal="center" vertical="center"/>
    </xf>
    <xf numFmtId="3" fontId="10" fillId="6" borderId="12" xfId="2" applyNumberFormat="1" applyFont="1" applyFill="1" applyBorder="1" applyAlignment="1">
      <alignment horizontal="center" vertical="center"/>
    </xf>
    <xf numFmtId="3" fontId="10" fillId="6" borderId="13" xfId="2" applyNumberFormat="1" applyFont="1" applyFill="1" applyBorder="1" applyAlignment="1">
      <alignment horizontal="center" vertical="center"/>
    </xf>
    <xf numFmtId="3" fontId="10" fillId="6" borderId="11" xfId="2" applyNumberFormat="1" applyFont="1" applyFill="1" applyBorder="1" applyAlignment="1">
      <alignment horizontal="center" vertical="center"/>
    </xf>
    <xf numFmtId="3" fontId="18" fillId="6" borderId="14" xfId="2" applyNumberFormat="1" applyFont="1" applyFill="1" applyBorder="1" applyAlignment="1">
      <alignment horizontal="center"/>
    </xf>
    <xf numFmtId="3" fontId="18" fillId="6" borderId="8" xfId="2" applyNumberFormat="1" applyFont="1" applyFill="1" applyBorder="1" applyAlignment="1">
      <alignment horizontal="center"/>
    </xf>
    <xf numFmtId="3" fontId="18" fillId="6" borderId="15" xfId="2" applyNumberFormat="1" applyFont="1" applyFill="1" applyBorder="1" applyAlignment="1">
      <alignment horizontal="center"/>
    </xf>
    <xf numFmtId="3" fontId="18" fillId="6" borderId="9" xfId="2" applyNumberFormat="1" applyFont="1" applyFill="1" applyBorder="1" applyAlignment="1">
      <alignment horizontal="center"/>
    </xf>
    <xf numFmtId="3" fontId="18" fillId="6" borderId="0" xfId="2" applyNumberFormat="1" applyFont="1" applyFill="1" applyAlignment="1">
      <alignment horizontal="center"/>
    </xf>
    <xf numFmtId="3" fontId="18" fillId="6" borderId="10" xfId="2" applyNumberFormat="1" applyFont="1" applyFill="1" applyBorder="1" applyAlignment="1">
      <alignment horizontal="center"/>
    </xf>
    <xf numFmtId="3" fontId="18" fillId="6" borderId="12" xfId="2" applyNumberFormat="1" applyFont="1" applyFill="1" applyBorder="1" applyAlignment="1">
      <alignment horizontal="center"/>
    </xf>
    <xf numFmtId="3" fontId="18" fillId="6" borderId="13" xfId="2" applyNumberFormat="1" applyFont="1" applyFill="1" applyBorder="1" applyAlignment="1">
      <alignment horizontal="center"/>
    </xf>
    <xf numFmtId="3" fontId="18" fillId="6" borderId="11" xfId="2" applyNumberFormat="1" applyFont="1" applyFill="1" applyBorder="1" applyAlignment="1">
      <alignment horizontal="center"/>
    </xf>
    <xf numFmtId="0" fontId="15" fillId="6" borderId="0" xfId="0" applyFont="1" applyFill="1" applyAlignment="1">
      <alignment horizontal="center" vertical="center"/>
    </xf>
    <xf numFmtId="165" fontId="10" fillId="6" borderId="8" xfId="2" applyNumberFormat="1" applyFont="1" applyFill="1" applyBorder="1" applyAlignment="1">
      <alignment horizontal="center" vertical="center"/>
    </xf>
    <xf numFmtId="3" fontId="15" fillId="0" borderId="0" xfId="0" applyNumberFormat="1" applyFont="1" applyAlignment="1">
      <alignment horizontal="center" vertical="center"/>
    </xf>
    <xf numFmtId="3" fontId="8" fillId="7" borderId="2" xfId="0" applyNumberFormat="1" applyFont="1" applyFill="1" applyBorder="1" applyAlignment="1">
      <alignment horizontal="center"/>
    </xf>
    <xf numFmtId="3" fontId="47" fillId="3" borderId="6" xfId="0" applyNumberFormat="1" applyFont="1" applyFill="1" applyBorder="1" applyAlignment="1">
      <alignment horizontal="center"/>
    </xf>
    <xf numFmtId="3" fontId="8" fillId="3" borderId="6" xfId="0" applyNumberFormat="1" applyFont="1" applyFill="1" applyBorder="1" applyAlignment="1">
      <alignment horizontal="center"/>
    </xf>
    <xf numFmtId="3" fontId="8" fillId="0" borderId="6" xfId="3" applyNumberFormat="1" applyFont="1" applyFill="1" applyBorder="1" applyAlignment="1">
      <alignment horizontal="center"/>
    </xf>
    <xf numFmtId="3" fontId="6" fillId="0" borderId="7" xfId="0" applyNumberFormat="1" applyFont="1" applyBorder="1" applyAlignment="1">
      <alignment horizontal="center" vertical="center"/>
    </xf>
    <xf numFmtId="3" fontId="8" fillId="0" borderId="14" xfId="0" applyNumberFormat="1" applyFont="1" applyBorder="1" applyAlignment="1">
      <alignment horizontal="center"/>
    </xf>
    <xf numFmtId="3" fontId="8" fillId="0" borderId="12" xfId="0" applyNumberFormat="1" applyFont="1" applyBorder="1" applyAlignment="1">
      <alignment horizontal="center"/>
    </xf>
    <xf numFmtId="3" fontId="8" fillId="0" borderId="14" xfId="5" applyNumberFormat="1" applyFont="1" applyBorder="1" applyAlignment="1" applyProtection="1">
      <alignment horizontal="center"/>
      <protection locked="0"/>
    </xf>
    <xf numFmtId="3" fontId="8" fillId="0" borderId="9" xfId="5" applyNumberFormat="1" applyFont="1" applyBorder="1" applyAlignment="1" applyProtection="1">
      <alignment horizontal="center"/>
      <protection locked="0"/>
    </xf>
    <xf numFmtId="3" fontId="8" fillId="0" borderId="12" xfId="5" applyNumberFormat="1" applyFont="1" applyBorder="1" applyAlignment="1" applyProtection="1">
      <alignment horizontal="center"/>
      <protection locked="0"/>
    </xf>
    <xf numFmtId="9" fontId="2" fillId="0" borderId="9" xfId="0" applyNumberFormat="1" applyFont="1" applyBorder="1" applyAlignment="1">
      <alignment horizontal="center" vertical="center" wrapText="1"/>
    </xf>
    <xf numFmtId="9" fontId="2" fillId="0" borderId="12" xfId="0" applyNumberFormat="1" applyFont="1" applyBorder="1" applyAlignment="1">
      <alignment horizontal="center" vertical="center" wrapText="1"/>
    </xf>
    <xf numFmtId="3" fontId="6" fillId="0" borderId="1" xfId="5" applyNumberFormat="1" applyFont="1" applyBorder="1" applyAlignment="1" applyProtection="1">
      <alignment horizontal="center"/>
      <protection locked="0"/>
    </xf>
    <xf numFmtId="3" fontId="8" fillId="0" borderId="1" xfId="0" applyNumberFormat="1" applyFont="1" applyBorder="1" applyAlignment="1">
      <alignment horizontal="center"/>
    </xf>
    <xf numFmtId="9" fontId="8" fillId="0" borderId="14" xfId="3" applyFont="1" applyBorder="1" applyAlignment="1">
      <alignment horizontal="center"/>
    </xf>
    <xf numFmtId="9" fontId="8" fillId="0" borderId="12" xfId="3" applyFont="1" applyBorder="1" applyAlignment="1">
      <alignment horizontal="center"/>
    </xf>
    <xf numFmtId="3" fontId="6" fillId="0" borderId="14" xfId="0" applyNumberFormat="1" applyFont="1" applyBorder="1" applyAlignment="1">
      <alignment horizontal="center"/>
    </xf>
    <xf numFmtId="3" fontId="10" fillId="0" borderId="15" xfId="0" applyNumberFormat="1" applyFont="1" applyBorder="1" applyAlignment="1">
      <alignment horizontal="center"/>
    </xf>
    <xf numFmtId="4" fontId="8" fillId="0" borderId="15" xfId="3" applyNumberFormat="1" applyFont="1" applyBorder="1" applyAlignment="1">
      <alignment horizontal="center" vertical="center"/>
    </xf>
    <xf numFmtId="4" fontId="8" fillId="0" borderId="10" xfId="3" applyNumberFormat="1" applyFont="1" applyBorder="1" applyAlignment="1">
      <alignment horizontal="center" vertical="center"/>
    </xf>
    <xf numFmtId="3" fontId="10" fillId="0" borderId="11" xfId="0" applyNumberFormat="1" applyFont="1" applyBorder="1" applyAlignment="1">
      <alignment horizontal="center"/>
    </xf>
    <xf numFmtId="3" fontId="8" fillId="0" borderId="3" xfId="0" applyNumberFormat="1" applyFont="1" applyBorder="1"/>
    <xf numFmtId="4" fontId="8" fillId="0" borderId="15" xfId="0" applyNumberFormat="1" applyFont="1" applyBorder="1" applyAlignment="1">
      <alignment horizontal="center" vertical="center"/>
    </xf>
    <xf numFmtId="4" fontId="10" fillId="0" borderId="10" xfId="0" applyNumberFormat="1" applyFont="1" applyBorder="1" applyAlignment="1">
      <alignment horizontal="center"/>
    </xf>
    <xf numFmtId="4" fontId="8" fillId="0" borderId="11" xfId="0" applyNumberFormat="1" applyFont="1" applyBorder="1" applyAlignment="1">
      <alignment horizontal="center" vertical="center"/>
    </xf>
    <xf numFmtId="4" fontId="6" fillId="0" borderId="11" xfId="0" applyNumberFormat="1" applyFont="1" applyBorder="1" applyAlignment="1">
      <alignment horizontal="center" vertical="center"/>
    </xf>
    <xf numFmtId="165" fontId="8" fillId="0" borderId="10" xfId="3" applyNumberFormat="1" applyFont="1" applyBorder="1" applyAlignment="1">
      <alignment horizontal="center" vertical="center"/>
    </xf>
    <xf numFmtId="165" fontId="10" fillId="0" borderId="10" xfId="0" applyNumberFormat="1" applyFont="1" applyBorder="1" applyAlignment="1">
      <alignment horizontal="center"/>
    </xf>
    <xf numFmtId="165" fontId="8" fillId="0" borderId="11" xfId="3" applyNumberFormat="1" applyFont="1" applyBorder="1" applyAlignment="1">
      <alignment horizontal="center" vertical="center"/>
    </xf>
    <xf numFmtId="165" fontId="6" fillId="0" borderId="3" xfId="3" applyNumberFormat="1" applyFont="1" applyBorder="1" applyAlignment="1">
      <alignment horizontal="center" vertical="center"/>
    </xf>
    <xf numFmtId="165" fontId="8" fillId="0" borderId="15" xfId="3" applyNumberFormat="1" applyFont="1" applyBorder="1" applyAlignment="1">
      <alignment horizontal="center" vertical="center"/>
    </xf>
    <xf numFmtId="4" fontId="8" fillId="0" borderId="10" xfId="0" applyNumberFormat="1" applyFont="1" applyBorder="1" applyAlignment="1">
      <alignment horizontal="center"/>
    </xf>
    <xf numFmtId="10" fontId="10" fillId="0" borderId="10" xfId="3" applyNumberFormat="1" applyFont="1" applyBorder="1" applyAlignment="1">
      <alignment horizontal="center"/>
    </xf>
    <xf numFmtId="165" fontId="8" fillId="0" borderId="10" xfId="0" applyNumberFormat="1" applyFont="1" applyBorder="1" applyAlignment="1">
      <alignment horizontal="center"/>
    </xf>
    <xf numFmtId="165" fontId="47" fillId="0" borderId="10" xfId="0" applyNumberFormat="1" applyFont="1" applyBorder="1" applyAlignment="1">
      <alignment horizontal="center"/>
    </xf>
    <xf numFmtId="171" fontId="49" fillId="0" borderId="3" xfId="0" applyNumberFormat="1" applyFont="1" applyBorder="1" applyAlignment="1">
      <alignment horizontal="center"/>
    </xf>
    <xf numFmtId="4" fontId="8" fillId="0" borderId="11" xfId="0" applyNumberFormat="1" applyFont="1" applyBorder="1" applyAlignment="1">
      <alignment horizontal="center"/>
    </xf>
    <xf numFmtId="171" fontId="6" fillId="0" borderId="3" xfId="0" applyNumberFormat="1" applyFont="1" applyBorder="1" applyAlignment="1">
      <alignment horizontal="center"/>
    </xf>
    <xf numFmtId="3" fontId="52" fillId="0" borderId="3" xfId="0" applyNumberFormat="1" applyFont="1" applyBorder="1" applyAlignment="1">
      <alignment horizontal="center"/>
    </xf>
    <xf numFmtId="3" fontId="6" fillId="0" borderId="3" xfId="0" applyNumberFormat="1" applyFont="1" applyBorder="1" applyAlignment="1">
      <alignment horizontal="center"/>
    </xf>
    <xf numFmtId="3" fontId="10" fillId="0" borderId="10" xfId="0" applyNumberFormat="1" applyFont="1" applyBorder="1" applyAlignment="1">
      <alignment horizontal="center"/>
    </xf>
    <xf numFmtId="3" fontId="6" fillId="0" borderId="10" xfId="0" applyNumberFormat="1" applyFont="1" applyBorder="1" applyAlignment="1">
      <alignment horizontal="center"/>
    </xf>
    <xf numFmtId="4" fontId="10" fillId="0" borderId="11" xfId="0" applyNumberFormat="1" applyFont="1" applyBorder="1" applyAlignment="1">
      <alignment horizontal="center"/>
    </xf>
    <xf numFmtId="9" fontId="8" fillId="0" borderId="3" xfId="3" applyFont="1" applyBorder="1" applyAlignment="1">
      <alignment horizontal="center"/>
    </xf>
    <xf numFmtId="3" fontId="6" fillId="0" borderId="3" xfId="3" applyNumberFormat="1" applyFont="1" applyBorder="1" applyAlignment="1">
      <alignment horizontal="center"/>
    </xf>
    <xf numFmtId="9" fontId="8" fillId="0" borderId="10" xfId="0" applyNumberFormat="1" applyFont="1" applyBorder="1" applyAlignment="1">
      <alignment horizontal="center"/>
    </xf>
    <xf numFmtId="3" fontId="8" fillId="3" borderId="10" xfId="0" applyNumberFormat="1" applyFont="1" applyFill="1" applyBorder="1" applyAlignment="1">
      <alignment horizontal="center"/>
    </xf>
    <xf numFmtId="3" fontId="8" fillId="7" borderId="3" xfId="0" applyNumberFormat="1" applyFont="1" applyFill="1" applyBorder="1" applyAlignment="1">
      <alignment horizontal="center"/>
    </xf>
    <xf numFmtId="3" fontId="8" fillId="0" borderId="3" xfId="0" applyNumberFormat="1" applyFont="1" applyBorder="1" applyAlignment="1">
      <alignment horizontal="center"/>
    </xf>
    <xf numFmtId="1" fontId="6" fillId="0" borderId="0" xfId="0" applyNumberFormat="1" applyFont="1" applyAlignment="1">
      <alignment horizontal="center" vertical="center"/>
    </xf>
    <xf numFmtId="3" fontId="10" fillId="0" borderId="0" xfId="0" applyNumberFormat="1" applyFont="1" applyAlignment="1">
      <alignment horizontal="center"/>
    </xf>
    <xf numFmtId="4" fontId="8" fillId="0" borderId="0" xfId="3" applyNumberFormat="1" applyFont="1" applyFill="1" applyBorder="1" applyAlignment="1">
      <alignment horizontal="center" vertical="center"/>
    </xf>
    <xf numFmtId="4" fontId="10" fillId="0" borderId="0" xfId="0" applyNumberFormat="1" applyFont="1" applyAlignment="1">
      <alignment horizontal="center"/>
    </xf>
    <xf numFmtId="165" fontId="8" fillId="0" borderId="0" xfId="3" applyNumberFormat="1" applyFont="1" applyFill="1" applyBorder="1" applyAlignment="1">
      <alignment horizontal="center" vertical="center"/>
    </xf>
    <xf numFmtId="165" fontId="10" fillId="0" borderId="0" xfId="0" applyNumberFormat="1" applyFont="1" applyAlignment="1">
      <alignment horizontal="center"/>
    </xf>
    <xf numFmtId="165" fontId="6" fillId="0" borderId="0" xfId="3" applyNumberFormat="1" applyFont="1" applyFill="1" applyBorder="1" applyAlignment="1">
      <alignment horizontal="center" vertical="center"/>
    </xf>
    <xf numFmtId="4" fontId="8" fillId="0" borderId="0" xfId="0" applyNumberFormat="1" applyFont="1" applyAlignment="1">
      <alignment horizontal="center"/>
    </xf>
    <xf numFmtId="10" fontId="10" fillId="0" borderId="0" xfId="3" applyNumberFormat="1" applyFont="1" applyFill="1" applyBorder="1" applyAlignment="1">
      <alignment horizontal="center"/>
    </xf>
    <xf numFmtId="165" fontId="8" fillId="0" borderId="0" xfId="0" applyNumberFormat="1" applyFont="1" applyAlignment="1">
      <alignment horizontal="center"/>
    </xf>
    <xf numFmtId="165" fontId="47" fillId="0" borderId="0" xfId="0" applyNumberFormat="1" applyFont="1" applyAlignment="1">
      <alignment horizontal="center"/>
    </xf>
    <xf numFmtId="171" fontId="49" fillId="0" borderId="0" xfId="0" applyNumberFormat="1" applyFont="1" applyAlignment="1">
      <alignment horizontal="center"/>
    </xf>
    <xf numFmtId="171" fontId="6" fillId="0" borderId="0" xfId="0" applyNumberFormat="1" applyFont="1" applyAlignment="1">
      <alignment horizontal="center"/>
    </xf>
    <xf numFmtId="3" fontId="52" fillId="0" borderId="0" xfId="0" applyNumberFormat="1" applyFont="1" applyAlignment="1">
      <alignment horizontal="center"/>
    </xf>
    <xf numFmtId="3" fontId="8" fillId="0" borderId="0" xfId="3" applyNumberFormat="1" applyFont="1" applyFill="1" applyBorder="1" applyAlignment="1">
      <alignment horizontal="center"/>
    </xf>
    <xf numFmtId="4" fontId="8" fillId="0" borderId="0" xfId="3" applyNumberFormat="1" applyFont="1" applyFill="1" applyBorder="1" applyAlignment="1">
      <alignment horizontal="center"/>
    </xf>
    <xf numFmtId="9" fontId="8" fillId="0" borderId="0" xfId="3" applyFont="1" applyFill="1" applyBorder="1" applyAlignment="1">
      <alignment horizontal="center"/>
    </xf>
    <xf numFmtId="3" fontId="6" fillId="0" borderId="0" xfId="3" applyNumberFormat="1" applyFont="1" applyFill="1" applyBorder="1" applyAlignment="1">
      <alignment horizontal="center"/>
    </xf>
    <xf numFmtId="9" fontId="8" fillId="0" borderId="0" xfId="0" applyNumberFormat="1" applyFont="1" applyAlignment="1">
      <alignment horizontal="center"/>
    </xf>
    <xf numFmtId="168" fontId="8" fillId="0" borderId="0" xfId="0" applyNumberFormat="1" applyFont="1" applyAlignment="1">
      <alignment horizontal="center"/>
    </xf>
    <xf numFmtId="3" fontId="8" fillId="0" borderId="0" xfId="3" applyNumberFormat="1" applyFont="1" applyFill="1" applyBorder="1" applyAlignment="1">
      <alignment horizontal="center" vertical="center"/>
    </xf>
    <xf numFmtId="3" fontId="6" fillId="0" borderId="0" xfId="3" applyNumberFormat="1" applyFont="1" applyFill="1" applyBorder="1" applyAlignment="1">
      <alignment horizontal="center" vertical="center"/>
    </xf>
    <xf numFmtId="165" fontId="8" fillId="0" borderId="0" xfId="0" applyNumberFormat="1" applyFont="1" applyAlignment="1">
      <alignment horizontal="center" vertical="center"/>
    </xf>
    <xf numFmtId="171" fontId="6" fillId="0" borderId="0" xfId="0" applyNumberFormat="1" applyFont="1" applyAlignment="1">
      <alignment horizontal="center" vertical="center"/>
    </xf>
    <xf numFmtId="165" fontId="8" fillId="0" borderId="9" xfId="0" applyNumberFormat="1" applyFont="1" applyBorder="1" applyAlignment="1">
      <alignment horizontal="center" vertical="center"/>
    </xf>
    <xf numFmtId="3" fontId="8" fillId="8" borderId="3" xfId="0" applyNumberFormat="1" applyFont="1" applyFill="1" applyBorder="1" applyAlignment="1">
      <alignment horizontal="center"/>
    </xf>
    <xf numFmtId="3" fontId="8" fillId="8" borderId="2" xfId="0" applyNumberFormat="1" applyFont="1" applyFill="1" applyBorder="1" applyAlignment="1">
      <alignment horizontal="center"/>
    </xf>
    <xf numFmtId="3" fontId="8" fillId="8" borderId="15" xfId="3" applyNumberFormat="1" applyFont="1" applyFill="1" applyBorder="1" applyAlignment="1">
      <alignment horizontal="center"/>
    </xf>
    <xf numFmtId="3" fontId="6" fillId="8" borderId="3" xfId="3" applyNumberFormat="1" applyFont="1" applyFill="1" applyBorder="1" applyAlignment="1">
      <alignment horizontal="center"/>
    </xf>
    <xf numFmtId="3" fontId="6" fillId="8" borderId="2" xfId="3" applyNumberFormat="1" applyFont="1" applyFill="1" applyBorder="1" applyAlignment="1">
      <alignment horizontal="center"/>
    </xf>
    <xf numFmtId="3" fontId="6" fillId="8" borderId="2" xfId="0" applyNumberFormat="1" applyFont="1" applyFill="1" applyBorder="1" applyAlignment="1">
      <alignment horizontal="center"/>
    </xf>
    <xf numFmtId="0" fontId="35" fillId="0" borderId="0" xfId="0" applyFont="1"/>
    <xf numFmtId="3" fontId="10" fillId="6" borderId="5" xfId="1" applyNumberFormat="1" applyFont="1" applyFill="1" applyBorder="1" applyAlignment="1">
      <alignment horizontal="center" vertical="center"/>
    </xf>
    <xf numFmtId="4" fontId="2" fillId="0" borderId="5" xfId="0" applyNumberFormat="1" applyFont="1" applyBorder="1" applyAlignment="1">
      <alignment horizontal="center"/>
    </xf>
    <xf numFmtId="4" fontId="6" fillId="0" borderId="3" xfId="0" applyNumberFormat="1" applyFont="1" applyBorder="1" applyAlignment="1">
      <alignment horizontal="center" vertical="center"/>
    </xf>
    <xf numFmtId="0" fontId="61" fillId="0" borderId="0" xfId="0" applyFont="1" applyAlignment="1">
      <alignment horizontal="left"/>
    </xf>
    <xf numFmtId="0" fontId="62" fillId="9" borderId="1" xfId="0" applyFont="1" applyFill="1" applyBorder="1" applyAlignment="1">
      <alignment horizontal="center" vertical="center"/>
    </xf>
    <xf numFmtId="0" fontId="62" fillId="9" borderId="4" xfId="0" applyFont="1" applyFill="1" applyBorder="1" applyAlignment="1">
      <alignment horizontal="center" vertical="center"/>
    </xf>
    <xf numFmtId="0" fontId="62" fillId="9" borderId="3" xfId="0" applyFont="1" applyFill="1" applyBorder="1" applyAlignment="1">
      <alignment horizontal="center" vertical="center"/>
    </xf>
    <xf numFmtId="0" fontId="0" fillId="0" borderId="2" xfId="0" applyBorder="1" applyAlignment="1">
      <alignment horizontal="center"/>
    </xf>
    <xf numFmtId="0" fontId="60" fillId="0" borderId="2" xfId="0" applyFont="1" applyBorder="1"/>
    <xf numFmtId="0" fontId="0" fillId="0" borderId="2" xfId="0" applyBorder="1"/>
    <xf numFmtId="0" fontId="63" fillId="2" borderId="2" xfId="0" applyFont="1" applyFill="1" applyBorder="1" applyAlignment="1">
      <alignment horizontal="center" vertical="center" wrapText="1"/>
    </xf>
    <xf numFmtId="3" fontId="0" fillId="0" borderId="2" xfId="0" applyNumberFormat="1" applyBorder="1" applyAlignment="1">
      <alignment horizontal="center"/>
    </xf>
    <xf numFmtId="0" fontId="60" fillId="0" borderId="2" xfId="0" applyFont="1" applyBorder="1" applyAlignment="1">
      <alignment horizontal="center"/>
    </xf>
    <xf numFmtId="0" fontId="63" fillId="2" borderId="2" xfId="0" applyFont="1" applyFill="1" applyBorder="1" applyAlignment="1">
      <alignment horizontal="center" vertical="center"/>
    </xf>
    <xf numFmtId="3" fontId="0" fillId="0" borderId="0" xfId="0" applyNumberFormat="1"/>
    <xf numFmtId="0" fontId="64" fillId="0" borderId="2" xfId="0" applyFont="1" applyBorder="1" applyAlignment="1">
      <alignment horizontal="center"/>
    </xf>
    <xf numFmtId="0" fontId="64" fillId="0" borderId="2" xfId="0" applyFont="1" applyBorder="1"/>
    <xf numFmtId="194" fontId="64" fillId="0" borderId="2" xfId="0" applyNumberFormat="1" applyFont="1" applyBorder="1" applyAlignment="1">
      <alignment horizontal="center"/>
    </xf>
    <xf numFmtId="9" fontId="0" fillId="0" borderId="0" xfId="0" applyNumberFormat="1"/>
    <xf numFmtId="0" fontId="63" fillId="0" borderId="2" xfId="0" applyFont="1" applyBorder="1"/>
    <xf numFmtId="3" fontId="63" fillId="2" borderId="2" xfId="0" applyNumberFormat="1" applyFont="1" applyFill="1" applyBorder="1" applyAlignment="1">
      <alignment horizontal="center"/>
    </xf>
    <xf numFmtId="194" fontId="63" fillId="0" borderId="2" xfId="0" applyNumberFormat="1" applyFont="1" applyBorder="1" applyAlignment="1">
      <alignment horizontal="center"/>
    </xf>
    <xf numFmtId="3" fontId="63" fillId="10" borderId="2" xfId="0" applyNumberFormat="1" applyFont="1" applyFill="1" applyBorder="1" applyAlignment="1">
      <alignment horizontal="center"/>
    </xf>
    <xf numFmtId="0" fontId="63" fillId="0" borderId="2" xfId="0" applyFont="1" applyBorder="1" applyAlignment="1">
      <alignment horizontal="center"/>
    </xf>
    <xf numFmtId="3" fontId="0" fillId="11" borderId="8" xfId="0" applyNumberFormat="1" applyFill="1" applyBorder="1" applyAlignment="1">
      <alignment horizontal="center"/>
    </xf>
    <xf numFmtId="0" fontId="64" fillId="11" borderId="8" xfId="0" applyFont="1" applyFill="1" applyBorder="1" applyAlignment="1">
      <alignment horizontal="center"/>
    </xf>
    <xf numFmtId="0" fontId="0" fillId="11" borderId="0" xfId="0" applyFill="1" applyAlignment="1">
      <alignment horizontal="center"/>
    </xf>
    <xf numFmtId="0" fontId="0" fillId="11" borderId="0" xfId="0" applyFill="1"/>
    <xf numFmtId="3" fontId="65" fillId="7" borderId="2" xfId="0" applyNumberFormat="1" applyFont="1" applyFill="1" applyBorder="1" applyAlignment="1">
      <alignment horizontal="center"/>
    </xf>
    <xf numFmtId="194" fontId="66" fillId="7" borderId="2" xfId="0" applyNumberFormat="1" applyFont="1" applyFill="1" applyBorder="1" applyAlignment="1">
      <alignment horizontal="center"/>
    </xf>
    <xf numFmtId="3" fontId="65" fillId="7" borderId="0" xfId="0" applyNumberFormat="1" applyFont="1" applyFill="1" applyAlignment="1">
      <alignment horizontal="center"/>
    </xf>
    <xf numFmtId="194" fontId="65" fillId="7" borderId="0" xfId="0" applyNumberFormat="1" applyFont="1" applyFill="1" applyAlignment="1">
      <alignment horizontal="center"/>
    </xf>
    <xf numFmtId="165" fontId="8" fillId="0" borderId="6" xfId="0" applyNumberFormat="1" applyFont="1" applyBorder="1" applyAlignment="1">
      <alignment horizontal="center" vertical="center"/>
    </xf>
    <xf numFmtId="10" fontId="2" fillId="0" borderId="0" xfId="0" applyNumberFormat="1" applyFont="1"/>
    <xf numFmtId="172" fontId="2" fillId="0" borderId="0" xfId="0" applyNumberFormat="1" applyFont="1"/>
    <xf numFmtId="165" fontId="8" fillId="0" borderId="10" xfId="3" applyNumberFormat="1" applyFont="1" applyFill="1" applyBorder="1" applyAlignment="1">
      <alignment horizontal="center" vertical="center"/>
    </xf>
    <xf numFmtId="3" fontId="47" fillId="0" borderId="15" xfId="3" applyNumberFormat="1" applyFont="1" applyBorder="1" applyAlignment="1">
      <alignment horizontal="center"/>
    </xf>
    <xf numFmtId="3" fontId="47" fillId="0" borderId="5" xfId="3" applyNumberFormat="1" applyFont="1" applyBorder="1" applyAlignment="1">
      <alignment horizontal="center"/>
    </xf>
    <xf numFmtId="3" fontId="8" fillId="5" borderId="6" xfId="0" applyNumberFormat="1" applyFont="1" applyFill="1" applyBorder="1" applyAlignment="1">
      <alignment horizontal="center"/>
    </xf>
    <xf numFmtId="3" fontId="15" fillId="2" borderId="0" xfId="0" applyNumberFormat="1" applyFont="1" applyFill="1" applyAlignment="1">
      <alignment horizontal="center" vertical="center"/>
    </xf>
    <xf numFmtId="168" fontId="10" fillId="12" borderId="0" xfId="2" applyNumberFormat="1" applyFont="1" applyFill="1" applyAlignment="1">
      <alignment horizontal="center" vertical="center"/>
    </xf>
    <xf numFmtId="168" fontId="10" fillId="13" borderId="0" xfId="2" applyNumberFormat="1" applyFont="1" applyFill="1" applyAlignment="1">
      <alignment horizontal="center" vertical="center"/>
    </xf>
    <xf numFmtId="3" fontId="8" fillId="13" borderId="15" xfId="3" applyNumberFormat="1" applyFont="1" applyFill="1" applyBorder="1" applyAlignment="1">
      <alignment horizontal="center"/>
    </xf>
    <xf numFmtId="3" fontId="67" fillId="13" borderId="2" xfId="0" applyNumberFormat="1" applyFont="1" applyFill="1" applyBorder="1" applyAlignment="1">
      <alignment horizontal="center"/>
    </xf>
    <xf numFmtId="3" fontId="10" fillId="13" borderId="6" xfId="1" applyNumberFormat="1" applyFont="1" applyFill="1" applyBorder="1" applyAlignment="1">
      <alignment horizontal="center" vertical="center"/>
    </xf>
    <xf numFmtId="3" fontId="57" fillId="13" borderId="0" xfId="0" applyNumberFormat="1" applyFont="1" applyFill="1" applyAlignment="1">
      <alignment horizontal="center" vertical="center"/>
    </xf>
    <xf numFmtId="3" fontId="10" fillId="13" borderId="0" xfId="1" applyNumberFormat="1" applyFont="1" applyFill="1" applyAlignment="1">
      <alignment horizontal="center"/>
    </xf>
    <xf numFmtId="4" fontId="0" fillId="0" borderId="0" xfId="0" applyNumberFormat="1"/>
    <xf numFmtId="171" fontId="10" fillId="0" borderId="15" xfId="0" applyNumberFormat="1" applyFont="1" applyBorder="1" applyAlignment="1">
      <alignment horizontal="center"/>
    </xf>
    <xf numFmtId="171" fontId="10" fillId="0" borderId="5" xfId="0" applyNumberFormat="1" applyFont="1" applyBorder="1" applyAlignment="1">
      <alignment horizontal="center"/>
    </xf>
    <xf numFmtId="171" fontId="10" fillId="0" borderId="10" xfId="0" applyNumberFormat="1" applyFont="1" applyBorder="1" applyAlignment="1">
      <alignment horizontal="center"/>
    </xf>
    <xf numFmtId="171" fontId="10" fillId="0" borderId="6" xfId="0" applyNumberFormat="1" applyFont="1" applyBorder="1" applyAlignment="1">
      <alignment horizontal="center"/>
    </xf>
    <xf numFmtId="171" fontId="10" fillId="14" borderId="11" xfId="0" applyNumberFormat="1" applyFont="1" applyFill="1" applyBorder="1" applyAlignment="1">
      <alignment horizontal="center"/>
    </xf>
    <xf numFmtId="171" fontId="10" fillId="14" borderId="7" xfId="0" applyNumberFormat="1" applyFont="1" applyFill="1" applyBorder="1" applyAlignment="1">
      <alignment horizontal="center"/>
    </xf>
    <xf numFmtId="0" fontId="68" fillId="15" borderId="36" xfId="0" applyFont="1" applyFill="1" applyBorder="1" applyAlignment="1">
      <alignment vertical="center" wrapText="1"/>
    </xf>
    <xf numFmtId="0" fontId="68" fillId="15" borderId="37" xfId="0" applyFont="1" applyFill="1" applyBorder="1" applyAlignment="1">
      <alignment vertical="center" wrapText="1"/>
    </xf>
    <xf numFmtId="0" fontId="70" fillId="16" borderId="36" xfId="0" applyFont="1" applyFill="1" applyBorder="1" applyAlignment="1">
      <alignment vertical="center" wrapText="1"/>
    </xf>
    <xf numFmtId="3" fontId="71" fillId="16" borderId="36" xfId="0" applyNumberFormat="1" applyFont="1" applyFill="1" applyBorder="1" applyAlignment="1">
      <alignment vertical="center" wrapText="1"/>
    </xf>
    <xf numFmtId="0" fontId="71" fillId="16" borderId="36" xfId="0" applyFont="1" applyFill="1" applyBorder="1" applyAlignment="1">
      <alignment vertical="center" wrapText="1"/>
    </xf>
    <xf numFmtId="3" fontId="71" fillId="16" borderId="37" xfId="0" applyNumberFormat="1" applyFont="1" applyFill="1" applyBorder="1" applyAlignment="1">
      <alignment vertical="center" wrapText="1"/>
    </xf>
    <xf numFmtId="0" fontId="72" fillId="16" borderId="38" xfId="0" applyFont="1" applyFill="1" applyBorder="1" applyAlignment="1">
      <alignment vertical="center" wrapText="1"/>
    </xf>
    <xf numFmtId="3" fontId="71" fillId="16" borderId="38" xfId="0" applyNumberFormat="1" applyFont="1" applyFill="1" applyBorder="1" applyAlignment="1">
      <alignment vertical="center" wrapText="1"/>
    </xf>
    <xf numFmtId="0" fontId="68" fillId="15" borderId="41" xfId="0" applyFont="1" applyFill="1" applyBorder="1" applyAlignment="1">
      <alignment vertical="center" wrapText="1"/>
    </xf>
    <xf numFmtId="0" fontId="70" fillId="16" borderId="43" xfId="0" applyFont="1" applyFill="1" applyBorder="1" applyAlignment="1">
      <alignment vertical="center" wrapText="1"/>
    </xf>
    <xf numFmtId="10" fontId="71" fillId="16" borderId="36" xfId="0" applyNumberFormat="1" applyFont="1" applyFill="1" applyBorder="1" applyAlignment="1">
      <alignment vertical="center" wrapText="1"/>
    </xf>
    <xf numFmtId="168" fontId="2" fillId="0" borderId="0" xfId="0" applyNumberFormat="1" applyFont="1"/>
    <xf numFmtId="4" fontId="26" fillId="0" borderId="0" xfId="0" applyNumberFormat="1" applyFont="1"/>
    <xf numFmtId="4" fontId="2" fillId="0" borderId="0" xfId="0" applyNumberFormat="1" applyFont="1" applyAlignment="1">
      <alignment horizontal="center"/>
    </xf>
    <xf numFmtId="0" fontId="68" fillId="15" borderId="39" xfId="0" applyFont="1" applyFill="1" applyBorder="1" applyAlignment="1">
      <alignment vertical="center" wrapText="1"/>
    </xf>
    <xf numFmtId="0" fontId="68" fillId="15" borderId="40" xfId="0" applyFont="1" applyFill="1" applyBorder="1" applyAlignment="1">
      <alignment vertical="center" wrapText="1"/>
    </xf>
    <xf numFmtId="0" fontId="68" fillId="15" borderId="42" xfId="0" applyFont="1" applyFill="1" applyBorder="1" applyAlignment="1">
      <alignment vertical="center" wrapText="1"/>
    </xf>
    <xf numFmtId="173" fontId="25" fillId="0" borderId="2" xfId="0" applyNumberFormat="1" applyFont="1" applyBorder="1" applyAlignment="1">
      <alignment horizontal="center" vertical="center" wrapText="1"/>
    </xf>
    <xf numFmtId="3" fontId="10" fillId="4" borderId="0" xfId="0" applyNumberFormat="1" applyFont="1" applyFill="1" applyAlignment="1">
      <alignment horizontal="center" vertical="center"/>
    </xf>
    <xf numFmtId="0" fontId="64" fillId="4" borderId="2" xfId="0" applyFont="1" applyFill="1" applyBorder="1" applyAlignment="1">
      <alignment horizontal="center"/>
    </xf>
    <xf numFmtId="3" fontId="10" fillId="4" borderId="6" xfId="1" applyNumberFormat="1" applyFont="1" applyFill="1" applyBorder="1" applyAlignment="1">
      <alignment horizontal="center" vertical="center"/>
    </xf>
    <xf numFmtId="3" fontId="10" fillId="4" borderId="0" xfId="1" applyNumberFormat="1" applyFont="1" applyFill="1" applyAlignment="1">
      <alignment horizontal="center"/>
    </xf>
    <xf numFmtId="3" fontId="57" fillId="4" borderId="0" xfId="0" applyNumberFormat="1" applyFont="1" applyFill="1" applyAlignment="1">
      <alignment horizontal="center" vertical="center"/>
    </xf>
    <xf numFmtId="10" fontId="10" fillId="0" borderId="6" xfId="1" applyNumberFormat="1" applyFont="1" applyBorder="1" applyAlignment="1">
      <alignment horizontal="center" vertical="center"/>
    </xf>
    <xf numFmtId="165" fontId="71" fillId="16" borderId="36" xfId="0" applyNumberFormat="1" applyFont="1" applyFill="1" applyBorder="1" applyAlignment="1">
      <alignment vertical="center" wrapText="1"/>
    </xf>
    <xf numFmtId="165" fontId="71" fillId="16" borderId="38" xfId="0" applyNumberFormat="1" applyFont="1" applyFill="1" applyBorder="1" applyAlignment="1">
      <alignment vertical="center" wrapText="1"/>
    </xf>
    <xf numFmtId="3" fontId="2" fillId="0" borderId="3" xfId="0" applyNumberFormat="1" applyFont="1" applyBorder="1" applyAlignment="1">
      <alignment horizontal="center"/>
    </xf>
    <xf numFmtId="3" fontId="25" fillId="0" borderId="2" xfId="0" applyNumberFormat="1" applyFont="1" applyBorder="1" applyAlignment="1">
      <alignment horizontal="center" vertical="center" wrapText="1"/>
    </xf>
    <xf numFmtId="165" fontId="71" fillId="16" borderId="36" xfId="0" applyNumberFormat="1" applyFont="1" applyFill="1" applyBorder="1" applyAlignment="1">
      <alignment horizontal="center" vertical="center" wrapText="1"/>
    </xf>
    <xf numFmtId="165" fontId="71" fillId="16" borderId="38" xfId="0" applyNumberFormat="1" applyFont="1" applyFill="1" applyBorder="1" applyAlignment="1">
      <alignment horizontal="center" vertical="center" wrapText="1"/>
    </xf>
    <xf numFmtId="168" fontId="10" fillId="0" borderId="0" xfId="0" applyNumberFormat="1" applyFont="1" applyAlignment="1">
      <alignment horizontal="center"/>
    </xf>
    <xf numFmtId="165" fontId="2" fillId="0" borderId="3" xfId="0" applyNumberFormat="1" applyFont="1" applyBorder="1"/>
    <xf numFmtId="0" fontId="70" fillId="16" borderId="2" xfId="0" applyFont="1" applyFill="1" applyBorder="1" applyAlignment="1">
      <alignment vertical="center" wrapText="1"/>
    </xf>
    <xf numFmtId="3" fontId="25" fillId="5" borderId="29" xfId="0" applyNumberFormat="1" applyFont="1" applyFill="1" applyBorder="1" applyAlignment="1">
      <alignment horizontal="center"/>
    </xf>
    <xf numFmtId="3" fontId="25" fillId="5" borderId="30" xfId="0" applyNumberFormat="1" applyFont="1" applyFill="1" applyBorder="1" applyAlignment="1">
      <alignment horizontal="center"/>
    </xf>
    <xf numFmtId="3" fontId="2" fillId="5" borderId="29" xfId="0" applyNumberFormat="1" applyFont="1" applyFill="1" applyBorder="1" applyAlignment="1">
      <alignment horizontal="center"/>
    </xf>
    <xf numFmtId="3" fontId="2" fillId="5" borderId="31" xfId="0" applyNumberFormat="1" applyFont="1" applyFill="1" applyBorder="1" applyAlignment="1">
      <alignment horizontal="center"/>
    </xf>
    <xf numFmtId="3" fontId="2" fillId="5" borderId="5" xfId="0" applyNumberFormat="1" applyFont="1" applyFill="1" applyBorder="1" applyAlignment="1">
      <alignment horizontal="center"/>
    </xf>
    <xf numFmtId="3" fontId="2" fillId="5" borderId="32" xfId="0" applyNumberFormat="1" applyFont="1" applyFill="1" applyBorder="1" applyAlignment="1">
      <alignment horizontal="center"/>
    </xf>
    <xf numFmtId="3" fontId="2" fillId="5" borderId="8" xfId="0" applyNumberFormat="1" applyFont="1" applyFill="1" applyBorder="1" applyAlignment="1">
      <alignment horizontal="center"/>
    </xf>
    <xf numFmtId="3" fontId="2" fillId="5" borderId="33" xfId="0" applyNumberFormat="1" applyFont="1" applyFill="1" applyBorder="1" applyAlignment="1">
      <alignment horizontal="center"/>
    </xf>
    <xf numFmtId="3" fontId="39" fillId="0" borderId="0" xfId="0" applyNumberFormat="1" applyFont="1" applyAlignment="1">
      <alignment horizontal="center" vertical="center" textRotation="90" wrapText="1"/>
    </xf>
    <xf numFmtId="165" fontId="2" fillId="0" borderId="2" xfId="0" applyNumberFormat="1" applyFont="1" applyBorder="1" applyAlignment="1">
      <alignment horizontal="center"/>
    </xf>
    <xf numFmtId="3" fontId="25" fillId="0" borderId="0" xfId="0" applyNumberFormat="1" applyFont="1" applyAlignment="1">
      <alignment horizontal="center"/>
    </xf>
    <xf numFmtId="3" fontId="25" fillId="0" borderId="2" xfId="0" applyNumberFormat="1" applyFont="1" applyBorder="1" applyAlignment="1">
      <alignment horizontal="center"/>
    </xf>
    <xf numFmtId="3" fontId="25" fillId="0" borderId="19" xfId="0" applyNumberFormat="1" applyFont="1" applyBorder="1" applyAlignment="1">
      <alignment horizontal="center"/>
    </xf>
    <xf numFmtId="3" fontId="25" fillId="0" borderId="20" xfId="0" applyNumberFormat="1" applyFont="1" applyBorder="1" applyAlignment="1">
      <alignment horizontal="center"/>
    </xf>
    <xf numFmtId="3" fontId="25" fillId="0" borderId="21" xfId="0" applyNumberFormat="1" applyFont="1" applyBorder="1" applyAlignment="1">
      <alignment horizontal="center"/>
    </xf>
    <xf numFmtId="0" fontId="29" fillId="0" borderId="0" xfId="0" applyFont="1" applyAlignment="1">
      <alignment horizontal="left" wrapText="1"/>
    </xf>
    <xf numFmtId="0" fontId="34" fillId="0" borderId="0" xfId="0" applyFont="1" applyAlignment="1">
      <alignment horizontal="left" wrapText="1"/>
    </xf>
    <xf numFmtId="3" fontId="25" fillId="0" borderId="5" xfId="0" applyNumberFormat="1" applyFont="1" applyBorder="1" applyAlignment="1">
      <alignment horizontal="center" vertical="center"/>
    </xf>
    <xf numFmtId="0" fontId="0" fillId="0" borderId="6" xfId="0" applyBorder="1" applyAlignment="1">
      <alignment horizontal="center" vertical="center"/>
    </xf>
  </cellXfs>
  <cellStyles count="6">
    <cellStyle name="Millares [0]" xfId="4" builtinId="6"/>
    <cellStyle name="Normal" xfId="0" builtinId="0"/>
    <cellStyle name="Normal 2" xfId="1" xr:uid="{00000000-0005-0000-0000-000002000000}"/>
    <cellStyle name="Normal 2 2" xfId="2" xr:uid="{00000000-0005-0000-0000-000003000000}"/>
    <cellStyle name="Normal_OCT98" xfId="5" xr:uid="{09A995A7-0D15-4DE5-BE1B-70244039CB4D}"/>
    <cellStyle name="Porcentaje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eetMetadata" Target="metadata.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carla.seguel/Configuraci&#243;n%20local/Archivos%20temporales%20de%20Internet/Content.Outlook/6O42UGFW/Emission%20Reduction%20Calculation%20v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carla.seguel\Configuraci&#243;n%20local\Archivos%20temporales%20de%20Internet\Content.Outlook\6O42UGFW\Emission%20Reduction%20Calculation%20v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F-1 data"/>
      <sheetName val="Emissions"/>
      <sheetName val="Monrep Tables"/>
      <sheetName val="PDD tables 1"/>
      <sheetName val="PDD tables 2"/>
      <sheetName val="------"/>
    </sheetNames>
    <sheetDataSet>
      <sheetData sheetId="0" refreshError="1"/>
      <sheetData sheetId="1" refreshError="1">
        <row r="73">
          <cell r="E73">
            <v>0.84</v>
          </cell>
        </row>
      </sheetData>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F-1 data"/>
      <sheetName val="Emissions"/>
      <sheetName val="Monrep Tables"/>
      <sheetName val="PDD tables 1"/>
      <sheetName val="PDD tables 2"/>
      <sheetName val="------"/>
    </sheetNames>
    <sheetDataSet>
      <sheetData sheetId="0" refreshError="1"/>
      <sheetData sheetId="1" refreshError="1">
        <row r="73">
          <cell r="E73">
            <v>0.84</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98739-0E69-42AC-88E2-CA7569AB3087}">
  <dimension ref="B2:W73"/>
  <sheetViews>
    <sheetView showGridLines="0" topLeftCell="A14" zoomScale="60" zoomScaleNormal="60" workbookViewId="0">
      <selection activeCell="K56" sqref="K56"/>
    </sheetView>
  </sheetViews>
  <sheetFormatPr baseColWidth="10" defaultColWidth="11.453125" defaultRowHeight="12.5" x14ac:dyDescent="0.25"/>
  <cols>
    <col min="1" max="1" width="7.1796875" style="239" customWidth="1"/>
    <col min="2" max="2" width="91.1796875" style="239" customWidth="1"/>
    <col min="3" max="3" width="19.81640625" style="239" customWidth="1"/>
    <col min="4" max="4" width="14" style="239" bestFit="1" customWidth="1"/>
    <col min="5" max="5" width="15.453125" style="239" bestFit="1" customWidth="1"/>
    <col min="6" max="6" width="14.81640625" style="239" bestFit="1" customWidth="1"/>
    <col min="7" max="7" width="21.7265625" style="239" customWidth="1"/>
    <col min="8" max="8" width="11.1796875" style="239" customWidth="1"/>
    <col min="9" max="9" width="22.7265625" style="239" bestFit="1" customWidth="1"/>
    <col min="10" max="10" width="25.1796875" style="239" customWidth="1"/>
    <col min="11" max="11" width="7.7265625" style="239" bestFit="1" customWidth="1"/>
    <col min="12" max="12" width="10.453125" style="239" customWidth="1"/>
    <col min="13" max="13" width="8.54296875" style="239" bestFit="1" customWidth="1"/>
    <col min="14" max="14" width="10.81640625" style="239" customWidth="1"/>
    <col min="15" max="16384" width="11.453125" style="239"/>
  </cols>
  <sheetData>
    <row r="2" spans="2:7" ht="23" x14ac:dyDescent="0.5">
      <c r="B2" s="1" t="s">
        <v>0</v>
      </c>
    </row>
    <row r="5" spans="2:7" ht="13" x14ac:dyDescent="0.3">
      <c r="B5" s="240" t="s">
        <v>1</v>
      </c>
      <c r="C5" s="233" t="s">
        <v>2</v>
      </c>
    </row>
    <row r="6" spans="2:7" ht="13" x14ac:dyDescent="0.3">
      <c r="B6" s="240" t="s">
        <v>3</v>
      </c>
      <c r="C6" s="233" t="s">
        <v>4</v>
      </c>
    </row>
    <row r="8" spans="2:7" ht="13" x14ac:dyDescent="0.3">
      <c r="B8" s="240" t="s">
        <v>5</v>
      </c>
      <c r="C8" s="233" t="s">
        <v>568</v>
      </c>
    </row>
    <row r="9" spans="2:7" ht="15" x14ac:dyDescent="0.3">
      <c r="B9" s="240" t="s">
        <v>6</v>
      </c>
      <c r="C9" s="233" t="s">
        <v>4</v>
      </c>
    </row>
    <row r="13" spans="2:7" ht="15.5" x14ac:dyDescent="0.35">
      <c r="B13" s="367" t="s">
        <v>7</v>
      </c>
    </row>
    <row r="15" spans="2:7" ht="13" x14ac:dyDescent="0.3">
      <c r="B15" s="233" t="s">
        <v>8</v>
      </c>
      <c r="C15" s="368"/>
      <c r="D15" s="203"/>
      <c r="E15" s="203">
        <v>2023</v>
      </c>
      <c r="F15" s="203">
        <v>2022</v>
      </c>
      <c r="G15" s="203">
        <v>2021</v>
      </c>
    </row>
    <row r="16" spans="2:7" ht="15.5" x14ac:dyDescent="0.4">
      <c r="B16" s="370" t="s">
        <v>9</v>
      </c>
      <c r="C16" s="371" t="s">
        <v>10</v>
      </c>
      <c r="D16" s="599"/>
      <c r="E16" s="599">
        <f>'Monrep Tables'!D26</f>
        <v>0.71122102021228806</v>
      </c>
      <c r="F16" s="599">
        <f>'Monrep Tables'!F26</f>
        <v>0.75151352443754971</v>
      </c>
      <c r="G16" s="599">
        <f>'Monrep Tables'!H26</f>
        <v>0.81495408383058654</v>
      </c>
    </row>
    <row r="17" spans="2:7" ht="15.5" x14ac:dyDescent="0.4">
      <c r="B17" s="372" t="s">
        <v>11</v>
      </c>
      <c r="C17" s="373" t="s">
        <v>10</v>
      </c>
      <c r="D17" s="599"/>
      <c r="E17" s="599">
        <f>'Monrep Tables'!D27</f>
        <v>3.4538858919874872E-3</v>
      </c>
      <c r="F17" s="599">
        <f>'Monrep Tables'!F27</f>
        <v>8.9103145677009776E-2</v>
      </c>
      <c r="G17" s="599">
        <f>'Monrep Tables'!H27</f>
        <v>0.15286289717842125</v>
      </c>
    </row>
    <row r="18" spans="2:7" ht="15.5" x14ac:dyDescent="0.4">
      <c r="B18" s="372" t="s">
        <v>12</v>
      </c>
      <c r="C18" s="373" t="s">
        <v>10</v>
      </c>
      <c r="D18" s="599"/>
      <c r="E18" s="599">
        <f>'Monrep Tables'!E34</f>
        <v>0.35733745305213777</v>
      </c>
      <c r="F18" s="599">
        <f>'Monrep Tables'!G34</f>
        <v>0.42030833505727971</v>
      </c>
      <c r="G18" s="599">
        <f>'Monrep Tables'!I34</f>
        <v>0.48390849050450391</v>
      </c>
    </row>
    <row r="19" spans="2:7" x14ac:dyDescent="0.25">
      <c r="B19" s="375"/>
      <c r="C19" s="376"/>
      <c r="D19" s="376"/>
      <c r="E19" s="376"/>
      <c r="F19" s="376"/>
      <c r="G19" s="376"/>
    </row>
    <row r="20" spans="2:7" ht="13" x14ac:dyDescent="0.3">
      <c r="B20" s="240" t="s">
        <v>13</v>
      </c>
      <c r="C20" s="241" t="s">
        <v>14</v>
      </c>
      <c r="D20" s="600"/>
      <c r="E20" s="600">
        <f>'Monrep Tables'!E21</f>
        <v>184735.2824015182</v>
      </c>
      <c r="F20" s="600">
        <f>'Monrep Tables'!G21</f>
        <v>205079.81639923638</v>
      </c>
      <c r="G20" s="600">
        <f>'Monrep Tables'!I21</f>
        <v>242359.16372295262</v>
      </c>
    </row>
    <row r="21" spans="2:7" x14ac:dyDescent="0.25">
      <c r="B21" s="377" t="s">
        <v>15</v>
      </c>
      <c r="C21" s="371" t="s">
        <v>16</v>
      </c>
      <c r="D21" s="371"/>
      <c r="E21" s="371">
        <f>Emissions!F156</f>
        <v>23298.101238687712</v>
      </c>
      <c r="F21" s="371">
        <f>Emissions!G156</f>
        <v>30594.367717625239</v>
      </c>
      <c r="G21" s="371">
        <f>Emissions!H156</f>
        <v>28910.096698937999</v>
      </c>
    </row>
    <row r="22" spans="2:7" x14ac:dyDescent="0.25">
      <c r="B22" s="378" t="s">
        <v>17</v>
      </c>
      <c r="C22" s="373" t="s">
        <v>16</v>
      </c>
      <c r="D22" s="371"/>
      <c r="E22" s="371">
        <f>Emissions!F157</f>
        <v>0</v>
      </c>
      <c r="F22" s="371">
        <f>Emissions!G157</f>
        <v>0</v>
      </c>
      <c r="G22" s="371">
        <f>Emissions!H157</f>
        <v>0</v>
      </c>
    </row>
    <row r="23" spans="2:7" x14ac:dyDescent="0.25">
      <c r="B23" s="379" t="s">
        <v>18</v>
      </c>
      <c r="C23" s="376" t="s">
        <v>16</v>
      </c>
      <c r="D23" s="371"/>
      <c r="E23" s="371">
        <f>Emissions!F158</f>
        <v>0</v>
      </c>
      <c r="F23" s="371">
        <f>Emissions!G158</f>
        <v>0</v>
      </c>
      <c r="G23" s="371">
        <f>Emissions!H158</f>
        <v>0</v>
      </c>
    </row>
    <row r="24" spans="2:7" ht="13" x14ac:dyDescent="0.3">
      <c r="B24" s="380" t="s">
        <v>19</v>
      </c>
      <c r="C24" s="241" t="s">
        <v>16</v>
      </c>
      <c r="D24" s="233"/>
      <c r="E24" s="233">
        <f>SUM(E21:E23)</f>
        <v>23298.101238687712</v>
      </c>
      <c r="F24" s="233">
        <f>SUM(F21:F23)</f>
        <v>30594.367717625239</v>
      </c>
      <c r="G24" s="233">
        <f>SUM(G21:G23)</f>
        <v>28910.096698937999</v>
      </c>
    </row>
    <row r="25" spans="2:7" ht="13" x14ac:dyDescent="0.3">
      <c r="B25" s="381" t="s">
        <v>20</v>
      </c>
      <c r="C25" s="241" t="s">
        <v>16</v>
      </c>
      <c r="D25" s="233"/>
      <c r="E25" s="233">
        <f>Emissions!F164</f>
        <v>160867.80862153979</v>
      </c>
      <c r="F25" s="233">
        <f>Emissions!G164</f>
        <v>147858.05572776368</v>
      </c>
      <c r="G25" s="233">
        <f>Emissions!H164</f>
        <v>196535.6311414754</v>
      </c>
    </row>
    <row r="26" spans="2:7" x14ac:dyDescent="0.25">
      <c r="B26" s="382"/>
      <c r="C26" s="241"/>
      <c r="D26" s="241"/>
      <c r="E26" s="241"/>
      <c r="F26" s="241"/>
      <c r="G26" s="241"/>
    </row>
    <row r="27" spans="2:7" ht="13" x14ac:dyDescent="0.3">
      <c r="B27" s="383" t="s">
        <v>21</v>
      </c>
      <c r="C27" s="371"/>
      <c r="D27" s="371"/>
      <c r="E27" s="371"/>
      <c r="F27" s="371"/>
      <c r="G27" s="371"/>
    </row>
    <row r="28" spans="2:7" x14ac:dyDescent="0.25">
      <c r="B28" s="384" t="s">
        <v>22</v>
      </c>
      <c r="C28" s="373" t="s">
        <v>23</v>
      </c>
      <c r="D28" s="373"/>
      <c r="E28" s="373">
        <f>'2023 Data'!Q80</f>
        <v>87067.067835384107</v>
      </c>
      <c r="F28" s="373">
        <f>'2022 Data'!Q77</f>
        <v>87200.277549861581</v>
      </c>
      <c r="G28" s="373">
        <f>'2021 Data '!Q73</f>
        <v>44865.339423838544</v>
      </c>
    </row>
    <row r="29" spans="2:7" x14ac:dyDescent="0.25">
      <c r="B29" s="384" t="s">
        <v>24</v>
      </c>
      <c r="C29" s="373" t="s">
        <v>23</v>
      </c>
      <c r="D29" s="373"/>
      <c r="E29" s="373">
        <f>'2023 Data'!Q82</f>
        <v>139.30730853661458</v>
      </c>
      <c r="F29" s="373">
        <f>'2022 Data'!Q79</f>
        <v>139.52044407977851</v>
      </c>
      <c r="G29" s="373">
        <f>'2021 Data '!Q75</f>
        <v>71.784543078141667</v>
      </c>
    </row>
    <row r="30" spans="2:7" ht="13" x14ac:dyDescent="0.3">
      <c r="B30" s="385" t="s">
        <v>25</v>
      </c>
      <c r="C30" s="373"/>
      <c r="D30" s="373"/>
      <c r="E30" s="373"/>
      <c r="F30" s="373"/>
      <c r="G30" s="373"/>
    </row>
    <row r="31" spans="2:7" x14ac:dyDescent="0.25">
      <c r="B31" s="386" t="s">
        <v>26</v>
      </c>
      <c r="C31" s="373" t="s">
        <v>23</v>
      </c>
      <c r="D31" s="373"/>
      <c r="E31" s="373">
        <f>'2023 Data'!Q111</f>
        <v>79628</v>
      </c>
      <c r="F31" s="373">
        <f>'2022 Data'!Q108</f>
        <v>67203</v>
      </c>
      <c r="G31" s="373">
        <f>'2021 Data '!Q104</f>
        <v>72232</v>
      </c>
    </row>
    <row r="32" spans="2:7" ht="13" x14ac:dyDescent="0.3">
      <c r="B32" s="385" t="s">
        <v>27</v>
      </c>
      <c r="C32" s="373"/>
      <c r="D32" s="373"/>
      <c r="E32" s="373"/>
      <c r="F32" s="373"/>
      <c r="G32" s="373"/>
    </row>
    <row r="33" spans="2:23" x14ac:dyDescent="0.25">
      <c r="B33" s="375" t="s">
        <v>22</v>
      </c>
      <c r="C33" s="376" t="s">
        <v>23</v>
      </c>
      <c r="D33" s="376"/>
      <c r="E33" s="376">
        <f>'2023 Data'!Q123</f>
        <v>0</v>
      </c>
      <c r="F33" s="376">
        <f>'2022 Data'!Q120</f>
        <v>0</v>
      </c>
      <c r="G33" s="376">
        <f>'2021 Data '!Q116</f>
        <v>0</v>
      </c>
    </row>
    <row r="34" spans="2:23" ht="13" x14ac:dyDescent="0.3">
      <c r="B34" s="197"/>
      <c r="C34" s="238"/>
      <c r="D34" s="369"/>
    </row>
    <row r="35" spans="2:23" ht="13" x14ac:dyDescent="0.3">
      <c r="B35" s="197"/>
      <c r="C35" s="238"/>
      <c r="D35" s="369"/>
    </row>
    <row r="36" spans="2:23" ht="15.5" x14ac:dyDescent="0.35">
      <c r="B36" s="367" t="s">
        <v>686</v>
      </c>
      <c r="C36" s="238"/>
      <c r="D36" s="369"/>
    </row>
    <row r="37" spans="2:23" ht="15.5" x14ac:dyDescent="0.35">
      <c r="B37" s="369" t="s">
        <v>28</v>
      </c>
      <c r="O37" s="367"/>
    </row>
    <row r="38" spans="2:23" ht="13" thickBot="1" x14ac:dyDescent="0.3"/>
    <row r="39" spans="2:23" ht="13.5" thickBot="1" x14ac:dyDescent="0.35">
      <c r="D39" s="831" t="s">
        <v>29</v>
      </c>
      <c r="E39" s="832"/>
      <c r="F39" s="831" t="s">
        <v>30</v>
      </c>
      <c r="G39" s="833"/>
      <c r="H39" s="833"/>
      <c r="I39" s="833"/>
      <c r="J39" s="833"/>
      <c r="K39" s="832"/>
      <c r="Q39" s="829"/>
      <c r="R39" s="829"/>
      <c r="S39" s="829"/>
      <c r="T39" s="829"/>
      <c r="U39" s="829"/>
      <c r="V39" s="829"/>
    </row>
    <row r="40" spans="2:23" ht="37.5" x14ac:dyDescent="0.3">
      <c r="B40" s="387"/>
      <c r="C40" s="388" t="s">
        <v>31</v>
      </c>
      <c r="D40" s="389" t="s">
        <v>32</v>
      </c>
      <c r="E40" s="390" t="s">
        <v>33</v>
      </c>
      <c r="F40" s="391" t="s">
        <v>34</v>
      </c>
      <c r="G40" s="392" t="s">
        <v>35</v>
      </c>
      <c r="H40" s="393" t="s">
        <v>36</v>
      </c>
      <c r="I40" s="390" t="s">
        <v>37</v>
      </c>
      <c r="J40" s="394" t="s">
        <v>38</v>
      </c>
      <c r="K40" s="394" t="s">
        <v>39</v>
      </c>
      <c r="L40" s="394" t="s">
        <v>40</v>
      </c>
      <c r="O40" s="395"/>
      <c r="P40" s="396"/>
      <c r="Q40" s="397"/>
      <c r="R40" s="397"/>
      <c r="S40" s="397"/>
      <c r="T40" s="397"/>
      <c r="U40" s="397"/>
      <c r="V40" s="397"/>
      <c r="W40" s="397"/>
    </row>
    <row r="41" spans="2:23" ht="24.75" customHeight="1" x14ac:dyDescent="0.4">
      <c r="B41" s="819" t="s">
        <v>8</v>
      </c>
      <c r="C41" s="820" t="s">
        <v>41</v>
      </c>
      <c r="D41" s="821" t="s">
        <v>42</v>
      </c>
      <c r="E41" s="822" t="s">
        <v>43</v>
      </c>
      <c r="F41" s="823" t="s">
        <v>42</v>
      </c>
      <c r="G41" s="824" t="s">
        <v>43</v>
      </c>
      <c r="H41" s="825">
        <f>Emissions!E265</f>
        <v>0</v>
      </c>
      <c r="I41" s="822" t="s">
        <v>42</v>
      </c>
      <c r="J41" s="822" t="s">
        <v>42</v>
      </c>
      <c r="K41" s="826"/>
      <c r="L41" s="826" t="s">
        <v>42</v>
      </c>
      <c r="O41" s="395"/>
      <c r="P41" s="395"/>
      <c r="Q41" s="238"/>
      <c r="R41" s="238"/>
      <c r="S41" s="238"/>
      <c r="T41" s="238"/>
      <c r="U41" s="238"/>
      <c r="V41" s="238"/>
      <c r="W41" s="238"/>
    </row>
    <row r="42" spans="2:23" x14ac:dyDescent="0.25">
      <c r="B42" s="595" t="s">
        <v>571</v>
      </c>
      <c r="C42" s="597">
        <f>(D42+E42)-(F42+G42+H42+I42+J42+K42)</f>
        <v>124319.75732278654</v>
      </c>
      <c r="D42" s="597">
        <f>Emissions!F173</f>
        <v>66012.835302225925</v>
      </c>
      <c r="E42" s="597">
        <f>Emissions!F174</f>
        <v>64784.525141434249</v>
      </c>
      <c r="F42" s="597">
        <f>Emissions!F263</f>
        <v>453.77737030529931</v>
      </c>
      <c r="G42" s="597">
        <f>Emissions!F264</f>
        <v>733.2564536629867</v>
      </c>
      <c r="H42" s="597">
        <v>0</v>
      </c>
      <c r="I42" s="597">
        <f>Emissions!F266</f>
        <v>1107.2149329855843</v>
      </c>
      <c r="J42" s="597">
        <f>Emissions!F267</f>
        <v>4183.3543639197733</v>
      </c>
      <c r="K42" s="597">
        <f>Emissions!F268</f>
        <v>0</v>
      </c>
      <c r="L42" s="597">
        <v>0</v>
      </c>
    </row>
    <row r="43" spans="2:23" x14ac:dyDescent="0.25">
      <c r="B43" s="595" t="s">
        <v>572</v>
      </c>
      <c r="C43" s="597">
        <f t="shared" ref="C43:C44" si="0">(D43+E43)-(F43+G43+H43+I43+J43+K43)</f>
        <v>141540.65755958436</v>
      </c>
      <c r="D43" s="597">
        <f>Emissions!G173</f>
        <v>86196.756184615646</v>
      </c>
      <c r="E43" s="597">
        <f>Emissions!G174</f>
        <v>61225.410525437881</v>
      </c>
      <c r="F43" s="597">
        <f>Emissions!G263</f>
        <v>420.33641260301283</v>
      </c>
      <c r="G43" s="597">
        <f>Emissions!G264</f>
        <v>149.51287252559453</v>
      </c>
      <c r="H43" s="597">
        <f>Emissions!G265</f>
        <v>0</v>
      </c>
      <c r="I43" s="597">
        <f>Emissions!G266</f>
        <v>982.54543739529697</v>
      </c>
      <c r="J43" s="597">
        <f>Emissions!G267</f>
        <v>4329.1144279452365</v>
      </c>
      <c r="K43" s="597">
        <v>0</v>
      </c>
      <c r="L43" s="597">
        <v>0</v>
      </c>
    </row>
    <row r="44" spans="2:23" ht="13" thickBot="1" x14ac:dyDescent="0.3">
      <c r="B44" s="596" t="s">
        <v>573</v>
      </c>
      <c r="C44" s="598">
        <f t="shared" si="0"/>
        <v>194979.14828377802</v>
      </c>
      <c r="D44" s="598">
        <f>Emissions!H173</f>
        <v>117279.65707710793</v>
      </c>
      <c r="E44" s="598">
        <f>Emissions!H174</f>
        <v>85134.170541116648</v>
      </c>
      <c r="F44" s="598">
        <f>Emissions!H263</f>
        <v>318.71328531179643</v>
      </c>
      <c r="G44" s="598">
        <f>Emissions!H264</f>
        <v>97.308948165037435</v>
      </c>
      <c r="H44" s="598">
        <v>0</v>
      </c>
      <c r="I44" s="598">
        <f>Emissions!H266</f>
        <v>1507.4418919654672</v>
      </c>
      <c r="J44" s="598">
        <f>Emissions!H267</f>
        <v>5511.2152090042591</v>
      </c>
      <c r="K44" s="598">
        <f>Emissions!H268</f>
        <v>0</v>
      </c>
      <c r="L44" s="598">
        <v>0</v>
      </c>
    </row>
    <row r="46" spans="2:23" ht="25.4" customHeight="1" thickBot="1" x14ac:dyDescent="0.35">
      <c r="B46" s="369" t="s">
        <v>44</v>
      </c>
    </row>
    <row r="47" spans="2:23" ht="25.4" customHeight="1" x14ac:dyDescent="0.3">
      <c r="C47" s="813" t="s">
        <v>31</v>
      </c>
      <c r="D47" s="830" t="s">
        <v>29</v>
      </c>
      <c r="E47" s="830"/>
      <c r="F47" s="830" t="s">
        <v>30</v>
      </c>
      <c r="G47" s="830"/>
      <c r="H47" s="830"/>
      <c r="I47" s="830"/>
      <c r="J47" s="830"/>
      <c r="K47" s="830"/>
      <c r="L47" s="394" t="s">
        <v>40</v>
      </c>
    </row>
    <row r="48" spans="2:23" ht="25.4" customHeight="1" x14ac:dyDescent="0.25">
      <c r="B48" s="818" t="s">
        <v>694</v>
      </c>
      <c r="C48" s="817">
        <f>D48-F48-L48</f>
        <v>124319</v>
      </c>
      <c r="D48" s="828">
        <f>ROUNDDOWN(SUM(D42:E42),0)</f>
        <v>130797</v>
      </c>
      <c r="E48" s="828"/>
      <c r="F48" s="828">
        <f>ROUNDUP(SUM(F42:K42),0)</f>
        <v>6478</v>
      </c>
      <c r="G48" s="828"/>
      <c r="H48" s="828"/>
      <c r="I48" s="828"/>
      <c r="J48" s="828"/>
      <c r="K48" s="828"/>
      <c r="L48" s="292">
        <v>0</v>
      </c>
    </row>
    <row r="49" spans="2:15" ht="25.4" customHeight="1" x14ac:dyDescent="0.25">
      <c r="B49" s="818" t="s">
        <v>701</v>
      </c>
      <c r="C49" s="817">
        <f t="shared" ref="C49:C50" si="1">D49-F49-L49</f>
        <v>141540</v>
      </c>
      <c r="D49" s="828">
        <f>ROUNDDOWN(SUM(D43:E43),0)</f>
        <v>147422</v>
      </c>
      <c r="E49" s="828"/>
      <c r="F49" s="828">
        <f t="shared" ref="F49:F50" si="2">ROUNDUP(SUM(F43:K43),0)</f>
        <v>5882</v>
      </c>
      <c r="G49" s="828"/>
      <c r="H49" s="828"/>
      <c r="I49" s="828"/>
      <c r="J49" s="828"/>
      <c r="K49" s="828"/>
      <c r="L49" s="812">
        <v>0</v>
      </c>
    </row>
    <row r="50" spans="2:15" ht="25.4" customHeight="1" x14ac:dyDescent="0.25">
      <c r="B50" s="818" t="s">
        <v>702</v>
      </c>
      <c r="C50" s="817">
        <f t="shared" si="1"/>
        <v>194978</v>
      </c>
      <c r="D50" s="828">
        <f>ROUNDDOWN(SUM(D44:E44),0)</f>
        <v>202413</v>
      </c>
      <c r="E50" s="828"/>
      <c r="F50" s="828">
        <f t="shared" si="2"/>
        <v>7435</v>
      </c>
      <c r="G50" s="828"/>
      <c r="H50" s="828"/>
      <c r="I50" s="828"/>
      <c r="J50" s="828"/>
      <c r="K50" s="828"/>
      <c r="L50" s="812">
        <v>0</v>
      </c>
    </row>
    <row r="51" spans="2:15" ht="25.4" customHeight="1" x14ac:dyDescent="0.3">
      <c r="B51" s="237" t="s">
        <v>45</v>
      </c>
      <c r="O51" s="237"/>
    </row>
    <row r="52" spans="2:15" x14ac:dyDescent="0.25">
      <c r="C52" s="399"/>
      <c r="D52" s="374"/>
    </row>
    <row r="54" spans="2:15" ht="13" x14ac:dyDescent="0.3">
      <c r="F54" s="765"/>
      <c r="M54" s="369" t="s">
        <v>46</v>
      </c>
      <c r="N54" s="239" t="s">
        <v>46</v>
      </c>
    </row>
    <row r="55" spans="2:15" ht="15" customHeight="1" x14ac:dyDescent="0.25">
      <c r="F55" s="765"/>
      <c r="I55" s="400"/>
    </row>
    <row r="56" spans="2:15" ht="48" customHeight="1" thickBot="1" x14ac:dyDescent="0.3">
      <c r="B56" s="786" t="s">
        <v>687</v>
      </c>
      <c r="C56" s="786" t="s">
        <v>688</v>
      </c>
      <c r="D56" s="786" t="s">
        <v>689</v>
      </c>
      <c r="E56" s="786" t="s">
        <v>690</v>
      </c>
      <c r="F56" s="786" t="s">
        <v>691</v>
      </c>
      <c r="G56" s="786" t="s">
        <v>692</v>
      </c>
      <c r="H56" s="787" t="s">
        <v>693</v>
      </c>
    </row>
    <row r="57" spans="2:15" ht="32.5" customHeight="1" thickBot="1" x14ac:dyDescent="0.3">
      <c r="B57" s="788" t="s">
        <v>694</v>
      </c>
      <c r="C57" s="810">
        <f>ROUNDDOWN(D42+E42,0)</f>
        <v>130797</v>
      </c>
      <c r="D57" s="810">
        <f>ROUNDUP(SUM(F42:K42),0)</f>
        <v>6478</v>
      </c>
      <c r="E57" s="789">
        <f>L42</f>
        <v>0</v>
      </c>
      <c r="F57" s="814">
        <f>C57-D57-E57</f>
        <v>124319</v>
      </c>
      <c r="G57" s="790">
        <v>0</v>
      </c>
      <c r="H57" s="791">
        <f>F57</f>
        <v>124319</v>
      </c>
    </row>
    <row r="58" spans="2:15" ht="32.5" customHeight="1" thickBot="1" x14ac:dyDescent="0.3">
      <c r="B58" s="788" t="s">
        <v>701</v>
      </c>
      <c r="C58" s="810">
        <f>ROUNDDOWN(D43+E43,0)</f>
        <v>147422</v>
      </c>
      <c r="D58" s="810">
        <f>ROUNDUP(SUM(F43:K43),0)</f>
        <v>5882</v>
      </c>
      <c r="E58" s="789">
        <f>L43</f>
        <v>0</v>
      </c>
      <c r="F58" s="814">
        <f>C58-D58-E58</f>
        <v>141540</v>
      </c>
      <c r="G58" s="790">
        <v>0</v>
      </c>
      <c r="H58" s="791">
        <f t="shared" ref="H58" si="3">F58</f>
        <v>141540</v>
      </c>
    </row>
    <row r="59" spans="2:15" ht="32.5" customHeight="1" thickBot="1" x14ac:dyDescent="0.3">
      <c r="B59" s="788" t="s">
        <v>702</v>
      </c>
      <c r="C59" s="810">
        <f>ROUNDDOWN(D44+E44,0)</f>
        <v>202413</v>
      </c>
      <c r="D59" s="810">
        <f>ROUNDUP(SUM(F44:K44),0)</f>
        <v>7435</v>
      </c>
      <c r="E59" s="789">
        <f>L44</f>
        <v>0</v>
      </c>
      <c r="F59" s="814">
        <f>C59-D59-E59</f>
        <v>194978</v>
      </c>
      <c r="G59" s="790">
        <v>0</v>
      </c>
      <c r="H59" s="791">
        <f>F59</f>
        <v>194978</v>
      </c>
      <c r="N59" s="827"/>
    </row>
    <row r="60" spans="2:15" ht="32.5" customHeight="1" x14ac:dyDescent="0.25">
      <c r="B60" s="792" t="s">
        <v>695</v>
      </c>
      <c r="C60" s="811">
        <f>SUM(C57:C59)</f>
        <v>480632</v>
      </c>
      <c r="D60" s="811">
        <f>SUM(D57:D59)</f>
        <v>19795</v>
      </c>
      <c r="E60" s="793">
        <f t="shared" ref="E60:G60" si="4">SUM(E57:E59)</f>
        <v>0</v>
      </c>
      <c r="F60" s="815">
        <f>SUM(F57:F59)</f>
        <v>460837</v>
      </c>
      <c r="G60" s="793">
        <f t="shared" si="4"/>
        <v>0</v>
      </c>
      <c r="H60" s="811">
        <f>SUM(H57:H59)</f>
        <v>460837</v>
      </c>
      <c r="N60" s="827"/>
    </row>
    <row r="61" spans="2:15" x14ac:dyDescent="0.25">
      <c r="N61" s="827"/>
    </row>
    <row r="62" spans="2:15" x14ac:dyDescent="0.25">
      <c r="N62" s="827"/>
    </row>
    <row r="63" spans="2:15" x14ac:dyDescent="0.25">
      <c r="N63" s="827"/>
    </row>
    <row r="64" spans="2:15" ht="13" thickBot="1" x14ac:dyDescent="0.3">
      <c r="N64" s="827"/>
    </row>
    <row r="65" spans="2:14" ht="26" x14ac:dyDescent="0.25">
      <c r="B65" s="800" t="s">
        <v>687</v>
      </c>
      <c r="C65" s="794" t="s">
        <v>696</v>
      </c>
      <c r="D65" s="794" t="s">
        <v>698</v>
      </c>
      <c r="E65" s="794" t="s">
        <v>699</v>
      </c>
      <c r="F65" s="802" t="s">
        <v>700</v>
      </c>
      <c r="K65" s="374"/>
      <c r="L65" s="374"/>
    </row>
    <row r="66" spans="2:14" ht="13.5" thickBot="1" x14ac:dyDescent="0.3">
      <c r="B66" s="801"/>
      <c r="C66" s="787" t="s">
        <v>697</v>
      </c>
      <c r="D66" s="787" t="s">
        <v>697</v>
      </c>
      <c r="E66" s="787"/>
      <c r="F66" s="786"/>
      <c r="K66" s="797"/>
      <c r="L66" s="797"/>
      <c r="N66" s="374"/>
    </row>
    <row r="67" spans="2:14" ht="169.5" thickBot="1" x14ac:dyDescent="0.3">
      <c r="B67" s="795" t="s">
        <v>694</v>
      </c>
      <c r="C67" s="789">
        <v>258093</v>
      </c>
      <c r="D67" s="810">
        <f>H57</f>
        <v>124319</v>
      </c>
      <c r="E67" s="796">
        <f>(D67-C67)/C67</f>
        <v>-0.51831704075662643</v>
      </c>
      <c r="F67" s="790" t="s">
        <v>705</v>
      </c>
    </row>
    <row r="68" spans="2:14" ht="169.5" thickBot="1" x14ac:dyDescent="0.35">
      <c r="B68" s="795" t="s">
        <v>701</v>
      </c>
      <c r="C68" s="789">
        <v>258093</v>
      </c>
      <c r="D68" s="810">
        <f>H58</f>
        <v>141540</v>
      </c>
      <c r="E68" s="796">
        <f t="shared" ref="E68:E70" si="5">(D68-C68)/C68</f>
        <v>-0.45159303041926746</v>
      </c>
      <c r="F68" s="790" t="s">
        <v>706</v>
      </c>
      <c r="M68" s="401"/>
    </row>
    <row r="69" spans="2:14" ht="169.5" thickBot="1" x14ac:dyDescent="0.3">
      <c r="B69" s="795" t="s">
        <v>702</v>
      </c>
      <c r="C69" s="789">
        <v>258093</v>
      </c>
      <c r="D69" s="810">
        <f>H59</f>
        <v>194978</v>
      </c>
      <c r="E69" s="796">
        <f t="shared" si="5"/>
        <v>-0.24454363349645283</v>
      </c>
      <c r="F69" s="790" t="s">
        <v>707</v>
      </c>
    </row>
    <row r="70" spans="2:14" ht="16" thickBot="1" x14ac:dyDescent="0.4">
      <c r="B70" s="795" t="s">
        <v>379</v>
      </c>
      <c r="C70" s="789">
        <f>SUM(C67:C69)</f>
        <v>774279</v>
      </c>
      <c r="D70" s="810">
        <f>SUM(D67:D69)</f>
        <v>460837</v>
      </c>
      <c r="E70" s="796">
        <f t="shared" si="5"/>
        <v>-0.40481790155744896</v>
      </c>
      <c r="F70" s="790"/>
      <c r="M70" s="402"/>
    </row>
    <row r="73" spans="2:14" ht="15.5" x14ac:dyDescent="0.35">
      <c r="M73" s="403"/>
    </row>
  </sheetData>
  <mergeCells count="13">
    <mergeCell ref="Q39:R39"/>
    <mergeCell ref="S39:V39"/>
    <mergeCell ref="D47:E47"/>
    <mergeCell ref="F47:K47"/>
    <mergeCell ref="D39:E39"/>
    <mergeCell ref="F39:K39"/>
    <mergeCell ref="N59:N64"/>
    <mergeCell ref="D48:E48"/>
    <mergeCell ref="F48:K48"/>
    <mergeCell ref="D49:E49"/>
    <mergeCell ref="F49:K49"/>
    <mergeCell ref="D50:E50"/>
    <mergeCell ref="F50:K50"/>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43620-DB68-4ACE-A80D-EC61C3596C0B}">
  <dimension ref="B1:M65"/>
  <sheetViews>
    <sheetView topLeftCell="A47" zoomScale="75" zoomScaleNormal="75" workbookViewId="0">
      <selection activeCell="K62" sqref="K62"/>
    </sheetView>
  </sheetViews>
  <sheetFormatPr baseColWidth="10" defaultRowHeight="14.5" x14ac:dyDescent="0.35"/>
  <cols>
    <col min="2" max="2" width="10.81640625" style="602"/>
    <col min="3" max="3" width="27" bestFit="1" customWidth="1"/>
    <col min="4" max="4" width="11.453125" customWidth="1"/>
    <col min="5" max="5" width="23.453125" customWidth="1"/>
    <col min="6" max="6" width="19.453125" style="602" customWidth="1"/>
    <col min="7" max="7" width="17.453125" bestFit="1" customWidth="1"/>
    <col min="8" max="8" width="12.7265625" customWidth="1"/>
  </cols>
  <sheetData>
    <row r="1" spans="2:13" ht="26" x14ac:dyDescent="0.6">
      <c r="B1" s="735"/>
    </row>
    <row r="3" spans="2:13" ht="15" x14ac:dyDescent="0.35">
      <c r="B3" s="736" t="s">
        <v>574</v>
      </c>
      <c r="C3" s="737" t="s">
        <v>575</v>
      </c>
      <c r="D3" s="737" t="s">
        <v>576</v>
      </c>
      <c r="E3" s="737" t="s">
        <v>577</v>
      </c>
      <c r="F3" s="737" t="s">
        <v>578</v>
      </c>
      <c r="G3" s="737" t="s">
        <v>579</v>
      </c>
      <c r="H3" s="738" t="s">
        <v>580</v>
      </c>
    </row>
    <row r="4" spans="2:13" ht="28" x14ac:dyDescent="0.35">
      <c r="B4" s="739">
        <v>1</v>
      </c>
      <c r="C4" s="740" t="s">
        <v>631</v>
      </c>
      <c r="D4" s="741" t="s">
        <v>582</v>
      </c>
      <c r="E4" s="742" t="s">
        <v>583</v>
      </c>
      <c r="F4" s="743">
        <v>15882.894</v>
      </c>
      <c r="G4" s="744">
        <v>17711.339999999924</v>
      </c>
      <c r="H4" s="745" t="s">
        <v>584</v>
      </c>
      <c r="K4" s="760">
        <f>SUM(F4:F56)</f>
        <v>278788.84682999999</v>
      </c>
      <c r="L4" s="761">
        <f>SUM(G4:G56)</f>
        <v>303171.07999999996</v>
      </c>
    </row>
    <row r="5" spans="2:13" ht="28" x14ac:dyDescent="0.35">
      <c r="B5" s="739">
        <v>2</v>
      </c>
      <c r="C5" s="740" t="s">
        <v>632</v>
      </c>
      <c r="D5" s="741" t="s">
        <v>582</v>
      </c>
      <c r="E5" s="742" t="s">
        <v>583</v>
      </c>
      <c r="F5" s="743">
        <v>1842.9699999999998</v>
      </c>
      <c r="G5" s="747">
        <v>1823.3999999999994</v>
      </c>
      <c r="H5" s="745" t="s">
        <v>584</v>
      </c>
      <c r="K5" s="762">
        <f>SUM(F57:F58)</f>
        <v>149689.01300000001</v>
      </c>
      <c r="L5" s="763">
        <f>SUM(G57:G58)</f>
        <v>12489.640000000003</v>
      </c>
      <c r="M5" s="746"/>
    </row>
    <row r="6" spans="2:13" ht="28" x14ac:dyDescent="0.35">
      <c r="B6" s="739">
        <v>3</v>
      </c>
      <c r="C6" s="748" t="s">
        <v>633</v>
      </c>
      <c r="D6" s="741" t="s">
        <v>582</v>
      </c>
      <c r="E6" s="742" t="s">
        <v>583</v>
      </c>
      <c r="F6" s="743">
        <v>1186.9000000000001</v>
      </c>
      <c r="G6" s="749">
        <v>526.24</v>
      </c>
      <c r="H6" s="745" t="s">
        <v>584</v>
      </c>
      <c r="K6" s="746"/>
      <c r="L6" s="750"/>
      <c r="M6" s="746"/>
    </row>
    <row r="7" spans="2:13" ht="28" x14ac:dyDescent="0.35">
      <c r="B7" s="739">
        <v>4</v>
      </c>
      <c r="C7" s="740" t="s">
        <v>634</v>
      </c>
      <c r="D7" s="741" t="s">
        <v>582</v>
      </c>
      <c r="E7" s="742" t="s">
        <v>583</v>
      </c>
      <c r="F7" s="743">
        <v>7026.13</v>
      </c>
      <c r="G7" s="744">
        <v>1275.7400000000007</v>
      </c>
      <c r="H7" s="745" t="s">
        <v>584</v>
      </c>
      <c r="M7" s="746"/>
    </row>
    <row r="8" spans="2:13" ht="28" x14ac:dyDescent="0.35">
      <c r="B8" s="739">
        <v>5</v>
      </c>
      <c r="C8" s="740" t="s">
        <v>635</v>
      </c>
      <c r="D8" s="741" t="s">
        <v>582</v>
      </c>
      <c r="E8" s="742" t="s">
        <v>583</v>
      </c>
      <c r="F8" s="743">
        <v>2829.84</v>
      </c>
      <c r="G8" s="744">
        <v>3170.16</v>
      </c>
      <c r="H8" s="745" t="s">
        <v>584</v>
      </c>
    </row>
    <row r="9" spans="2:13" ht="28" x14ac:dyDescent="0.35">
      <c r="B9" s="739">
        <v>6</v>
      </c>
      <c r="C9" s="740" t="s">
        <v>636</v>
      </c>
      <c r="D9" s="741" t="s">
        <v>582</v>
      </c>
      <c r="E9" s="742" t="s">
        <v>583</v>
      </c>
      <c r="F9" s="743">
        <v>6844.5199999999995</v>
      </c>
      <c r="G9" s="744">
        <v>22536.219999999994</v>
      </c>
      <c r="H9" s="745" t="s">
        <v>584</v>
      </c>
    </row>
    <row r="10" spans="2:13" ht="28" x14ac:dyDescent="0.35">
      <c r="B10" s="739">
        <v>7</v>
      </c>
      <c r="C10" s="748" t="s">
        <v>581</v>
      </c>
      <c r="D10" s="741" t="s">
        <v>582</v>
      </c>
      <c r="E10" s="742" t="s">
        <v>583</v>
      </c>
      <c r="F10" s="743">
        <v>3729.86</v>
      </c>
      <c r="G10" s="749">
        <v>3209.94</v>
      </c>
      <c r="H10" s="745" t="s">
        <v>584</v>
      </c>
    </row>
    <row r="11" spans="2:13" ht="28" x14ac:dyDescent="0.35">
      <c r="B11" s="739">
        <v>8</v>
      </c>
      <c r="C11" s="748" t="s">
        <v>637</v>
      </c>
      <c r="D11" s="741" t="s">
        <v>582</v>
      </c>
      <c r="E11" s="742" t="s">
        <v>583</v>
      </c>
      <c r="F11" s="743">
        <v>6988.37</v>
      </c>
      <c r="G11" s="747">
        <v>7824.5800000000017</v>
      </c>
      <c r="H11" s="745" t="s">
        <v>584</v>
      </c>
    </row>
    <row r="12" spans="2:13" ht="28" x14ac:dyDescent="0.35">
      <c r="B12" s="739">
        <v>9</v>
      </c>
      <c r="C12" s="740" t="s">
        <v>638</v>
      </c>
      <c r="D12" s="741" t="s">
        <v>582</v>
      </c>
      <c r="E12" s="742" t="s">
        <v>583</v>
      </c>
      <c r="F12" s="743">
        <v>1544.17</v>
      </c>
      <c r="G12" s="744">
        <v>6334.4</v>
      </c>
      <c r="H12" s="745" t="s">
        <v>584</v>
      </c>
    </row>
    <row r="13" spans="2:13" ht="28" x14ac:dyDescent="0.35">
      <c r="B13" s="739">
        <v>10</v>
      </c>
      <c r="C13" s="748" t="s">
        <v>585</v>
      </c>
      <c r="D13" s="741" t="s">
        <v>582</v>
      </c>
      <c r="E13" s="742" t="s">
        <v>583</v>
      </c>
      <c r="F13" s="743">
        <v>825.23</v>
      </c>
      <c r="G13" s="749">
        <v>567.12000000000012</v>
      </c>
      <c r="H13" s="745" t="s">
        <v>584</v>
      </c>
    </row>
    <row r="14" spans="2:13" ht="28" x14ac:dyDescent="0.35">
      <c r="B14" s="739">
        <v>11</v>
      </c>
      <c r="C14" s="748" t="s">
        <v>639</v>
      </c>
      <c r="D14" s="741" t="s">
        <v>582</v>
      </c>
      <c r="E14" s="742" t="s">
        <v>583</v>
      </c>
      <c r="F14" s="743">
        <v>1349.96</v>
      </c>
      <c r="G14" s="749">
        <v>1123.6199999999997</v>
      </c>
      <c r="H14" s="745" t="s">
        <v>584</v>
      </c>
    </row>
    <row r="15" spans="2:13" ht="28" x14ac:dyDescent="0.35">
      <c r="B15" s="739">
        <v>12</v>
      </c>
      <c r="C15" s="748" t="s">
        <v>640</v>
      </c>
      <c r="D15" s="741" t="s">
        <v>582</v>
      </c>
      <c r="E15" s="742" t="s">
        <v>583</v>
      </c>
      <c r="F15" s="743">
        <v>4192.3999999999996</v>
      </c>
      <c r="G15" s="749">
        <v>1958.88</v>
      </c>
      <c r="H15" s="745" t="s">
        <v>584</v>
      </c>
    </row>
    <row r="16" spans="2:13" ht="28" x14ac:dyDescent="0.35">
      <c r="B16" s="739">
        <v>13</v>
      </c>
      <c r="C16" s="748" t="s">
        <v>586</v>
      </c>
      <c r="D16" s="741" t="s">
        <v>582</v>
      </c>
      <c r="E16" s="742" t="s">
        <v>583</v>
      </c>
      <c r="F16" s="743">
        <v>1789.8400000000001</v>
      </c>
      <c r="G16" s="749">
        <v>529.84000000000071</v>
      </c>
      <c r="H16" s="745" t="s">
        <v>584</v>
      </c>
    </row>
    <row r="17" spans="2:8" ht="28" x14ac:dyDescent="0.35">
      <c r="B17" s="739">
        <v>14</v>
      </c>
      <c r="C17" s="748" t="s">
        <v>641</v>
      </c>
      <c r="D17" s="741" t="s">
        <v>582</v>
      </c>
      <c r="E17" s="742" t="s">
        <v>583</v>
      </c>
      <c r="F17" s="743">
        <v>1066.56</v>
      </c>
      <c r="G17" s="749">
        <v>2461.8000000000002</v>
      </c>
      <c r="H17" s="745" t="s">
        <v>584</v>
      </c>
    </row>
    <row r="18" spans="2:8" ht="28" x14ac:dyDescent="0.35">
      <c r="B18" s="739">
        <v>15</v>
      </c>
      <c r="C18" s="748" t="s">
        <v>642</v>
      </c>
      <c r="D18" s="741" t="s">
        <v>582</v>
      </c>
      <c r="E18" s="742" t="s">
        <v>583</v>
      </c>
      <c r="F18" s="743">
        <v>913.86999999999989</v>
      </c>
      <c r="G18" s="749">
        <v>780.8399999999998</v>
      </c>
      <c r="H18" s="745" t="s">
        <v>584</v>
      </c>
    </row>
    <row r="19" spans="2:8" ht="28" x14ac:dyDescent="0.35">
      <c r="B19" s="739">
        <v>16</v>
      </c>
      <c r="C19" s="748" t="s">
        <v>643</v>
      </c>
      <c r="D19" s="741" t="s">
        <v>582</v>
      </c>
      <c r="E19" s="742" t="s">
        <v>583</v>
      </c>
      <c r="F19" s="743">
        <v>6177.1</v>
      </c>
      <c r="G19" s="749">
        <v>1541.2800000000007</v>
      </c>
      <c r="H19" s="745" t="s">
        <v>584</v>
      </c>
    </row>
    <row r="20" spans="2:8" ht="28" x14ac:dyDescent="0.35">
      <c r="B20" s="739">
        <v>17</v>
      </c>
      <c r="C20" s="748" t="s">
        <v>644</v>
      </c>
      <c r="D20" s="741" t="s">
        <v>582</v>
      </c>
      <c r="E20" s="742" t="s">
        <v>583</v>
      </c>
      <c r="F20" s="743">
        <v>537.28</v>
      </c>
      <c r="G20" s="749">
        <v>706.51999999999987</v>
      </c>
      <c r="H20" s="745" t="s">
        <v>584</v>
      </c>
    </row>
    <row r="21" spans="2:8" ht="28" x14ac:dyDescent="0.35">
      <c r="B21" s="739">
        <v>18</v>
      </c>
      <c r="C21" s="748" t="s">
        <v>587</v>
      </c>
      <c r="D21" s="741" t="s">
        <v>582</v>
      </c>
      <c r="E21" s="742" t="s">
        <v>583</v>
      </c>
      <c r="F21" s="743">
        <v>2256.58</v>
      </c>
      <c r="G21" s="749">
        <v>4534.6600000000008</v>
      </c>
      <c r="H21" s="745" t="s">
        <v>584</v>
      </c>
    </row>
    <row r="22" spans="2:8" ht="28" x14ac:dyDescent="0.35">
      <c r="B22" s="739">
        <v>19</v>
      </c>
      <c r="C22" s="748" t="s">
        <v>645</v>
      </c>
      <c r="D22" s="741" t="s">
        <v>582</v>
      </c>
      <c r="E22" s="742" t="s">
        <v>583</v>
      </c>
      <c r="F22" s="743">
        <v>6767</v>
      </c>
      <c r="G22" s="749">
        <v>3540.079999999999</v>
      </c>
      <c r="H22" s="745" t="s">
        <v>584</v>
      </c>
    </row>
    <row r="23" spans="2:8" ht="28" x14ac:dyDescent="0.35">
      <c r="B23" s="739">
        <v>20</v>
      </c>
      <c r="C23" s="748" t="s">
        <v>646</v>
      </c>
      <c r="D23" s="741" t="s">
        <v>582</v>
      </c>
      <c r="E23" s="742" t="s">
        <v>583</v>
      </c>
      <c r="F23" s="743">
        <v>245.38</v>
      </c>
      <c r="G23" s="749">
        <v>1801.58</v>
      </c>
      <c r="H23" s="745" t="s">
        <v>584</v>
      </c>
    </row>
    <row r="24" spans="2:8" ht="28" x14ac:dyDescent="0.35">
      <c r="B24" s="739">
        <v>21</v>
      </c>
      <c r="C24" s="748" t="s">
        <v>647</v>
      </c>
      <c r="D24" s="741" t="s">
        <v>582</v>
      </c>
      <c r="E24" s="742" t="s">
        <v>583</v>
      </c>
      <c r="F24" s="743">
        <v>4055.76</v>
      </c>
      <c r="G24" s="749">
        <v>3152.4200000000005</v>
      </c>
      <c r="H24" s="745" t="s">
        <v>584</v>
      </c>
    </row>
    <row r="25" spans="2:8" ht="28" x14ac:dyDescent="0.35">
      <c r="B25" s="739">
        <v>22</v>
      </c>
      <c r="C25" s="748" t="s">
        <v>648</v>
      </c>
      <c r="D25" s="741" t="s">
        <v>582</v>
      </c>
      <c r="E25" s="742" t="s">
        <v>583</v>
      </c>
      <c r="F25" s="743">
        <v>535.55999999999995</v>
      </c>
      <c r="G25" s="749">
        <v>291.07999999999993</v>
      </c>
      <c r="H25" s="745" t="s">
        <v>584</v>
      </c>
    </row>
    <row r="26" spans="2:8" ht="28" x14ac:dyDescent="0.35">
      <c r="B26" s="739">
        <v>23</v>
      </c>
      <c r="C26" s="748" t="s">
        <v>649</v>
      </c>
      <c r="D26" s="741" t="s">
        <v>582</v>
      </c>
      <c r="E26" s="742" t="s">
        <v>583</v>
      </c>
      <c r="F26" s="743">
        <v>1709.9929999999999</v>
      </c>
      <c r="G26" s="749">
        <v>898.98</v>
      </c>
      <c r="H26" s="745" t="s">
        <v>584</v>
      </c>
    </row>
    <row r="27" spans="2:8" ht="28" x14ac:dyDescent="0.35">
      <c r="B27" s="739">
        <v>24</v>
      </c>
      <c r="C27" s="748" t="s">
        <v>650</v>
      </c>
      <c r="D27" s="741" t="s">
        <v>582</v>
      </c>
      <c r="E27" s="742" t="s">
        <v>583</v>
      </c>
      <c r="F27" s="743">
        <v>650.48</v>
      </c>
      <c r="G27" s="749">
        <v>340.59999999999991</v>
      </c>
      <c r="H27" s="745" t="s">
        <v>584</v>
      </c>
    </row>
    <row r="28" spans="2:8" ht="28" x14ac:dyDescent="0.35">
      <c r="B28" s="739">
        <v>25</v>
      </c>
      <c r="C28" s="748" t="s">
        <v>651</v>
      </c>
      <c r="D28" s="741" t="s">
        <v>582</v>
      </c>
      <c r="E28" s="742" t="s">
        <v>583</v>
      </c>
      <c r="F28" s="743">
        <v>892.71</v>
      </c>
      <c r="G28" s="749">
        <v>769.3</v>
      </c>
      <c r="H28" s="745" t="s">
        <v>584</v>
      </c>
    </row>
    <row r="29" spans="2:8" ht="28" x14ac:dyDescent="0.35">
      <c r="B29" s="739">
        <v>26</v>
      </c>
      <c r="C29" s="748" t="s">
        <v>588</v>
      </c>
      <c r="D29" s="741" t="s">
        <v>582</v>
      </c>
      <c r="E29" s="742" t="s">
        <v>583</v>
      </c>
      <c r="F29" s="743">
        <v>1711.99</v>
      </c>
      <c r="G29" s="749">
        <v>3982.64</v>
      </c>
      <c r="H29" s="745" t="s">
        <v>584</v>
      </c>
    </row>
    <row r="30" spans="2:8" ht="28" x14ac:dyDescent="0.35">
      <c r="B30" s="739">
        <v>27</v>
      </c>
      <c r="C30" s="748" t="s">
        <v>589</v>
      </c>
      <c r="D30" s="741" t="s">
        <v>582</v>
      </c>
      <c r="E30" s="742" t="s">
        <v>583</v>
      </c>
      <c r="F30" s="743">
        <v>19329.618999999999</v>
      </c>
      <c r="G30" s="749">
        <v>60512.48000000001</v>
      </c>
      <c r="H30" s="745" t="s">
        <v>584</v>
      </c>
    </row>
    <row r="31" spans="2:8" ht="28" x14ac:dyDescent="0.35">
      <c r="B31" s="739">
        <v>28</v>
      </c>
      <c r="C31" s="748" t="s">
        <v>625</v>
      </c>
      <c r="D31" s="741" t="s">
        <v>582</v>
      </c>
      <c r="E31" s="742" t="s">
        <v>583</v>
      </c>
      <c r="F31" s="743">
        <v>30773.016999999996</v>
      </c>
      <c r="G31" s="749">
        <v>34891.059999999976</v>
      </c>
      <c r="H31" s="745" t="s">
        <v>584</v>
      </c>
    </row>
    <row r="32" spans="2:8" ht="28" x14ac:dyDescent="0.35">
      <c r="B32" s="739">
        <v>29</v>
      </c>
      <c r="C32" s="748" t="s">
        <v>590</v>
      </c>
      <c r="D32" s="741" t="s">
        <v>582</v>
      </c>
      <c r="E32" s="742" t="s">
        <v>583</v>
      </c>
      <c r="F32" s="743">
        <v>18718.153000000002</v>
      </c>
      <c r="G32" s="749">
        <v>21772.3</v>
      </c>
      <c r="H32" s="745" t="s">
        <v>584</v>
      </c>
    </row>
    <row r="33" spans="2:8" ht="28" x14ac:dyDescent="0.35">
      <c r="B33" s="739">
        <v>30</v>
      </c>
      <c r="C33" s="748" t="s">
        <v>591</v>
      </c>
      <c r="D33" s="741" t="s">
        <v>582</v>
      </c>
      <c r="E33" s="742" t="s">
        <v>583</v>
      </c>
      <c r="F33" s="743">
        <v>19093.202000000005</v>
      </c>
      <c r="G33" s="749">
        <v>4592.6400000000003</v>
      </c>
      <c r="H33" s="745" t="s">
        <v>584</v>
      </c>
    </row>
    <row r="34" spans="2:8" ht="28" x14ac:dyDescent="0.35">
      <c r="B34" s="739">
        <v>31</v>
      </c>
      <c r="C34" s="748" t="s">
        <v>592</v>
      </c>
      <c r="D34" s="741" t="s">
        <v>582</v>
      </c>
      <c r="E34" s="742" t="s">
        <v>583</v>
      </c>
      <c r="F34" s="743">
        <v>7387.9350000000004</v>
      </c>
      <c r="G34" s="749">
        <v>7175.7000000000007</v>
      </c>
      <c r="H34" s="745" t="s">
        <v>584</v>
      </c>
    </row>
    <row r="35" spans="2:8" ht="28" x14ac:dyDescent="0.35">
      <c r="B35" s="739">
        <v>32</v>
      </c>
      <c r="C35" s="748" t="s">
        <v>593</v>
      </c>
      <c r="D35" s="741" t="s">
        <v>582</v>
      </c>
      <c r="E35" s="742" t="s">
        <v>583</v>
      </c>
      <c r="F35" s="743">
        <v>7828.652000000001</v>
      </c>
      <c r="G35" s="749">
        <v>6543.9799999999977</v>
      </c>
      <c r="H35" s="745" t="s">
        <v>584</v>
      </c>
    </row>
    <row r="36" spans="2:8" ht="28" x14ac:dyDescent="0.35">
      <c r="B36" s="739">
        <v>33</v>
      </c>
      <c r="C36" s="748" t="s">
        <v>594</v>
      </c>
      <c r="D36" s="741" t="s">
        <v>582</v>
      </c>
      <c r="E36" s="742" t="s">
        <v>583</v>
      </c>
      <c r="F36" s="743">
        <v>17138.592829999998</v>
      </c>
      <c r="G36" s="749">
        <v>3091.7399999999993</v>
      </c>
      <c r="H36" s="745" t="s">
        <v>584</v>
      </c>
    </row>
    <row r="37" spans="2:8" ht="28" x14ac:dyDescent="0.35">
      <c r="B37" s="739">
        <v>34</v>
      </c>
      <c r="C37" s="748" t="s">
        <v>595</v>
      </c>
      <c r="D37" s="741" t="s">
        <v>582</v>
      </c>
      <c r="E37" s="742" t="s">
        <v>583</v>
      </c>
      <c r="F37" s="743">
        <v>2854.9099999999994</v>
      </c>
      <c r="G37" s="749">
        <v>6199.26</v>
      </c>
      <c r="H37" s="745" t="s">
        <v>584</v>
      </c>
    </row>
    <row r="38" spans="2:8" ht="28" x14ac:dyDescent="0.35">
      <c r="B38" s="739">
        <v>35</v>
      </c>
      <c r="C38" s="748" t="s">
        <v>596</v>
      </c>
      <c r="D38" s="741" t="s">
        <v>582</v>
      </c>
      <c r="E38" s="742" t="s">
        <v>583</v>
      </c>
      <c r="F38" s="743">
        <v>16332.313000000002</v>
      </c>
      <c r="G38" s="749">
        <v>7367.3600000000024</v>
      </c>
      <c r="H38" s="745" t="s">
        <v>584</v>
      </c>
    </row>
    <row r="39" spans="2:8" ht="28" x14ac:dyDescent="0.35">
      <c r="B39" s="739">
        <v>36</v>
      </c>
      <c r="C39" s="748" t="s">
        <v>597</v>
      </c>
      <c r="D39" s="741" t="s">
        <v>582</v>
      </c>
      <c r="E39" s="742" t="s">
        <v>583</v>
      </c>
      <c r="F39" s="743">
        <v>7459.03</v>
      </c>
      <c r="G39" s="749">
        <v>5453.88</v>
      </c>
      <c r="H39" s="745" t="s">
        <v>584</v>
      </c>
    </row>
    <row r="40" spans="2:8" ht="28" x14ac:dyDescent="0.35">
      <c r="B40" s="739">
        <v>37</v>
      </c>
      <c r="C40" s="748" t="s">
        <v>598</v>
      </c>
      <c r="D40" s="741" t="s">
        <v>582</v>
      </c>
      <c r="E40" s="742" t="s">
        <v>583</v>
      </c>
      <c r="F40" s="743">
        <v>4439.1590000000015</v>
      </c>
      <c r="G40" s="749">
        <v>15123.38</v>
      </c>
      <c r="H40" s="745" t="s">
        <v>584</v>
      </c>
    </row>
    <row r="41" spans="2:8" ht="28" x14ac:dyDescent="0.35">
      <c r="B41" s="739">
        <v>38</v>
      </c>
      <c r="C41" s="748" t="s">
        <v>599</v>
      </c>
      <c r="D41" s="741" t="s">
        <v>582</v>
      </c>
      <c r="E41" s="742" t="s">
        <v>583</v>
      </c>
      <c r="F41" s="743">
        <v>5061.7999999999993</v>
      </c>
      <c r="G41" s="749">
        <v>2776.4599999999996</v>
      </c>
      <c r="H41" s="745" t="s">
        <v>584</v>
      </c>
    </row>
    <row r="42" spans="2:8" ht="28" x14ac:dyDescent="0.35">
      <c r="B42" s="739">
        <v>39</v>
      </c>
      <c r="C42" s="748" t="s">
        <v>600</v>
      </c>
      <c r="D42" s="741" t="s">
        <v>582</v>
      </c>
      <c r="E42" s="742" t="s">
        <v>583</v>
      </c>
      <c r="F42" s="743">
        <v>17714.447</v>
      </c>
      <c r="G42" s="749">
        <v>8656.4000000000015</v>
      </c>
      <c r="H42" s="745" t="s">
        <v>584</v>
      </c>
    </row>
    <row r="43" spans="2:8" ht="28" x14ac:dyDescent="0.35">
      <c r="B43" s="739">
        <v>40</v>
      </c>
      <c r="C43" s="748" t="s">
        <v>601</v>
      </c>
      <c r="D43" s="741" t="s">
        <v>582</v>
      </c>
      <c r="E43" s="742" t="s">
        <v>583</v>
      </c>
      <c r="F43" s="743">
        <v>2363.462</v>
      </c>
      <c r="G43" s="749">
        <v>1562.3000000000002</v>
      </c>
      <c r="H43" s="745" t="s">
        <v>584</v>
      </c>
    </row>
    <row r="44" spans="2:8" ht="28" x14ac:dyDescent="0.35">
      <c r="B44" s="739">
        <v>41</v>
      </c>
      <c r="C44" s="748" t="s">
        <v>602</v>
      </c>
      <c r="D44" s="741" t="s">
        <v>582</v>
      </c>
      <c r="E44" s="742" t="s">
        <v>583</v>
      </c>
      <c r="F44" s="743">
        <v>3928.0330000000004</v>
      </c>
      <c r="G44" s="749">
        <v>3057.7199999999993</v>
      </c>
      <c r="H44" s="745" t="s">
        <v>584</v>
      </c>
    </row>
    <row r="45" spans="2:8" ht="28" x14ac:dyDescent="0.35">
      <c r="B45" s="739">
        <v>42</v>
      </c>
      <c r="C45" s="748" t="s">
        <v>614</v>
      </c>
      <c r="D45" s="741" t="s">
        <v>582</v>
      </c>
      <c r="E45" s="742" t="s">
        <v>583</v>
      </c>
      <c r="F45" s="743">
        <v>1193.06</v>
      </c>
      <c r="G45" s="749">
        <v>1288.3599999999997</v>
      </c>
      <c r="H45" s="745" t="s">
        <v>584</v>
      </c>
    </row>
    <row r="46" spans="2:8" ht="28" x14ac:dyDescent="0.35">
      <c r="B46" s="739">
        <v>43</v>
      </c>
      <c r="C46" s="748" t="s">
        <v>603</v>
      </c>
      <c r="D46" s="741" t="s">
        <v>582</v>
      </c>
      <c r="E46" s="742" t="s">
        <v>583</v>
      </c>
      <c r="F46" s="743">
        <v>2330.39</v>
      </c>
      <c r="G46" s="749">
        <v>1849.1399999999994</v>
      </c>
      <c r="H46" s="745" t="s">
        <v>584</v>
      </c>
    </row>
    <row r="47" spans="2:8" ht="28" x14ac:dyDescent="0.35">
      <c r="B47" s="739">
        <v>44</v>
      </c>
      <c r="C47" s="748" t="s">
        <v>604</v>
      </c>
      <c r="D47" s="741" t="s">
        <v>582</v>
      </c>
      <c r="E47" s="742" t="s">
        <v>583</v>
      </c>
      <c r="F47" s="743">
        <v>2667.9430000000007</v>
      </c>
      <c r="G47" s="749">
        <v>1201.2</v>
      </c>
      <c r="H47" s="745" t="s">
        <v>584</v>
      </c>
    </row>
    <row r="48" spans="2:8" ht="28" x14ac:dyDescent="0.35">
      <c r="B48" s="739">
        <v>45</v>
      </c>
      <c r="C48" s="748" t="s">
        <v>652</v>
      </c>
      <c r="D48" s="741" t="s">
        <v>582</v>
      </c>
      <c r="E48" s="742" t="s">
        <v>583</v>
      </c>
      <c r="F48" s="743">
        <v>3989.6170000000002</v>
      </c>
      <c r="G48" s="749">
        <v>3450.8599999999997</v>
      </c>
      <c r="H48" s="745" t="s">
        <v>584</v>
      </c>
    </row>
    <row r="49" spans="2:8" ht="28" x14ac:dyDescent="0.35">
      <c r="B49" s="739">
        <v>46</v>
      </c>
      <c r="C49" s="748" t="s">
        <v>653</v>
      </c>
      <c r="D49" s="741" t="s">
        <v>582</v>
      </c>
      <c r="E49" s="742" t="s">
        <v>583</v>
      </c>
      <c r="F49" s="743">
        <v>108.85</v>
      </c>
      <c r="G49" s="749">
        <v>269.89999999999998</v>
      </c>
      <c r="H49" s="745" t="s">
        <v>584</v>
      </c>
    </row>
    <row r="50" spans="2:8" ht="28" x14ac:dyDescent="0.35">
      <c r="B50" s="739">
        <v>47</v>
      </c>
      <c r="C50" s="748" t="s">
        <v>626</v>
      </c>
      <c r="D50" s="741" t="s">
        <v>582</v>
      </c>
      <c r="E50" s="742" t="s">
        <v>583</v>
      </c>
      <c r="F50" s="743">
        <v>1178.4500000000003</v>
      </c>
      <c r="G50" s="749">
        <v>9335.4600000000009</v>
      </c>
      <c r="H50" s="745" t="s">
        <v>584</v>
      </c>
    </row>
    <row r="51" spans="2:8" ht="28" x14ac:dyDescent="0.35">
      <c r="B51" s="739">
        <v>48</v>
      </c>
      <c r="C51" s="748" t="s">
        <v>605</v>
      </c>
      <c r="D51" s="741" t="s">
        <v>582</v>
      </c>
      <c r="E51" s="742" t="s">
        <v>583</v>
      </c>
      <c r="F51" s="743">
        <v>1522.6479999999999</v>
      </c>
      <c r="G51" s="749">
        <v>1439.8799999999997</v>
      </c>
      <c r="H51" s="745" t="s">
        <v>584</v>
      </c>
    </row>
    <row r="52" spans="2:8" ht="28" x14ac:dyDescent="0.35">
      <c r="B52" s="739">
        <v>49</v>
      </c>
      <c r="C52" s="748" t="s">
        <v>654</v>
      </c>
      <c r="D52" s="741" t="s">
        <v>582</v>
      </c>
      <c r="E52" s="742" t="s">
        <v>583</v>
      </c>
      <c r="F52" s="743">
        <v>541.46</v>
      </c>
      <c r="G52" s="749">
        <v>1017.1199999999999</v>
      </c>
      <c r="H52" s="745" t="s">
        <v>584</v>
      </c>
    </row>
    <row r="53" spans="2:8" ht="28" x14ac:dyDescent="0.35">
      <c r="B53" s="739">
        <v>50</v>
      </c>
      <c r="C53" s="748" t="s">
        <v>655</v>
      </c>
      <c r="D53" s="741" t="s">
        <v>582</v>
      </c>
      <c r="E53" s="742" t="s">
        <v>583</v>
      </c>
      <c r="F53" s="743">
        <v>409.18999999999994</v>
      </c>
      <c r="G53" s="749">
        <v>237.29999999999995</v>
      </c>
      <c r="H53" s="745" t="s">
        <v>584</v>
      </c>
    </row>
    <row r="54" spans="2:8" ht="28" x14ac:dyDescent="0.35">
      <c r="B54" s="739">
        <v>51</v>
      </c>
      <c r="C54" s="748" t="s">
        <v>627</v>
      </c>
      <c r="D54" s="741" t="s">
        <v>582</v>
      </c>
      <c r="E54" s="742" t="s">
        <v>583</v>
      </c>
      <c r="F54" s="743">
        <v>716.74700000000007</v>
      </c>
      <c r="G54" s="749">
        <v>442.95999999999992</v>
      </c>
      <c r="H54" s="745" t="s">
        <v>584</v>
      </c>
    </row>
    <row r="55" spans="2:8" ht="28" x14ac:dyDescent="0.35">
      <c r="B55" s="739">
        <v>52</v>
      </c>
      <c r="C55" s="748" t="s">
        <v>656</v>
      </c>
      <c r="D55" s="741" t="s">
        <v>582</v>
      </c>
      <c r="E55" s="742" t="s">
        <v>583</v>
      </c>
      <c r="F55" s="743">
        <v>128.66</v>
      </c>
      <c r="G55" s="749">
        <v>280</v>
      </c>
      <c r="H55" s="745" t="s">
        <v>584</v>
      </c>
    </row>
    <row r="56" spans="2:8" ht="28" x14ac:dyDescent="0.35">
      <c r="B56" s="739">
        <v>53</v>
      </c>
      <c r="C56" s="748" t="s">
        <v>628</v>
      </c>
      <c r="D56" s="741" t="s">
        <v>582</v>
      </c>
      <c r="E56" s="742" t="s">
        <v>583</v>
      </c>
      <c r="F56" s="743">
        <v>26.16</v>
      </c>
      <c r="G56" s="749">
        <v>188.98000000000002</v>
      </c>
      <c r="H56" s="745" t="s">
        <v>584</v>
      </c>
    </row>
    <row r="57" spans="2:8" ht="28" x14ac:dyDescent="0.35">
      <c r="B57" s="739">
        <v>54</v>
      </c>
      <c r="C57" s="748" t="s">
        <v>615</v>
      </c>
      <c r="D57" s="741" t="s">
        <v>582</v>
      </c>
      <c r="E57" s="742" t="s">
        <v>583</v>
      </c>
      <c r="F57" s="743">
        <v>149549.783</v>
      </c>
      <c r="G57" s="749">
        <v>12476.320000000003</v>
      </c>
      <c r="H57" s="745" t="s">
        <v>584</v>
      </c>
    </row>
    <row r="58" spans="2:8" ht="28" x14ac:dyDescent="0.35">
      <c r="B58" s="739">
        <v>55</v>
      </c>
      <c r="C58" s="748" t="s">
        <v>616</v>
      </c>
      <c r="D58" s="741" t="s">
        <v>582</v>
      </c>
      <c r="E58" s="742" t="s">
        <v>583</v>
      </c>
      <c r="F58" s="743">
        <v>139.22999999999999</v>
      </c>
      <c r="G58" s="749">
        <v>13.32</v>
      </c>
      <c r="H58" s="745" t="s">
        <v>584</v>
      </c>
    </row>
    <row r="62" spans="2:8" x14ac:dyDescent="0.35">
      <c r="E62" s="751" t="s">
        <v>617</v>
      </c>
      <c r="F62" s="751" t="s">
        <v>618</v>
      </c>
      <c r="G62" s="752">
        <f>G64*G65</f>
        <v>1507.4418919654672</v>
      </c>
    </row>
    <row r="63" spans="2:8" x14ac:dyDescent="0.35">
      <c r="E63" s="751" t="s">
        <v>619</v>
      </c>
      <c r="F63" s="751" t="s">
        <v>620</v>
      </c>
      <c r="G63" s="753">
        <f>(SUMPRODUCT(F4:F58,G4:G58)/SUM(F4:F58)*2)/1000</f>
        <v>27.272345101761168</v>
      </c>
    </row>
    <row r="64" spans="2:8" x14ac:dyDescent="0.35">
      <c r="E64" s="751" t="s">
        <v>621</v>
      </c>
      <c r="F64" s="751" t="s">
        <v>622</v>
      </c>
      <c r="G64" s="754">
        <f>SUMPRODUCT(F4:F58,G4:G58)*2/1000</f>
        <v>11685596.061747808</v>
      </c>
    </row>
    <row r="65" spans="5:7" x14ac:dyDescent="0.35">
      <c r="E65" s="751" t="s">
        <v>623</v>
      </c>
      <c r="F65" s="751" t="s">
        <v>624</v>
      </c>
      <c r="G65" s="755">
        <f>129/1000000</f>
        <v>1.2899999999999999E-4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9FA91-D541-476F-8F7D-D788D42E4438}">
  <dimension ref="B3:I225"/>
  <sheetViews>
    <sheetView tabSelected="1" topLeftCell="A57" zoomScale="70" zoomScaleNormal="70" workbookViewId="0">
      <selection activeCell="M97" sqref="M97"/>
    </sheetView>
  </sheetViews>
  <sheetFormatPr baseColWidth="10" defaultColWidth="11.453125" defaultRowHeight="12.5" x14ac:dyDescent="0.25"/>
  <cols>
    <col min="1" max="1" width="3.453125" style="197" customWidth="1"/>
    <col min="2" max="2" width="90.1796875" style="197" customWidth="1"/>
    <col min="3" max="3" width="36.81640625" style="199" bestFit="1" customWidth="1"/>
    <col min="4" max="4" width="21.1796875" style="197" bestFit="1" customWidth="1"/>
    <col min="5" max="5" width="22.81640625" style="197" bestFit="1" customWidth="1"/>
    <col min="6" max="6" width="21.1796875" style="197" bestFit="1" customWidth="1"/>
    <col min="7" max="7" width="23.81640625" style="197" bestFit="1" customWidth="1"/>
    <col min="8" max="8" width="21.1796875" style="197" bestFit="1" customWidth="1"/>
    <col min="9" max="9" width="23" style="197" bestFit="1" customWidth="1"/>
    <col min="10" max="16384" width="11.453125" style="197"/>
  </cols>
  <sheetData>
    <row r="3" spans="2:8" ht="23" x14ac:dyDescent="0.5">
      <c r="B3" s="404" t="s">
        <v>29</v>
      </c>
      <c r="C3" s="195"/>
      <c r="D3" s="196"/>
      <c r="F3" s="196"/>
      <c r="H3" s="196"/>
    </row>
    <row r="5" spans="2:8" x14ac:dyDescent="0.25">
      <c r="B5" s="198" t="s">
        <v>47</v>
      </c>
    </row>
    <row r="6" spans="2:8" x14ac:dyDescent="0.25">
      <c r="B6" s="198"/>
    </row>
    <row r="7" spans="2:8" ht="13" x14ac:dyDescent="0.3">
      <c r="B7" s="200" t="s">
        <v>48</v>
      </c>
    </row>
    <row r="8" spans="2:8" ht="13" x14ac:dyDescent="0.3">
      <c r="B8" s="201"/>
    </row>
    <row r="9" spans="2:8" x14ac:dyDescent="0.25">
      <c r="B9" s="202" t="s">
        <v>49</v>
      </c>
    </row>
    <row r="10" spans="2:8" ht="13" x14ac:dyDescent="0.3">
      <c r="D10" s="203">
        <v>2023</v>
      </c>
      <c r="F10" s="203">
        <v>2022</v>
      </c>
      <c r="H10" s="203">
        <v>2021</v>
      </c>
    </row>
    <row r="11" spans="2:8" ht="15.5" x14ac:dyDescent="0.25">
      <c r="B11" s="204" t="s">
        <v>50</v>
      </c>
      <c r="C11" s="205" t="s">
        <v>51</v>
      </c>
      <c r="D11" s="206">
        <f>'2023 Data'!Q12</f>
        <v>220483.441295161</v>
      </c>
      <c r="F11" s="206">
        <f>'2022 Data'!Q12</f>
        <v>244520.45927352089</v>
      </c>
      <c r="H11" s="206">
        <f>'2021 Data '!Q12</f>
        <v>283541.46975166223</v>
      </c>
    </row>
    <row r="12" spans="2:8" ht="15.5" x14ac:dyDescent="0.25">
      <c r="B12" s="207" t="s">
        <v>52</v>
      </c>
      <c r="C12" s="208" t="s">
        <v>53</v>
      </c>
      <c r="D12" s="209">
        <f>'2023 Data'!Q13</f>
        <v>2052</v>
      </c>
      <c r="F12" s="209">
        <f>'2022 Data'!Q13</f>
        <v>355.72188332933933</v>
      </c>
      <c r="H12" s="209">
        <f>'2021 Data '!Q13</f>
        <v>201.08956563995594</v>
      </c>
    </row>
    <row r="13" spans="2:8" ht="15.5" x14ac:dyDescent="0.25">
      <c r="B13" s="210" t="s">
        <v>54</v>
      </c>
      <c r="C13" s="211" t="s">
        <v>55</v>
      </c>
      <c r="D13" s="212">
        <f>'2023 Data'!Q14</f>
        <v>37800.158893642794</v>
      </c>
      <c r="F13" s="212">
        <f>'2022 Data'!Q14</f>
        <v>39796.364757613846</v>
      </c>
      <c r="H13" s="212">
        <f>'2021 Data '!Q14</f>
        <v>41383.395594349575</v>
      </c>
    </row>
    <row r="14" spans="2:8" x14ac:dyDescent="0.25">
      <c r="B14" s="213" t="s">
        <v>56</v>
      </c>
    </row>
    <row r="15" spans="2:8" x14ac:dyDescent="0.25">
      <c r="B15" s="214" t="s">
        <v>57</v>
      </c>
    </row>
    <row r="16" spans="2:8" x14ac:dyDescent="0.25">
      <c r="B16" s="214" t="s">
        <v>58</v>
      </c>
    </row>
    <row r="17" spans="2:9" x14ac:dyDescent="0.25">
      <c r="F17" s="766">
        <f>E21+G21+I21</f>
        <v>632174.26252370724</v>
      </c>
    </row>
    <row r="19" spans="2:9" x14ac:dyDescent="0.25">
      <c r="B19" s="202" t="s">
        <v>59</v>
      </c>
    </row>
    <row r="20" spans="2:9" ht="13" x14ac:dyDescent="0.3">
      <c r="E20" s="203">
        <v>2023</v>
      </c>
      <c r="G20" s="203">
        <v>2022</v>
      </c>
      <c r="I20" s="203">
        <v>2021</v>
      </c>
    </row>
    <row r="21" spans="2:9" ht="15.5" x14ac:dyDescent="0.25">
      <c r="B21" s="215" t="s">
        <v>60</v>
      </c>
      <c r="C21" s="216" t="s">
        <v>61</v>
      </c>
      <c r="D21" s="217" t="s">
        <v>62</v>
      </c>
      <c r="E21" s="218">
        <f>D11+D12-D13</f>
        <v>184735.2824015182</v>
      </c>
      <c r="F21" s="217" t="s">
        <v>62</v>
      </c>
      <c r="G21" s="218">
        <f>F11+F12-F13</f>
        <v>205079.81639923638</v>
      </c>
      <c r="H21" s="217" t="s">
        <v>62</v>
      </c>
      <c r="I21" s="218">
        <f>H11+H12-H13</f>
        <v>242359.16372295262</v>
      </c>
    </row>
    <row r="24" spans="2:9" x14ac:dyDescent="0.25">
      <c r="B24" s="219" t="s">
        <v>63</v>
      </c>
    </row>
    <row r="25" spans="2:9" ht="13" x14ac:dyDescent="0.3">
      <c r="B25" s="220"/>
      <c r="D25" s="203">
        <v>2023</v>
      </c>
      <c r="F25" s="203">
        <v>2022</v>
      </c>
      <c r="H25" s="203">
        <v>2021</v>
      </c>
    </row>
    <row r="26" spans="2:9" ht="15.5" x14ac:dyDescent="0.25">
      <c r="B26" s="204" t="s">
        <v>64</v>
      </c>
      <c r="C26" s="221" t="s">
        <v>65</v>
      </c>
      <c r="D26" s="222">
        <f>EF!C7</f>
        <v>0.71122102021228806</v>
      </c>
      <c r="F26" s="222">
        <f>EF!C6</f>
        <v>0.75151352443754971</v>
      </c>
      <c r="H26" s="222">
        <f>EF!C5</f>
        <v>0.81495408383058654</v>
      </c>
    </row>
    <row r="27" spans="2:9" ht="15.5" x14ac:dyDescent="0.25">
      <c r="B27" s="207" t="s">
        <v>66</v>
      </c>
      <c r="C27" s="594" t="s">
        <v>67</v>
      </c>
      <c r="D27" s="223">
        <f>EF!D7</f>
        <v>3.4538858919874872E-3</v>
      </c>
      <c r="F27" s="223">
        <f>EF!D6</f>
        <v>8.9103145677009776E-2</v>
      </c>
      <c r="H27" s="223">
        <f>EF!D5</f>
        <v>0.15286289717842125</v>
      </c>
    </row>
    <row r="28" spans="2:9" ht="15.5" x14ac:dyDescent="0.25">
      <c r="B28" s="207" t="s">
        <v>68</v>
      </c>
      <c r="C28" s="594" t="s">
        <v>69</v>
      </c>
      <c r="D28" s="224">
        <v>0.5</v>
      </c>
      <c r="F28" s="224">
        <v>0.5</v>
      </c>
      <c r="H28" s="224">
        <v>0.5</v>
      </c>
    </row>
    <row r="29" spans="2:9" ht="15.5" x14ac:dyDescent="0.25">
      <c r="B29" s="210" t="s">
        <v>70</v>
      </c>
      <c r="C29" s="225" t="s">
        <v>71</v>
      </c>
      <c r="D29" s="226">
        <v>0.5</v>
      </c>
      <c r="F29" s="226">
        <v>0.5</v>
      </c>
      <c r="H29" s="226">
        <v>0.5</v>
      </c>
    </row>
    <row r="30" spans="2:9" x14ac:dyDescent="0.25">
      <c r="B30" s="227"/>
    </row>
    <row r="31" spans="2:9" ht="13" x14ac:dyDescent="0.25">
      <c r="B31" s="220"/>
    </row>
    <row r="32" spans="2:9" x14ac:dyDescent="0.25">
      <c r="B32" s="219" t="s">
        <v>72</v>
      </c>
    </row>
    <row r="33" spans="2:9" ht="13" x14ac:dyDescent="0.3">
      <c r="B33" s="220"/>
      <c r="E33" s="203">
        <v>2023</v>
      </c>
      <c r="G33" s="203">
        <v>2022</v>
      </c>
      <c r="I33" s="203">
        <v>2021</v>
      </c>
    </row>
    <row r="34" spans="2:9" ht="15.5" x14ac:dyDescent="0.25">
      <c r="B34" s="228" t="s">
        <v>73</v>
      </c>
      <c r="C34" s="216" t="s">
        <v>74</v>
      </c>
      <c r="D34" s="217" t="s">
        <v>75</v>
      </c>
      <c r="E34" s="803">
        <f>(D26*D28)+(D27*D29)</f>
        <v>0.35733745305213777</v>
      </c>
      <c r="F34" s="217" t="s">
        <v>75</v>
      </c>
      <c r="G34" s="803">
        <f>(F26*F28)+(F27*F29)</f>
        <v>0.42030833505727971</v>
      </c>
      <c r="H34" s="217" t="s">
        <v>75</v>
      </c>
      <c r="I34" s="803">
        <f>(H26*H28)+(H27*H29)</f>
        <v>0.48390849050450391</v>
      </c>
    </row>
    <row r="35" spans="2:9" ht="13" x14ac:dyDescent="0.25">
      <c r="B35" s="220"/>
    </row>
    <row r="36" spans="2:9" ht="13" x14ac:dyDescent="0.25">
      <c r="B36" s="220"/>
    </row>
    <row r="37" spans="2:9" x14ac:dyDescent="0.25">
      <c r="B37" s="219" t="s">
        <v>76</v>
      </c>
    </row>
    <row r="39" spans="2:9" x14ac:dyDescent="0.25">
      <c r="B39" s="202" t="s">
        <v>49</v>
      </c>
    </row>
    <row r="40" spans="2:9" ht="13" x14ac:dyDescent="0.3">
      <c r="D40" s="203">
        <v>2023</v>
      </c>
      <c r="F40" s="203">
        <v>2022</v>
      </c>
      <c r="H40" s="203">
        <v>2021</v>
      </c>
    </row>
    <row r="41" spans="2:9" ht="15.5" x14ac:dyDescent="0.25">
      <c r="B41" s="204" t="s">
        <v>77</v>
      </c>
      <c r="C41" s="221" t="s">
        <v>78</v>
      </c>
      <c r="D41" s="229">
        <f>E21</f>
        <v>184735.2824015182</v>
      </c>
      <c r="F41" s="229">
        <f>G21</f>
        <v>205079.81639923638</v>
      </c>
      <c r="H41" s="229">
        <f>I21</f>
        <v>242359.16372295262</v>
      </c>
    </row>
    <row r="42" spans="2:9" ht="15.5" x14ac:dyDescent="0.25">
      <c r="B42" s="210" t="s">
        <v>79</v>
      </c>
      <c r="C42" s="225" t="s">
        <v>80</v>
      </c>
      <c r="D42" s="230">
        <v>0</v>
      </c>
      <c r="F42" s="230">
        <v>0</v>
      </c>
      <c r="H42" s="230">
        <v>0</v>
      </c>
    </row>
    <row r="44" spans="2:9" x14ac:dyDescent="0.25">
      <c r="B44" s="219" t="s">
        <v>72</v>
      </c>
    </row>
    <row r="45" spans="2:9" ht="13" x14ac:dyDescent="0.3">
      <c r="E45" s="203">
        <v>2023</v>
      </c>
      <c r="G45" s="203">
        <v>2022</v>
      </c>
      <c r="I45" s="203">
        <v>2021</v>
      </c>
    </row>
    <row r="46" spans="2:9" ht="15.5" x14ac:dyDescent="0.25">
      <c r="B46" s="228" t="s">
        <v>81</v>
      </c>
      <c r="C46" s="216" t="s">
        <v>82</v>
      </c>
      <c r="D46" s="217" t="s">
        <v>83</v>
      </c>
      <c r="E46" s="218">
        <f>MAX(0,(D41-D42))</f>
        <v>184735.2824015182</v>
      </c>
      <c r="F46" s="217" t="s">
        <v>83</v>
      </c>
      <c r="G46" s="218">
        <f>MAX(0,(F41-F42))</f>
        <v>205079.81639923638</v>
      </c>
      <c r="H46" s="217" t="s">
        <v>83</v>
      </c>
      <c r="I46" s="218">
        <f>MAX(0,(H41-H42))</f>
        <v>242359.16372295262</v>
      </c>
    </row>
    <row r="49" spans="2:9" ht="13" x14ac:dyDescent="0.3">
      <c r="B49" s="231"/>
      <c r="C49" s="232"/>
      <c r="D49" s="203">
        <v>2023</v>
      </c>
      <c r="F49" s="203">
        <v>2022</v>
      </c>
      <c r="H49" s="203">
        <v>2021</v>
      </c>
    </row>
    <row r="50" spans="2:9" ht="15" x14ac:dyDescent="0.4">
      <c r="B50" s="231" t="s">
        <v>84</v>
      </c>
      <c r="C50" s="233" t="s">
        <v>85</v>
      </c>
      <c r="D50" s="234">
        <f>E46*E34</f>
        <v>66012.835302225925</v>
      </c>
      <c r="F50" s="234">
        <f>G46*G34</f>
        <v>86196.756184615646</v>
      </c>
      <c r="H50" s="234">
        <f>I46*I34</f>
        <v>117279.65707710793</v>
      </c>
    </row>
    <row r="51" spans="2:9" x14ac:dyDescent="0.25">
      <c r="D51" s="235"/>
      <c r="F51" s="235"/>
      <c r="H51" s="235"/>
    </row>
    <row r="53" spans="2:9" ht="13" x14ac:dyDescent="0.3">
      <c r="B53" s="236" t="s">
        <v>87</v>
      </c>
    </row>
    <row r="54" spans="2:9" ht="13" x14ac:dyDescent="0.3">
      <c r="B54" s="236"/>
    </row>
    <row r="55" spans="2:9" ht="13" x14ac:dyDescent="0.3">
      <c r="B55" s="237" t="s">
        <v>88</v>
      </c>
      <c r="C55" s="238"/>
      <c r="D55" s="239"/>
      <c r="F55" s="239"/>
      <c r="H55" s="239"/>
    </row>
    <row r="56" spans="2:9" ht="13" x14ac:dyDescent="0.3">
      <c r="B56" s="237"/>
      <c r="C56" s="238"/>
      <c r="D56" s="239"/>
      <c r="F56" s="239"/>
      <c r="H56" s="239"/>
    </row>
    <row r="57" spans="2:9" x14ac:dyDescent="0.25">
      <c r="B57" s="202" t="s">
        <v>49</v>
      </c>
      <c r="C57" s="238"/>
      <c r="D57" s="239"/>
      <c r="F57" s="239"/>
      <c r="H57" s="239"/>
    </row>
    <row r="58" spans="2:9" ht="13" x14ac:dyDescent="0.3">
      <c r="B58" s="237"/>
      <c r="C58" s="238"/>
      <c r="E58" s="203">
        <v>2023</v>
      </c>
      <c r="G58" s="203">
        <v>2022</v>
      </c>
      <c r="I58" s="203">
        <v>2021</v>
      </c>
    </row>
    <row r="59" spans="2:9" ht="15.5" x14ac:dyDescent="0.4">
      <c r="B59" s="240" t="s">
        <v>89</v>
      </c>
      <c r="C59" s="241" t="s">
        <v>90</v>
      </c>
      <c r="D59" s="233" t="s">
        <v>91</v>
      </c>
      <c r="E59" s="233"/>
      <c r="F59" s="233" t="s">
        <v>91</v>
      </c>
      <c r="G59" s="233"/>
      <c r="H59" s="233" t="s">
        <v>91</v>
      </c>
      <c r="I59" s="233"/>
    </row>
    <row r="60" spans="2:9" x14ac:dyDescent="0.25">
      <c r="B60" s="242" t="s">
        <v>92</v>
      </c>
      <c r="C60" s="243"/>
      <c r="D60" s="232"/>
      <c r="E60" s="232"/>
      <c r="F60" s="232"/>
      <c r="G60" s="232"/>
      <c r="H60" s="232"/>
      <c r="I60" s="232"/>
    </row>
    <row r="61" spans="2:9" ht="13" x14ac:dyDescent="0.3">
      <c r="B61" s="244" t="s">
        <v>93</v>
      </c>
      <c r="C61" s="243"/>
      <c r="D61" s="243" t="s">
        <v>91</v>
      </c>
      <c r="E61" s="243">
        <f>Emissions!F152</f>
        <v>364149.78983709018</v>
      </c>
      <c r="F61" s="243" t="s">
        <v>91</v>
      </c>
      <c r="G61" s="243">
        <f>Emissions!G152</f>
        <v>465925.75850593415</v>
      </c>
      <c r="H61" s="243" t="s">
        <v>91</v>
      </c>
      <c r="I61" s="243">
        <f>Emissions!H152</f>
        <v>463855.61384847213</v>
      </c>
    </row>
    <row r="62" spans="2:9" ht="13" x14ac:dyDescent="0.3">
      <c r="B62" s="245" t="s">
        <v>94</v>
      </c>
      <c r="C62" s="243"/>
      <c r="D62" s="243" t="s">
        <v>91</v>
      </c>
      <c r="E62" s="243">
        <f>Emissions!F153</f>
        <v>0</v>
      </c>
      <c r="F62" s="243" t="s">
        <v>91</v>
      </c>
      <c r="G62" s="243">
        <f>Emissions!G153</f>
        <v>0</v>
      </c>
      <c r="H62" s="243" t="s">
        <v>91</v>
      </c>
      <c r="I62" s="243">
        <f>Emissions!H153</f>
        <v>0</v>
      </c>
    </row>
    <row r="63" spans="2:9" ht="13" x14ac:dyDescent="0.3">
      <c r="B63" s="246" t="s">
        <v>95</v>
      </c>
      <c r="C63" s="247"/>
      <c r="D63" s="247" t="s">
        <v>91</v>
      </c>
      <c r="E63" s="247">
        <f>Emissions!F154</f>
        <v>0</v>
      </c>
      <c r="F63" s="247" t="s">
        <v>91</v>
      </c>
      <c r="G63" s="247">
        <f>Emissions!G154</f>
        <v>0</v>
      </c>
      <c r="H63" s="247" t="s">
        <v>91</v>
      </c>
      <c r="I63" s="247">
        <f>Emissions!H154</f>
        <v>0</v>
      </c>
    </row>
    <row r="64" spans="2:9" x14ac:dyDescent="0.25">
      <c r="B64" s="248"/>
      <c r="C64" s="238"/>
      <c r="D64" s="238"/>
      <c r="F64" s="238"/>
      <c r="H64" s="238"/>
    </row>
    <row r="65" spans="2:9" x14ac:dyDescent="0.25">
      <c r="B65" s="202" t="s">
        <v>59</v>
      </c>
      <c r="C65" s="238"/>
      <c r="D65" s="238"/>
      <c r="F65" s="238"/>
      <c r="H65" s="238"/>
    </row>
    <row r="66" spans="2:9" x14ac:dyDescent="0.25">
      <c r="B66" s="248"/>
      <c r="C66" s="238"/>
      <c r="D66" s="238"/>
      <c r="F66" s="238"/>
      <c r="H66" s="238"/>
    </row>
    <row r="67" spans="2:9" ht="15" x14ac:dyDescent="0.4">
      <c r="B67" s="244" t="s">
        <v>96</v>
      </c>
      <c r="C67" s="249" t="s">
        <v>97</v>
      </c>
      <c r="D67" s="250" t="s">
        <v>98</v>
      </c>
      <c r="E67" s="232">
        <f>Emissions!F156</f>
        <v>23298.101238687712</v>
      </c>
      <c r="F67" s="250" t="s">
        <v>98</v>
      </c>
      <c r="G67" s="232">
        <f>Emissions!G156</f>
        <v>30594.367717625239</v>
      </c>
      <c r="H67" s="250" t="s">
        <v>98</v>
      </c>
      <c r="I67" s="232">
        <f>Emissions!H156</f>
        <v>28910.096698937999</v>
      </c>
    </row>
    <row r="68" spans="2:9" ht="15" x14ac:dyDescent="0.4">
      <c r="B68" s="245" t="s">
        <v>99</v>
      </c>
      <c r="C68" s="251" t="s">
        <v>100</v>
      </c>
      <c r="D68" s="252" t="s">
        <v>98</v>
      </c>
      <c r="E68" s="243">
        <f>Emissions!F157</f>
        <v>0</v>
      </c>
      <c r="F68" s="252" t="s">
        <v>98</v>
      </c>
      <c r="G68" s="243">
        <f>Emissions!G157</f>
        <v>0</v>
      </c>
      <c r="H68" s="252" t="s">
        <v>98</v>
      </c>
      <c r="I68" s="243">
        <f>Emissions!H157</f>
        <v>0</v>
      </c>
    </row>
    <row r="69" spans="2:9" ht="15" x14ac:dyDescent="0.4">
      <c r="B69" s="246" t="s">
        <v>101</v>
      </c>
      <c r="C69" s="253" t="s">
        <v>102</v>
      </c>
      <c r="D69" s="292" t="s">
        <v>98</v>
      </c>
      <c r="E69" s="247">
        <f>Emissions!F158</f>
        <v>0</v>
      </c>
      <c r="F69" s="292" t="s">
        <v>98</v>
      </c>
      <c r="G69" s="247">
        <f>Emissions!G158</f>
        <v>0</v>
      </c>
      <c r="H69" s="292" t="s">
        <v>98</v>
      </c>
      <c r="I69" s="247">
        <f>Emissions!H158</f>
        <v>0</v>
      </c>
    </row>
    <row r="70" spans="2:9" ht="13" x14ac:dyDescent="0.3">
      <c r="B70" s="254" t="s">
        <v>19</v>
      </c>
      <c r="C70" s="241" t="s">
        <v>103</v>
      </c>
      <c r="D70" s="233" t="s">
        <v>104</v>
      </c>
      <c r="E70" s="255">
        <f>SUM(E67:E69)</f>
        <v>23298.101238687712</v>
      </c>
      <c r="F70" s="233" t="s">
        <v>104</v>
      </c>
      <c r="G70" s="255">
        <f>SUM(G67:G69)</f>
        <v>30594.367717625239</v>
      </c>
      <c r="H70" s="233" t="s">
        <v>104</v>
      </c>
      <c r="I70" s="255">
        <f>SUM(I67:I69)</f>
        <v>28910.096698937999</v>
      </c>
    </row>
    <row r="71" spans="2:9" ht="15.5" x14ac:dyDescent="0.4">
      <c r="B71" s="256" t="s">
        <v>105</v>
      </c>
      <c r="C71" s="247" t="s">
        <v>106</v>
      </c>
      <c r="D71" s="247" t="s">
        <v>107</v>
      </c>
      <c r="E71" s="257">
        <v>0.85</v>
      </c>
      <c r="F71" s="247" t="s">
        <v>107</v>
      </c>
      <c r="G71" s="257">
        <v>0.85</v>
      </c>
      <c r="H71" s="247" t="s">
        <v>107</v>
      </c>
      <c r="I71" s="257">
        <v>0.85</v>
      </c>
    </row>
    <row r="72" spans="2:9" x14ac:dyDescent="0.25">
      <c r="B72" s="239"/>
      <c r="C72" s="238"/>
      <c r="D72" s="238"/>
      <c r="F72" s="238"/>
      <c r="H72" s="238"/>
    </row>
    <row r="73" spans="2:9" x14ac:dyDescent="0.25">
      <c r="B73" s="239"/>
      <c r="C73" s="238"/>
      <c r="D73" s="238"/>
      <c r="F73" s="238"/>
      <c r="H73" s="238"/>
    </row>
    <row r="74" spans="2:9" x14ac:dyDescent="0.25">
      <c r="B74" s="258" t="s">
        <v>49</v>
      </c>
      <c r="C74" s="238"/>
      <c r="D74" s="238"/>
      <c r="F74" s="238"/>
      <c r="H74" s="238"/>
    </row>
    <row r="75" spans="2:9" ht="13" x14ac:dyDescent="0.3">
      <c r="B75" s="239"/>
      <c r="C75" s="238"/>
      <c r="E75" s="203">
        <v>2023</v>
      </c>
      <c r="G75" s="203">
        <v>2022</v>
      </c>
      <c r="I75" s="203">
        <v>2021</v>
      </c>
    </row>
    <row r="76" spans="2:9" ht="13" x14ac:dyDescent="0.25">
      <c r="B76" s="254" t="s">
        <v>20</v>
      </c>
      <c r="C76" s="259" t="s">
        <v>108</v>
      </c>
      <c r="D76" s="260" t="s">
        <v>98</v>
      </c>
      <c r="E76" s="261">
        <f>SUM(E77:E79)</f>
        <v>160867.80862153979</v>
      </c>
      <c r="F76" s="260" t="s">
        <v>98</v>
      </c>
      <c r="G76" s="261">
        <f>SUM(G77:G79)</f>
        <v>147858.05572776368</v>
      </c>
      <c r="H76" s="260" t="s">
        <v>98</v>
      </c>
      <c r="I76" s="261">
        <f>SUM(I77:I79)</f>
        <v>196535.6311414754</v>
      </c>
    </row>
    <row r="77" spans="2:9" ht="15" x14ac:dyDescent="0.4">
      <c r="B77" s="262" t="s">
        <v>109</v>
      </c>
      <c r="C77" s="249" t="s">
        <v>110</v>
      </c>
      <c r="D77" s="260" t="s">
        <v>98</v>
      </c>
      <c r="E77" s="260">
        <f>Emissions!F165</f>
        <v>71830.867511524673</v>
      </c>
      <c r="F77" s="260" t="s">
        <v>98</v>
      </c>
      <c r="G77" s="260">
        <f>Emissions!G165</f>
        <v>69145.665897223924</v>
      </c>
      <c r="H77" s="260" t="s">
        <v>98</v>
      </c>
      <c r="I77" s="260">
        <f>Emissions!H165</f>
        <v>80562.747586702564</v>
      </c>
    </row>
    <row r="78" spans="2:9" ht="15" x14ac:dyDescent="0.4">
      <c r="B78" s="263" t="s">
        <v>111</v>
      </c>
      <c r="C78" s="251" t="s">
        <v>112</v>
      </c>
      <c r="D78" s="264" t="s">
        <v>98</v>
      </c>
      <c r="E78" s="264">
        <f>Emissions!F166</f>
        <v>89036.941110015119</v>
      </c>
      <c r="F78" s="264" t="s">
        <v>98</v>
      </c>
      <c r="G78" s="264">
        <f>Emissions!G166</f>
        <v>78712.38983053976</v>
      </c>
      <c r="H78" s="264" t="s">
        <v>98</v>
      </c>
      <c r="I78" s="264">
        <f>Emissions!H166</f>
        <v>115972.88355477284</v>
      </c>
    </row>
    <row r="79" spans="2:9" ht="15" x14ac:dyDescent="0.4">
      <c r="B79" s="265" t="s">
        <v>113</v>
      </c>
      <c r="C79" s="253" t="s">
        <v>114</v>
      </c>
      <c r="D79" s="266" t="s">
        <v>98</v>
      </c>
      <c r="E79" s="266">
        <f>Emissions!F167</f>
        <v>0</v>
      </c>
      <c r="F79" s="266" t="s">
        <v>98</v>
      </c>
      <c r="G79" s="266">
        <f>Emissions!G167</f>
        <v>0</v>
      </c>
      <c r="H79" s="266" t="s">
        <v>98</v>
      </c>
      <c r="I79" s="266">
        <f>Emissions!H167</f>
        <v>0</v>
      </c>
    </row>
    <row r="80" spans="2:9" ht="15.5" x14ac:dyDescent="0.25">
      <c r="B80" s="267" t="s">
        <v>115</v>
      </c>
      <c r="C80" s="268" t="s">
        <v>116</v>
      </c>
      <c r="D80" s="264" t="s">
        <v>117</v>
      </c>
      <c r="E80" s="269">
        <f>Emissions!F134</f>
        <v>18.388258899999997</v>
      </c>
      <c r="F80" s="264" t="s">
        <v>117</v>
      </c>
      <c r="G80" s="269">
        <f>Emissions!G134</f>
        <v>17.916629499999999</v>
      </c>
      <c r="H80" s="264" t="s">
        <v>117</v>
      </c>
      <c r="I80" s="269">
        <f>Emissions!H134</f>
        <v>18.876190300000001</v>
      </c>
    </row>
    <row r="81" spans="2:9" ht="15.5" x14ac:dyDescent="0.25">
      <c r="B81" s="267" t="s">
        <v>118</v>
      </c>
      <c r="C81" s="268" t="s">
        <v>119</v>
      </c>
      <c r="D81" s="264" t="s">
        <v>117</v>
      </c>
      <c r="E81" s="269">
        <f>Emissions!F136</f>
        <v>16.788301199999999</v>
      </c>
      <c r="F81" s="264" t="s">
        <v>117</v>
      </c>
      <c r="G81" s="269">
        <f>Emissions!G136</f>
        <v>18.066816899999999</v>
      </c>
      <c r="H81" s="264" t="s">
        <v>117</v>
      </c>
      <c r="I81" s="269">
        <f>Emissions!H136</f>
        <v>18.791712499999996</v>
      </c>
    </row>
    <row r="82" spans="2:9" ht="18.75" customHeight="1" x14ac:dyDescent="0.25">
      <c r="B82" s="267" t="s">
        <v>120</v>
      </c>
      <c r="C82" s="268" t="s">
        <v>121</v>
      </c>
      <c r="D82" s="264" t="s">
        <v>117</v>
      </c>
      <c r="E82" s="269">
        <v>0</v>
      </c>
      <c r="F82" s="264" t="s">
        <v>117</v>
      </c>
      <c r="G82" s="269">
        <v>0</v>
      </c>
      <c r="H82" s="264" t="s">
        <v>117</v>
      </c>
      <c r="I82" s="269">
        <v>0</v>
      </c>
    </row>
    <row r="83" spans="2:9" ht="15.75" customHeight="1" x14ac:dyDescent="0.4">
      <c r="B83" s="270" t="s">
        <v>122</v>
      </c>
      <c r="C83" s="271" t="s">
        <v>123</v>
      </c>
      <c r="D83" s="264" t="s">
        <v>124</v>
      </c>
      <c r="E83" s="269">
        <f>Emissions!F45</f>
        <v>821.74800000000005</v>
      </c>
      <c r="F83" s="264" t="s">
        <v>124</v>
      </c>
      <c r="G83" s="269">
        <f>Emissions!G45</f>
        <v>821.74800000000005</v>
      </c>
      <c r="H83" s="264" t="s">
        <v>124</v>
      </c>
      <c r="I83" s="269">
        <f>Emissions!H45</f>
        <v>821.74800000000005</v>
      </c>
    </row>
    <row r="84" spans="2:9" ht="12.75" customHeight="1" x14ac:dyDescent="0.4">
      <c r="B84" s="270" t="s">
        <v>125</v>
      </c>
      <c r="C84" s="271" t="s">
        <v>126</v>
      </c>
      <c r="D84" s="264" t="s">
        <v>124</v>
      </c>
      <c r="E84" s="269"/>
      <c r="F84" s="264" t="s">
        <v>124</v>
      </c>
      <c r="G84" s="269">
        <f>E84</f>
        <v>0</v>
      </c>
      <c r="H84" s="264" t="s">
        <v>124</v>
      </c>
      <c r="I84" s="269">
        <f>G84</f>
        <v>0</v>
      </c>
    </row>
    <row r="85" spans="2:9" ht="12.75" customHeight="1" x14ac:dyDescent="0.25">
      <c r="B85" s="272" t="s">
        <v>127</v>
      </c>
      <c r="C85" s="266"/>
      <c r="D85" s="266" t="s">
        <v>128</v>
      </c>
      <c r="E85" s="266">
        <v>25</v>
      </c>
      <c r="F85" s="266" t="s">
        <v>128</v>
      </c>
      <c r="G85" s="266">
        <v>25</v>
      </c>
      <c r="H85" s="266" t="s">
        <v>128</v>
      </c>
      <c r="I85" s="266">
        <v>25</v>
      </c>
    </row>
    <row r="86" spans="2:9" ht="12.75" customHeight="1" x14ac:dyDescent="0.25">
      <c r="B86" s="273"/>
      <c r="C86" s="238"/>
      <c r="D86" s="238"/>
      <c r="F86" s="238"/>
      <c r="H86" s="238"/>
    </row>
    <row r="87" spans="2:9" x14ac:dyDescent="0.25">
      <c r="B87" s="202" t="s">
        <v>59</v>
      </c>
      <c r="C87" s="238"/>
      <c r="D87" s="238"/>
      <c r="F87" s="238"/>
      <c r="H87" s="238"/>
    </row>
    <row r="88" spans="2:9" ht="13" x14ac:dyDescent="0.3">
      <c r="B88" s="273"/>
      <c r="C88" s="238"/>
      <c r="E88" s="203">
        <v>2023</v>
      </c>
      <c r="G88" s="203">
        <v>2022</v>
      </c>
      <c r="I88" s="203">
        <v>2021</v>
      </c>
    </row>
    <row r="89" spans="2:9" ht="15.5" x14ac:dyDescent="0.4">
      <c r="B89" s="274" t="s">
        <v>129</v>
      </c>
      <c r="C89" s="275" t="s">
        <v>130</v>
      </c>
      <c r="D89" s="276" t="s">
        <v>131</v>
      </c>
      <c r="E89" s="836">
        <f>Emissions!F169</f>
        <v>64784.525141434249</v>
      </c>
      <c r="F89" s="276" t="s">
        <v>131</v>
      </c>
      <c r="G89" s="836">
        <f>Emissions!G169</f>
        <v>61225.410525437881</v>
      </c>
      <c r="H89" s="276" t="s">
        <v>131</v>
      </c>
      <c r="I89" s="836">
        <f>Emissions!H169</f>
        <v>85134.170541116648</v>
      </c>
    </row>
    <row r="90" spans="2:9" ht="15.5" x14ac:dyDescent="0.4">
      <c r="B90" s="277" t="s">
        <v>132</v>
      </c>
      <c r="C90" s="278" t="s">
        <v>133</v>
      </c>
      <c r="D90" s="279" t="s">
        <v>131</v>
      </c>
      <c r="E90" s="837"/>
      <c r="F90" s="279" t="s">
        <v>131</v>
      </c>
      <c r="G90" s="837"/>
      <c r="H90" s="279" t="s">
        <v>131</v>
      </c>
      <c r="I90" s="837"/>
    </row>
    <row r="91" spans="2:9" ht="15.5" x14ac:dyDescent="0.4">
      <c r="B91" s="281" t="s">
        <v>134</v>
      </c>
      <c r="C91" s="278" t="s">
        <v>135</v>
      </c>
      <c r="D91" s="282" t="s">
        <v>131</v>
      </c>
      <c r="E91" s="280">
        <f>E79*E82*E84*E85/1000000</f>
        <v>0</v>
      </c>
      <c r="F91" s="282" t="s">
        <v>131</v>
      </c>
      <c r="G91" s="280">
        <f>G79*G82*G84*G85/1000000</f>
        <v>0</v>
      </c>
      <c r="H91" s="282" t="s">
        <v>131</v>
      </c>
      <c r="I91" s="280">
        <f>I79*I82*I84*I85/1000000</f>
        <v>0</v>
      </c>
    </row>
    <row r="92" spans="2:9" ht="15" x14ac:dyDescent="0.4">
      <c r="B92" s="283" t="s">
        <v>136</v>
      </c>
      <c r="C92" s="284" t="s">
        <v>137</v>
      </c>
      <c r="D92" s="285" t="s">
        <v>138</v>
      </c>
      <c r="E92" s="255">
        <f>SUM(E89:E91)</f>
        <v>64784.525141434249</v>
      </c>
      <c r="F92" s="285" t="s">
        <v>138</v>
      </c>
      <c r="G92" s="255">
        <f>SUM(G89:G91)</f>
        <v>61225.410525437881</v>
      </c>
      <c r="H92" s="285" t="s">
        <v>138</v>
      </c>
      <c r="I92" s="255">
        <f>SUM(I89:I91)</f>
        <v>85134.170541116648</v>
      </c>
    </row>
    <row r="93" spans="2:9" x14ac:dyDescent="0.25">
      <c r="B93" s="286" t="s">
        <v>139</v>
      </c>
      <c r="C93" s="238"/>
      <c r="D93" s="199" t="s">
        <v>86</v>
      </c>
      <c r="E93" s="287">
        <v>0</v>
      </c>
      <c r="F93" s="199" t="s">
        <v>86</v>
      </c>
      <c r="G93" s="287">
        <v>0</v>
      </c>
      <c r="H93" s="199" t="s">
        <v>86</v>
      </c>
      <c r="I93" s="287">
        <v>0</v>
      </c>
    </row>
    <row r="94" spans="2:9" x14ac:dyDescent="0.25">
      <c r="B94" s="288"/>
      <c r="C94" s="238"/>
      <c r="D94" s="238"/>
      <c r="F94" s="238"/>
      <c r="H94" s="238"/>
    </row>
    <row r="95" spans="2:9" x14ac:dyDescent="0.25">
      <c r="B95" s="288"/>
      <c r="C95" s="238"/>
      <c r="D95" s="238"/>
      <c r="F95" s="238"/>
      <c r="H95" s="238"/>
    </row>
    <row r="96" spans="2:9" ht="13" x14ac:dyDescent="0.3">
      <c r="B96" s="237" t="s">
        <v>29</v>
      </c>
      <c r="C96" s="238"/>
      <c r="D96" s="239"/>
      <c r="F96" s="239"/>
      <c r="H96" s="239"/>
    </row>
    <row r="97" spans="2:9" x14ac:dyDescent="0.25">
      <c r="B97" s="197" t="s">
        <v>140</v>
      </c>
      <c r="C97" s="238"/>
      <c r="D97" s="239"/>
      <c r="F97" s="239"/>
      <c r="H97" s="239"/>
    </row>
    <row r="98" spans="2:9" ht="13" x14ac:dyDescent="0.3">
      <c r="B98" s="231"/>
      <c r="C98" s="232"/>
      <c r="E98" s="203">
        <v>2023</v>
      </c>
      <c r="G98" s="203">
        <v>2022</v>
      </c>
      <c r="I98" s="203">
        <v>2021</v>
      </c>
    </row>
    <row r="99" spans="2:9" ht="15.5" x14ac:dyDescent="0.4">
      <c r="B99" s="289" t="s">
        <v>84</v>
      </c>
      <c r="C99" s="232" t="s">
        <v>141</v>
      </c>
      <c r="D99" s="290" t="s">
        <v>131</v>
      </c>
      <c r="E99" s="250">
        <f>D50</f>
        <v>66012.835302225925</v>
      </c>
      <c r="F99" s="290" t="s">
        <v>131</v>
      </c>
      <c r="G99" s="250">
        <f>F50</f>
        <v>86196.756184615646</v>
      </c>
      <c r="H99" s="290" t="s">
        <v>131</v>
      </c>
      <c r="I99" s="250">
        <f>H50</f>
        <v>117279.65707710793</v>
      </c>
    </row>
    <row r="100" spans="2:9" ht="15.5" x14ac:dyDescent="0.4">
      <c r="B100" s="289" t="s">
        <v>142</v>
      </c>
      <c r="C100" s="247" t="s">
        <v>143</v>
      </c>
      <c r="D100" s="291" t="s">
        <v>131</v>
      </c>
      <c r="E100" s="292">
        <f>E92</f>
        <v>64784.525141434249</v>
      </c>
      <c r="F100" s="291" t="s">
        <v>131</v>
      </c>
      <c r="G100" s="292">
        <f>G92</f>
        <v>61225.410525437881</v>
      </c>
      <c r="H100" s="291" t="s">
        <v>131</v>
      </c>
      <c r="I100" s="292">
        <f>I92</f>
        <v>85134.170541116648</v>
      </c>
    </row>
    <row r="101" spans="2:9" ht="15" x14ac:dyDescent="0.4">
      <c r="B101" s="231" t="s">
        <v>144</v>
      </c>
      <c r="C101" s="247"/>
      <c r="D101" s="233" t="s">
        <v>145</v>
      </c>
      <c r="E101" s="233">
        <f>E99+E100</f>
        <v>130797.36044366017</v>
      </c>
      <c r="F101" s="233" t="s">
        <v>145</v>
      </c>
      <c r="G101" s="233">
        <f>G99+G100</f>
        <v>147422.16671005351</v>
      </c>
      <c r="H101" s="233" t="s">
        <v>145</v>
      </c>
      <c r="I101" s="233">
        <f>ROUNDDOWN(I99+I100,0)</f>
        <v>202413</v>
      </c>
    </row>
    <row r="102" spans="2:9" ht="13" x14ac:dyDescent="0.3">
      <c r="B102" s="236"/>
      <c r="D102" s="199"/>
      <c r="E102" s="287"/>
      <c r="F102" s="199"/>
      <c r="G102" s="287"/>
      <c r="H102" s="199"/>
      <c r="I102" s="287"/>
    </row>
    <row r="103" spans="2:9" ht="13" x14ac:dyDescent="0.3">
      <c r="B103" s="236"/>
    </row>
    <row r="104" spans="2:9" ht="13" x14ac:dyDescent="0.3">
      <c r="B104" s="236"/>
    </row>
    <row r="105" spans="2:9" ht="13" x14ac:dyDescent="0.3">
      <c r="B105" s="293" t="s">
        <v>146</v>
      </c>
      <c r="C105" s="198"/>
    </row>
    <row r="106" spans="2:9" x14ac:dyDescent="0.25">
      <c r="C106" s="198"/>
    </row>
    <row r="107" spans="2:9" ht="15" x14ac:dyDescent="0.4">
      <c r="B107" s="293" t="s">
        <v>147</v>
      </c>
      <c r="C107" s="198"/>
    </row>
    <row r="108" spans="2:9" ht="13" x14ac:dyDescent="0.3">
      <c r="B108" s="293"/>
      <c r="C108" s="198"/>
    </row>
    <row r="109" spans="2:9" x14ac:dyDescent="0.25">
      <c r="B109" s="202" t="s">
        <v>148</v>
      </c>
      <c r="C109" s="198"/>
    </row>
    <row r="110" spans="2:9" x14ac:dyDescent="0.25">
      <c r="B110" s="202"/>
      <c r="C110" s="198"/>
    </row>
    <row r="111" spans="2:9" x14ac:dyDescent="0.25">
      <c r="B111" s="202" t="s">
        <v>49</v>
      </c>
      <c r="C111" s="198"/>
    </row>
    <row r="112" spans="2:9" ht="13" x14ac:dyDescent="0.3">
      <c r="C112" s="198"/>
      <c r="D112" s="203">
        <v>2023</v>
      </c>
      <c r="F112" s="203">
        <v>2022</v>
      </c>
      <c r="H112" s="203">
        <v>2021</v>
      </c>
    </row>
    <row r="113" spans="2:8" ht="15.5" x14ac:dyDescent="0.4">
      <c r="B113" s="262" t="s">
        <v>149</v>
      </c>
      <c r="C113" s="294" t="s">
        <v>150</v>
      </c>
      <c r="D113" s="733">
        <f>Emissions!F184</f>
        <v>73.13633698172265</v>
      </c>
      <c r="E113" s="398"/>
      <c r="F113" s="733">
        <f>Emissions!G184</f>
        <v>73.24823314188373</v>
      </c>
      <c r="G113" s="398"/>
      <c r="H113" s="733">
        <f>Emissions!H184</f>
        <v>37.686885116024378</v>
      </c>
    </row>
    <row r="114" spans="2:8" ht="15.5" x14ac:dyDescent="0.4">
      <c r="B114" s="263" t="s">
        <v>151</v>
      </c>
      <c r="C114" s="271" t="s">
        <v>152</v>
      </c>
      <c r="D114" s="308">
        <v>43.3</v>
      </c>
      <c r="F114" s="308">
        <f>D114</f>
        <v>43.3</v>
      </c>
      <c r="H114" s="308">
        <f>F114</f>
        <v>43.3</v>
      </c>
    </row>
    <row r="115" spans="2:8" ht="15.5" x14ac:dyDescent="0.4">
      <c r="B115" s="265" t="s">
        <v>153</v>
      </c>
      <c r="C115" s="297" t="s">
        <v>154</v>
      </c>
      <c r="D115" s="298">
        <v>7.4799999999999991E-2</v>
      </c>
      <c r="F115" s="298">
        <v>7.4799999999999991E-2</v>
      </c>
      <c r="H115" s="298">
        <v>7.4799999999999991E-2</v>
      </c>
    </row>
    <row r="116" spans="2:8" ht="15.5" x14ac:dyDescent="0.4">
      <c r="B116" s="262" t="s">
        <v>155</v>
      </c>
      <c r="C116" s="294" t="s">
        <v>156</v>
      </c>
      <c r="D116" s="590">
        <f>Emissions!F187</f>
        <v>7.6619019695138027E-2</v>
      </c>
      <c r="F116" s="590">
        <f>Emissions!G187</f>
        <v>7.6736244243878191E-2</v>
      </c>
      <c r="H116" s="590">
        <f>Emissions!H187</f>
        <v>3.9481498692977922E-2</v>
      </c>
    </row>
    <row r="117" spans="2:8" ht="15.5" x14ac:dyDescent="0.4">
      <c r="B117" s="263" t="s">
        <v>157</v>
      </c>
      <c r="C117" s="271" t="s">
        <v>158</v>
      </c>
      <c r="D117" s="308">
        <v>52.2</v>
      </c>
      <c r="F117" s="308">
        <f>D117</f>
        <v>52.2</v>
      </c>
      <c r="H117" s="308"/>
    </row>
    <row r="118" spans="2:8" ht="15.5" x14ac:dyDescent="0.4">
      <c r="B118" s="265" t="s">
        <v>159</v>
      </c>
      <c r="C118" s="297" t="s">
        <v>160</v>
      </c>
      <c r="D118" s="311">
        <v>6.5633333333333321E-2</v>
      </c>
      <c r="F118" s="311">
        <f>D118</f>
        <v>6.5633333333333321E-2</v>
      </c>
      <c r="H118" s="311">
        <f>F118</f>
        <v>6.5633333333333321E-2</v>
      </c>
    </row>
    <row r="119" spans="2:8" x14ac:dyDescent="0.25">
      <c r="C119" s="198"/>
    </row>
    <row r="120" spans="2:8" x14ac:dyDescent="0.25">
      <c r="B120" s="202" t="s">
        <v>59</v>
      </c>
      <c r="C120" s="198"/>
    </row>
    <row r="121" spans="2:8" x14ac:dyDescent="0.25">
      <c r="C121" s="198"/>
    </row>
    <row r="122" spans="2:8" ht="13" x14ac:dyDescent="0.25">
      <c r="B122" s="299" t="s">
        <v>161</v>
      </c>
      <c r="C122" s="300" t="s">
        <v>162</v>
      </c>
      <c r="D122" s="301">
        <f>(D113*D114*D115)+(D116*D117*D118)</f>
        <v>237.13939502849928</v>
      </c>
      <c r="F122" s="301">
        <f>(F113*F114*F115)+(F116*F117*F118)</f>
        <v>237.50221040621284</v>
      </c>
      <c r="H122" s="301">
        <f>(H113*H114*H115)+(H116*H117*H118)</f>
        <v>122.06179098918437</v>
      </c>
    </row>
    <row r="123" spans="2:8" x14ac:dyDescent="0.25">
      <c r="B123" s="202"/>
      <c r="C123" s="199" t="s">
        <v>86</v>
      </c>
      <c r="D123" s="302">
        <v>0</v>
      </c>
      <c r="F123" s="302">
        <v>0</v>
      </c>
      <c r="H123" s="302">
        <v>0</v>
      </c>
    </row>
    <row r="124" spans="2:8" x14ac:dyDescent="0.25">
      <c r="C124" s="198"/>
    </row>
    <row r="125" spans="2:8" x14ac:dyDescent="0.25">
      <c r="B125" s="202" t="s">
        <v>163</v>
      </c>
      <c r="C125" s="198"/>
    </row>
    <row r="126" spans="2:8" x14ac:dyDescent="0.25">
      <c r="C126" s="198"/>
    </row>
    <row r="127" spans="2:8" x14ac:dyDescent="0.25">
      <c r="B127" s="202" t="s">
        <v>49</v>
      </c>
      <c r="C127" s="198"/>
    </row>
    <row r="128" spans="2:8" ht="13" x14ac:dyDescent="0.3">
      <c r="C128" s="198"/>
      <c r="D128" s="203">
        <v>2023</v>
      </c>
      <c r="F128" s="203">
        <v>2022</v>
      </c>
      <c r="H128" s="203">
        <v>2021</v>
      </c>
    </row>
    <row r="129" spans="2:8" ht="15.5" x14ac:dyDescent="0.4">
      <c r="B129" s="303" t="s">
        <v>164</v>
      </c>
      <c r="C129" s="304" t="s">
        <v>165</v>
      </c>
      <c r="D129" s="305">
        <f>Emissions!F197</f>
        <v>66.887520000000009</v>
      </c>
      <c r="F129" s="305">
        <f>Emissions!G197</f>
        <v>56.450519999999997</v>
      </c>
      <c r="H129" s="305">
        <f>Emissions!H197</f>
        <v>60.674879999999995</v>
      </c>
    </row>
    <row r="130" spans="2:8" ht="15.5" x14ac:dyDescent="0.4">
      <c r="B130" s="306" t="s">
        <v>166</v>
      </c>
      <c r="C130" s="307" t="s">
        <v>152</v>
      </c>
      <c r="D130" s="308">
        <v>43.3</v>
      </c>
      <c r="F130" s="308">
        <v>43.3</v>
      </c>
      <c r="H130" s="308">
        <v>43.3</v>
      </c>
    </row>
    <row r="131" spans="2:8" ht="15.5" x14ac:dyDescent="0.4">
      <c r="B131" s="309" t="s">
        <v>167</v>
      </c>
      <c r="C131" s="310" t="s">
        <v>154</v>
      </c>
      <c r="D131" s="311">
        <v>7.4799999999999991E-2</v>
      </c>
      <c r="F131" s="311">
        <v>7.4799999999999991E-2</v>
      </c>
      <c r="H131" s="311">
        <v>7.4799999999999991E-2</v>
      </c>
    </row>
    <row r="132" spans="2:8" x14ac:dyDescent="0.25">
      <c r="C132" s="198"/>
    </row>
    <row r="133" spans="2:8" x14ac:dyDescent="0.25">
      <c r="B133" s="202" t="s">
        <v>59</v>
      </c>
      <c r="C133" s="198"/>
    </row>
    <row r="134" spans="2:8" x14ac:dyDescent="0.25">
      <c r="C134" s="198"/>
    </row>
    <row r="135" spans="2:8" ht="13" x14ac:dyDescent="0.25">
      <c r="B135" s="312" t="s">
        <v>168</v>
      </c>
      <c r="C135" s="313" t="s">
        <v>169</v>
      </c>
      <c r="D135" s="314">
        <f>D129*D130*D131</f>
        <v>216.63797527679998</v>
      </c>
      <c r="F135" s="314">
        <f>F129*F130*F131</f>
        <v>182.83420219679996</v>
      </c>
      <c r="H135" s="314">
        <f>H129*H130*H131</f>
        <v>196.51622833919993</v>
      </c>
    </row>
    <row r="136" spans="2:8" ht="13" x14ac:dyDescent="0.3">
      <c r="B136" s="293"/>
      <c r="C136" s="199" t="s">
        <v>86</v>
      </c>
      <c r="D136" s="315">
        <v>0</v>
      </c>
      <c r="F136" s="315">
        <v>0</v>
      </c>
      <c r="H136" s="315">
        <v>0</v>
      </c>
    </row>
    <row r="137" spans="2:8" x14ac:dyDescent="0.25">
      <c r="C137" s="198"/>
    </row>
    <row r="138" spans="2:8" x14ac:dyDescent="0.25">
      <c r="B138" s="202" t="s">
        <v>170</v>
      </c>
      <c r="C138" s="198"/>
    </row>
    <row r="139" spans="2:8" x14ac:dyDescent="0.25">
      <c r="C139" s="198"/>
    </row>
    <row r="140" spans="2:8" x14ac:dyDescent="0.25">
      <c r="B140" s="202" t="s">
        <v>49</v>
      </c>
      <c r="C140" s="198"/>
    </row>
    <row r="141" spans="2:8" ht="13" x14ac:dyDescent="0.3">
      <c r="C141" s="198"/>
      <c r="D141" s="203">
        <v>2023</v>
      </c>
      <c r="F141" s="203">
        <v>2022</v>
      </c>
      <c r="H141" s="203">
        <v>2021</v>
      </c>
    </row>
    <row r="142" spans="2:8" ht="15.5" x14ac:dyDescent="0.4">
      <c r="B142" s="316" t="s">
        <v>171</v>
      </c>
      <c r="C142" s="294" t="s">
        <v>172</v>
      </c>
      <c r="D142" s="295">
        <f>Emissions!F202</f>
        <v>0</v>
      </c>
      <c r="F142" s="295">
        <f>Emissions!G202</f>
        <v>0</v>
      </c>
      <c r="H142" s="295">
        <f>Emissions!H202</f>
        <v>0</v>
      </c>
    </row>
    <row r="143" spans="2:8" ht="15.5" x14ac:dyDescent="0.4">
      <c r="B143" s="317" t="s">
        <v>173</v>
      </c>
      <c r="C143" s="271" t="s">
        <v>152</v>
      </c>
      <c r="D143" s="296">
        <v>0</v>
      </c>
      <c r="F143" s="296">
        <v>0</v>
      </c>
      <c r="H143" s="296">
        <v>0</v>
      </c>
    </row>
    <row r="144" spans="2:8" ht="15.5" x14ac:dyDescent="0.4">
      <c r="B144" s="318" t="s">
        <v>174</v>
      </c>
      <c r="C144" s="297" t="s">
        <v>154</v>
      </c>
      <c r="D144" s="298">
        <v>0</v>
      </c>
      <c r="F144" s="298">
        <v>0</v>
      </c>
      <c r="H144" s="298">
        <v>0</v>
      </c>
    </row>
    <row r="145" spans="2:8" x14ac:dyDescent="0.25">
      <c r="C145" s="198"/>
      <c r="D145" s="199"/>
      <c r="F145" s="199"/>
      <c r="H145" s="199"/>
    </row>
    <row r="146" spans="2:8" x14ac:dyDescent="0.25">
      <c r="B146" s="202" t="s">
        <v>59</v>
      </c>
      <c r="C146" s="198"/>
      <c r="D146" s="199"/>
      <c r="F146" s="199"/>
      <c r="H146" s="199"/>
    </row>
    <row r="147" spans="2:8" x14ac:dyDescent="0.25">
      <c r="C147" s="198"/>
      <c r="D147" s="199"/>
      <c r="F147" s="199"/>
      <c r="H147" s="199"/>
    </row>
    <row r="148" spans="2:8" ht="13" x14ac:dyDescent="0.25">
      <c r="B148" s="312" t="s">
        <v>175</v>
      </c>
      <c r="C148" s="319" t="s">
        <v>169</v>
      </c>
      <c r="D148" s="301">
        <f>D142*D143*D144</f>
        <v>0</v>
      </c>
      <c r="F148" s="301">
        <f>F142*F143*F144</f>
        <v>0</v>
      </c>
      <c r="H148" s="301">
        <f>H142*H143*H144</f>
        <v>0</v>
      </c>
    </row>
    <row r="149" spans="2:8" ht="13" x14ac:dyDescent="0.3">
      <c r="B149" s="293"/>
      <c r="C149" s="199" t="s">
        <v>86</v>
      </c>
      <c r="D149" s="315">
        <v>0</v>
      </c>
      <c r="F149" s="315">
        <v>0</v>
      </c>
      <c r="H149" s="315">
        <v>0</v>
      </c>
    </row>
    <row r="150" spans="2:8" x14ac:dyDescent="0.25">
      <c r="C150" s="198"/>
    </row>
    <row r="151" spans="2:8" x14ac:dyDescent="0.25">
      <c r="C151" s="198"/>
    </row>
    <row r="152" spans="2:8" ht="13" x14ac:dyDescent="0.3">
      <c r="B152" s="320" t="s">
        <v>176</v>
      </c>
      <c r="C152" s="321"/>
      <c r="D152" s="203">
        <v>2023</v>
      </c>
      <c r="F152" s="203">
        <v>2022</v>
      </c>
      <c r="H152" s="203">
        <v>2021</v>
      </c>
    </row>
    <row r="153" spans="2:8" ht="15.5" x14ac:dyDescent="0.4">
      <c r="B153" s="322" t="s">
        <v>177</v>
      </c>
      <c r="C153" s="294" t="s">
        <v>178</v>
      </c>
      <c r="D153" s="323">
        <f>D122</f>
        <v>237.13939502849928</v>
      </c>
      <c r="F153" s="323">
        <f>F122</f>
        <v>237.50221040621284</v>
      </c>
      <c r="H153" s="323">
        <f>H122</f>
        <v>122.06179098918437</v>
      </c>
    </row>
    <row r="154" spans="2:8" ht="15.5" x14ac:dyDescent="0.4">
      <c r="B154" s="324" t="s">
        <v>179</v>
      </c>
      <c r="C154" s="271" t="s">
        <v>180</v>
      </c>
      <c r="D154" s="325">
        <f>D135</f>
        <v>216.63797527679998</v>
      </c>
      <c r="F154" s="325">
        <f>F135</f>
        <v>182.83420219679996</v>
      </c>
      <c r="H154" s="325">
        <f>H135</f>
        <v>196.51622833919993</v>
      </c>
    </row>
    <row r="155" spans="2:8" ht="15.5" x14ac:dyDescent="0.4">
      <c r="B155" s="326" t="s">
        <v>181</v>
      </c>
      <c r="C155" s="297" t="s">
        <v>182</v>
      </c>
      <c r="D155" s="327">
        <f>D148</f>
        <v>0</v>
      </c>
      <c r="F155" s="327">
        <f>F148</f>
        <v>0</v>
      </c>
      <c r="H155" s="327">
        <f>H148</f>
        <v>0</v>
      </c>
    </row>
    <row r="156" spans="2:8" ht="13" x14ac:dyDescent="0.3">
      <c r="B156" s="328" t="s">
        <v>183</v>
      </c>
      <c r="C156" s="321"/>
      <c r="D156" s="314">
        <f>SUM(D153:D155)</f>
        <v>453.77737030529926</v>
      </c>
      <c r="F156" s="314">
        <f>SUM(F153:F155)</f>
        <v>420.33641260301283</v>
      </c>
      <c r="H156" s="314">
        <f>SUM(H153:H155)</f>
        <v>318.5780193283843</v>
      </c>
    </row>
    <row r="157" spans="2:8" x14ac:dyDescent="0.25">
      <c r="C157" s="199" t="s">
        <v>86</v>
      </c>
      <c r="D157" s="315">
        <v>0</v>
      </c>
      <c r="F157" s="315">
        <v>0</v>
      </c>
      <c r="H157" s="315">
        <v>0</v>
      </c>
    </row>
    <row r="158" spans="2:8" ht="15" x14ac:dyDescent="0.4">
      <c r="B158" s="293" t="s">
        <v>184</v>
      </c>
      <c r="C158" s="198"/>
    </row>
    <row r="159" spans="2:8" x14ac:dyDescent="0.25">
      <c r="C159" s="198"/>
    </row>
    <row r="160" spans="2:8" x14ac:dyDescent="0.25">
      <c r="B160" s="202" t="s">
        <v>49</v>
      </c>
      <c r="C160" s="198"/>
    </row>
    <row r="161" spans="2:8" ht="13" x14ac:dyDescent="0.3">
      <c r="C161" s="198"/>
      <c r="D161" s="203">
        <v>2023</v>
      </c>
      <c r="F161" s="203">
        <v>2022</v>
      </c>
      <c r="H161" s="203">
        <v>2021</v>
      </c>
    </row>
    <row r="162" spans="2:8" ht="15.5" x14ac:dyDescent="0.4">
      <c r="B162" s="329" t="s">
        <v>185</v>
      </c>
      <c r="C162" s="294" t="s">
        <v>186</v>
      </c>
      <c r="D162" s="330">
        <f>D12</f>
        <v>2052</v>
      </c>
      <c r="F162" s="330">
        <f>F12</f>
        <v>355.72188332933933</v>
      </c>
      <c r="H162" s="330">
        <f>H12</f>
        <v>201.08956563995594</v>
      </c>
    </row>
    <row r="163" spans="2:8" ht="15.5" x14ac:dyDescent="0.4">
      <c r="B163" s="318" t="s">
        <v>187</v>
      </c>
      <c r="C163" s="297" t="s">
        <v>188</v>
      </c>
      <c r="D163" s="331">
        <f>E34</f>
        <v>0.35733745305213777</v>
      </c>
      <c r="F163" s="331">
        <f>G34</f>
        <v>0.42030833505727971</v>
      </c>
      <c r="H163" s="331">
        <f>I34</f>
        <v>0.48390849050450391</v>
      </c>
    </row>
    <row r="164" spans="2:8" x14ac:dyDescent="0.25">
      <c r="C164" s="198"/>
      <c r="D164" s="199"/>
      <c r="F164" s="199"/>
      <c r="H164" s="199"/>
    </row>
    <row r="165" spans="2:8" ht="13" x14ac:dyDescent="0.3">
      <c r="B165" s="293" t="s">
        <v>72</v>
      </c>
      <c r="C165" s="198"/>
      <c r="D165" s="199"/>
      <c r="F165" s="199"/>
      <c r="H165" s="199"/>
    </row>
    <row r="166" spans="2:8" x14ac:dyDescent="0.25">
      <c r="C166" s="198"/>
      <c r="D166" s="199"/>
      <c r="F166" s="199"/>
      <c r="H166" s="199"/>
    </row>
    <row r="167" spans="2:8" ht="13" x14ac:dyDescent="0.25">
      <c r="B167" s="332" t="s">
        <v>189</v>
      </c>
      <c r="C167" s="333" t="s">
        <v>190</v>
      </c>
      <c r="D167" s="301">
        <f>D162*D163</f>
        <v>733.2564536629867</v>
      </c>
      <c r="F167" s="301">
        <f>F162*F163</f>
        <v>149.51287252559453</v>
      </c>
      <c r="H167" s="301">
        <f>H162*H163</f>
        <v>97.308948165037435</v>
      </c>
    </row>
    <row r="168" spans="2:8" s="398" customFormat="1" x14ac:dyDescent="0.25">
      <c r="B168" s="798" t="s">
        <v>191</v>
      </c>
      <c r="C168" s="799"/>
    </row>
    <row r="169" spans="2:8" x14ac:dyDescent="0.25">
      <c r="B169" s="197" t="s">
        <v>192</v>
      </c>
      <c r="C169" s="198"/>
    </row>
    <row r="170" spans="2:8" x14ac:dyDescent="0.25">
      <c r="C170" s="198"/>
    </row>
    <row r="171" spans="2:8" x14ac:dyDescent="0.25">
      <c r="C171" s="198"/>
    </row>
    <row r="172" spans="2:8" ht="15" x14ac:dyDescent="0.4">
      <c r="B172" s="293" t="s">
        <v>193</v>
      </c>
      <c r="C172" s="198"/>
    </row>
    <row r="173" spans="2:8" x14ac:dyDescent="0.25">
      <c r="C173" s="198"/>
    </row>
    <row r="174" spans="2:8" ht="13" x14ac:dyDescent="0.3">
      <c r="B174" s="293" t="s">
        <v>49</v>
      </c>
      <c r="C174" s="198"/>
    </row>
    <row r="175" spans="2:8" ht="13" x14ac:dyDescent="0.3">
      <c r="C175" s="198"/>
      <c r="D175" s="203">
        <v>2023</v>
      </c>
      <c r="F175" s="203">
        <v>2022</v>
      </c>
      <c r="H175" s="203">
        <v>2021</v>
      </c>
    </row>
    <row r="176" spans="2:8" x14ac:dyDescent="0.25">
      <c r="B176" s="204" t="s">
        <v>194</v>
      </c>
      <c r="C176" s="334"/>
      <c r="D176" s="592">
        <v>438845.16125999996</v>
      </c>
      <c r="F176" s="592">
        <v>461707.66399999999</v>
      </c>
      <c r="H176" s="592">
        <v>403819</v>
      </c>
    </row>
    <row r="177" spans="2:8" ht="15.5" x14ac:dyDescent="0.25">
      <c r="B177" s="335" t="s">
        <v>195</v>
      </c>
      <c r="C177" s="336" t="s">
        <v>196</v>
      </c>
      <c r="D177" s="337">
        <v>10981369.136202697</v>
      </c>
      <c r="F177" s="337">
        <v>6365563.1239688024</v>
      </c>
      <c r="H177" s="337">
        <v>14049322.43232296</v>
      </c>
    </row>
    <row r="178" spans="2:8" ht="15.5" x14ac:dyDescent="0.25">
      <c r="B178" s="338" t="s">
        <v>197</v>
      </c>
      <c r="C178" s="339" t="s">
        <v>198</v>
      </c>
      <c r="D178" s="340">
        <f>Emissions!F239</f>
        <v>129</v>
      </c>
      <c r="F178" s="340">
        <f>D178</f>
        <v>129</v>
      </c>
      <c r="H178" s="340">
        <f>F178</f>
        <v>129</v>
      </c>
    </row>
    <row r="179" spans="2:8" x14ac:dyDescent="0.25">
      <c r="B179" s="341"/>
      <c r="C179" s="342"/>
      <c r="D179" s="199"/>
      <c r="F179" s="199"/>
      <c r="H179" s="199"/>
    </row>
    <row r="180" spans="2:8" x14ac:dyDescent="0.25">
      <c r="B180" s="834"/>
      <c r="C180" s="834"/>
      <c r="D180" s="199"/>
      <c r="F180" s="199"/>
      <c r="H180" s="199"/>
    </row>
    <row r="181" spans="2:8" x14ac:dyDescent="0.25">
      <c r="B181" s="202" t="s">
        <v>59</v>
      </c>
      <c r="C181" s="198"/>
      <c r="D181" s="199"/>
      <c r="F181" s="199"/>
      <c r="H181" s="199"/>
    </row>
    <row r="182" spans="2:8" x14ac:dyDescent="0.25">
      <c r="C182" s="198"/>
      <c r="D182" s="199"/>
      <c r="F182" s="199"/>
      <c r="H182" s="199"/>
    </row>
    <row r="183" spans="2:8" ht="14.5" x14ac:dyDescent="0.25">
      <c r="B183" s="312" t="s">
        <v>199</v>
      </c>
      <c r="C183" s="313" t="s">
        <v>200</v>
      </c>
      <c r="D183" s="314">
        <f>D177*D178/1000000</f>
        <v>1416.5966185701479</v>
      </c>
      <c r="F183" s="314">
        <f>F177*F178/1000000</f>
        <v>821.15764299197554</v>
      </c>
      <c r="H183" s="314">
        <f>H177*H178/1000000</f>
        <v>1812.362593769662</v>
      </c>
    </row>
    <row r="184" spans="2:8" x14ac:dyDescent="0.25">
      <c r="C184" s="199" t="s">
        <v>86</v>
      </c>
      <c r="D184" s="315">
        <v>0</v>
      </c>
      <c r="F184" s="315">
        <v>0</v>
      </c>
      <c r="H184" s="315">
        <v>0</v>
      </c>
    </row>
    <row r="185" spans="2:8" x14ac:dyDescent="0.25">
      <c r="C185" s="198"/>
    </row>
    <row r="186" spans="2:8" ht="15" x14ac:dyDescent="0.4">
      <c r="B186" s="293" t="s">
        <v>201</v>
      </c>
      <c r="C186" s="198"/>
    </row>
    <row r="187" spans="2:8" x14ac:dyDescent="0.25">
      <c r="C187" s="198"/>
    </row>
    <row r="188" spans="2:8" x14ac:dyDescent="0.25">
      <c r="B188" s="343" t="s">
        <v>202</v>
      </c>
      <c r="C188" s="198"/>
    </row>
    <row r="189" spans="2:8" x14ac:dyDescent="0.25">
      <c r="C189" s="198"/>
    </row>
    <row r="190" spans="2:8" x14ac:dyDescent="0.25">
      <c r="B190" s="202" t="s">
        <v>49</v>
      </c>
      <c r="C190" s="198"/>
    </row>
    <row r="191" spans="2:8" ht="13" x14ac:dyDescent="0.3">
      <c r="C191" s="198"/>
      <c r="D191" s="203">
        <v>2023</v>
      </c>
      <c r="F191" s="203">
        <v>2022</v>
      </c>
      <c r="H191" s="203">
        <v>2021</v>
      </c>
    </row>
    <row r="192" spans="2:8" ht="15.5" x14ac:dyDescent="0.4">
      <c r="B192" s="344" t="s">
        <v>203</v>
      </c>
      <c r="C192" s="294" t="s">
        <v>204</v>
      </c>
      <c r="D192" s="345">
        <v>0</v>
      </c>
      <c r="F192" s="345">
        <v>0</v>
      </c>
      <c r="H192" s="345">
        <v>0</v>
      </c>
    </row>
    <row r="193" spans="2:8" ht="15.5" x14ac:dyDescent="0.4">
      <c r="B193" s="346" t="s">
        <v>205</v>
      </c>
      <c r="C193" s="271" t="s">
        <v>206</v>
      </c>
      <c r="D193" s="345">
        <v>0</v>
      </c>
      <c r="F193" s="345">
        <v>0</v>
      </c>
      <c r="H193" s="345">
        <v>0</v>
      </c>
    </row>
    <row r="194" spans="2:8" ht="15.5" x14ac:dyDescent="0.4">
      <c r="B194" s="347" t="s">
        <v>207</v>
      </c>
      <c r="C194" s="271" t="s">
        <v>208</v>
      </c>
      <c r="D194" s="345">
        <v>0</v>
      </c>
      <c r="F194" s="345">
        <v>0</v>
      </c>
      <c r="H194" s="345">
        <v>0</v>
      </c>
    </row>
    <row r="195" spans="2:8" ht="15.5" x14ac:dyDescent="0.4">
      <c r="B195" s="346" t="s">
        <v>209</v>
      </c>
      <c r="C195" s="271" t="s">
        <v>210</v>
      </c>
      <c r="D195" s="345">
        <v>0</v>
      </c>
      <c r="F195" s="345">
        <v>0</v>
      </c>
      <c r="H195" s="345">
        <v>0</v>
      </c>
    </row>
    <row r="196" spans="2:8" ht="15.5" x14ac:dyDescent="0.4">
      <c r="B196" s="346" t="s">
        <v>211</v>
      </c>
      <c r="C196" s="271" t="s">
        <v>212</v>
      </c>
      <c r="D196" s="345">
        <v>0</v>
      </c>
      <c r="F196" s="345">
        <v>0</v>
      </c>
      <c r="H196" s="345">
        <v>0</v>
      </c>
    </row>
    <row r="197" spans="2:8" ht="15.5" x14ac:dyDescent="0.4">
      <c r="B197" s="348" t="s">
        <v>213</v>
      </c>
      <c r="C197" s="271" t="s">
        <v>214</v>
      </c>
      <c r="D197" s="296">
        <f>'2023 Data'!G62</f>
        <v>18.388258899999997</v>
      </c>
      <c r="F197" s="296">
        <f>'2022 Data'!G58</f>
        <v>17.916629499999999</v>
      </c>
      <c r="H197" s="296">
        <f>'2021 Data '!G54</f>
        <v>18.876190300000001</v>
      </c>
    </row>
    <row r="198" spans="2:8" ht="15.5" x14ac:dyDescent="0.4">
      <c r="B198" s="348" t="s">
        <v>215</v>
      </c>
      <c r="C198" s="271" t="s">
        <v>119</v>
      </c>
      <c r="D198" s="296">
        <f>'2023 Data'!G64</f>
        <v>16.788301199999999</v>
      </c>
      <c r="F198" s="296">
        <f>'2022 Data'!G60</f>
        <v>18.066816899999999</v>
      </c>
      <c r="H198" s="296">
        <f>'2021 Data '!G56</f>
        <v>18.791712499999996</v>
      </c>
    </row>
    <row r="199" spans="2:8" ht="15.5" x14ac:dyDescent="0.4">
      <c r="B199" s="348" t="s">
        <v>216</v>
      </c>
      <c r="C199" s="271" t="s">
        <v>121</v>
      </c>
      <c r="D199" s="296">
        <v>0</v>
      </c>
      <c r="F199" s="296">
        <f>'2022 Data'!G62</f>
        <v>0</v>
      </c>
      <c r="H199" s="296">
        <v>0</v>
      </c>
    </row>
    <row r="200" spans="2:8" ht="28" x14ac:dyDescent="0.25">
      <c r="B200" s="349" t="s">
        <v>217</v>
      </c>
      <c r="C200" s="264" t="s">
        <v>218</v>
      </c>
      <c r="D200" s="350">
        <v>0</v>
      </c>
      <c r="F200" s="350">
        <v>0</v>
      </c>
      <c r="H200" s="350">
        <v>0</v>
      </c>
    </row>
    <row r="201" spans="2:8" x14ac:dyDescent="0.25">
      <c r="B201" s="349" t="s">
        <v>219</v>
      </c>
      <c r="C201" s="271"/>
      <c r="D201" s="351">
        <v>1.37</v>
      </c>
      <c r="F201" s="351">
        <v>1.37</v>
      </c>
      <c r="H201" s="351">
        <v>1.37</v>
      </c>
    </row>
    <row r="202" spans="2:8" ht="15.5" x14ac:dyDescent="0.25">
      <c r="B202" s="352" t="s">
        <v>220</v>
      </c>
      <c r="C202" s="297" t="s">
        <v>221</v>
      </c>
      <c r="D202" s="353">
        <v>25</v>
      </c>
      <c r="F202" s="353">
        <v>25</v>
      </c>
      <c r="H202" s="353">
        <v>25</v>
      </c>
    </row>
    <row r="203" spans="2:8" x14ac:dyDescent="0.25">
      <c r="B203" s="354" t="s">
        <v>191</v>
      </c>
      <c r="C203" s="198"/>
      <c r="D203" s="199"/>
      <c r="F203" s="199"/>
      <c r="H203" s="199"/>
    </row>
    <row r="204" spans="2:8" ht="14.5" x14ac:dyDescent="0.25">
      <c r="B204" s="835" t="s">
        <v>222</v>
      </c>
      <c r="C204" s="835"/>
      <c r="D204" s="199"/>
      <c r="F204" s="199"/>
      <c r="H204" s="199"/>
    </row>
    <row r="205" spans="2:8" ht="14.5" x14ac:dyDescent="0.25">
      <c r="B205" s="355" t="s">
        <v>223</v>
      </c>
      <c r="C205" s="356"/>
      <c r="D205" s="199"/>
      <c r="F205" s="199"/>
      <c r="H205" s="199"/>
    </row>
    <row r="206" spans="2:8" x14ac:dyDescent="0.25">
      <c r="B206" s="357"/>
      <c r="C206" s="198"/>
      <c r="D206" s="199"/>
      <c r="F206" s="199"/>
      <c r="H206" s="199"/>
    </row>
    <row r="207" spans="2:8" x14ac:dyDescent="0.25">
      <c r="B207" s="202" t="s">
        <v>59</v>
      </c>
      <c r="C207" s="198"/>
      <c r="D207" s="199"/>
      <c r="F207" s="199"/>
      <c r="H207" s="199"/>
    </row>
    <row r="208" spans="2:8" ht="13" x14ac:dyDescent="0.3">
      <c r="C208" s="198"/>
      <c r="D208" s="203">
        <v>2023</v>
      </c>
      <c r="F208" s="203">
        <v>2022</v>
      </c>
      <c r="H208" s="203">
        <v>2021</v>
      </c>
    </row>
    <row r="209" spans="2:8" ht="25" x14ac:dyDescent="0.25">
      <c r="B209" s="215" t="s">
        <v>224</v>
      </c>
      <c r="C209" s="358" t="s">
        <v>225</v>
      </c>
      <c r="D209" s="359">
        <f>((D192*D197)+(D193*D198)+(D194*D197)+(D195*D198)+(D196*D199))*D200*D201*D202</f>
        <v>0</v>
      </c>
      <c r="F209" s="359">
        <f>((F192*F197)+(F193*F198)+(F194*F197)+(F195*F198)+(F196*F199))*F200*F201*F202</f>
        <v>0</v>
      </c>
      <c r="H209" s="359">
        <f>((H192*H197)+(H193*H198)+(H194*H197)+(H195*H198)+(H196*H199))*H200*H201*H202</f>
        <v>0</v>
      </c>
    </row>
    <row r="210" spans="2:8" x14ac:dyDescent="0.25">
      <c r="C210" s="199" t="s">
        <v>86</v>
      </c>
      <c r="D210" s="360">
        <v>0</v>
      </c>
      <c r="F210" s="360">
        <v>0</v>
      </c>
      <c r="H210" s="360">
        <v>0</v>
      </c>
    </row>
    <row r="211" spans="2:8" x14ac:dyDescent="0.25">
      <c r="B211" s="213"/>
      <c r="C211" s="198"/>
    </row>
    <row r="212" spans="2:8" x14ac:dyDescent="0.25">
      <c r="C212" s="198"/>
    </row>
    <row r="213" spans="2:8" x14ac:dyDescent="0.25">
      <c r="C213" s="198"/>
    </row>
    <row r="214" spans="2:8" ht="13" x14ac:dyDescent="0.3">
      <c r="B214" s="293" t="s">
        <v>226</v>
      </c>
      <c r="C214" s="198"/>
    </row>
    <row r="215" spans="2:8" x14ac:dyDescent="0.25">
      <c r="B215" s="197" t="s">
        <v>227</v>
      </c>
      <c r="C215" s="198"/>
    </row>
    <row r="216" spans="2:8" ht="13" x14ac:dyDescent="0.3">
      <c r="B216" s="320" t="s">
        <v>228</v>
      </c>
      <c r="C216" s="361"/>
      <c r="D216" s="203">
        <v>2023</v>
      </c>
      <c r="F216" s="203">
        <v>2022</v>
      </c>
      <c r="H216" s="203">
        <v>2021</v>
      </c>
    </row>
    <row r="217" spans="2:8" ht="15.5" x14ac:dyDescent="0.4">
      <c r="B217" s="329" t="s">
        <v>229</v>
      </c>
      <c r="C217" s="294" t="s">
        <v>230</v>
      </c>
      <c r="D217" s="362">
        <f>D156</f>
        <v>453.77737030529926</v>
      </c>
      <c r="F217" s="362">
        <f>F156</f>
        <v>420.33641260301283</v>
      </c>
      <c r="H217" s="362">
        <f>H156</f>
        <v>318.5780193283843</v>
      </c>
    </row>
    <row r="218" spans="2:8" ht="15.5" x14ac:dyDescent="0.25">
      <c r="B218" s="317" t="s">
        <v>231</v>
      </c>
      <c r="C218" s="268" t="s">
        <v>232</v>
      </c>
      <c r="D218" s="363">
        <f>D167</f>
        <v>733.2564536629867</v>
      </c>
      <c r="F218" s="363">
        <f>F167</f>
        <v>149.51287252559453</v>
      </c>
      <c r="H218" s="363">
        <f>H167</f>
        <v>97.308948165037435</v>
      </c>
    </row>
    <row r="219" spans="2:8" ht="15.5" x14ac:dyDescent="0.25">
      <c r="B219" s="317" t="s">
        <v>233</v>
      </c>
      <c r="C219" s="268" t="s">
        <v>234</v>
      </c>
      <c r="D219" s="363">
        <v>0</v>
      </c>
      <c r="F219" s="363">
        <v>0</v>
      </c>
      <c r="H219" s="363">
        <v>0</v>
      </c>
    </row>
    <row r="220" spans="2:8" ht="15.5" x14ac:dyDescent="0.25">
      <c r="B220" s="317" t="s">
        <v>235</v>
      </c>
      <c r="C220" s="268" t="s">
        <v>236</v>
      </c>
      <c r="D220" s="363">
        <f>D183</f>
        <v>1416.5966185701479</v>
      </c>
      <c r="F220" s="363">
        <f>F183</f>
        <v>821.15764299197554</v>
      </c>
      <c r="H220" s="363">
        <f>H183</f>
        <v>1812.362593769662</v>
      </c>
    </row>
    <row r="221" spans="2:8" ht="15.5" x14ac:dyDescent="0.25">
      <c r="B221" s="317" t="s">
        <v>202</v>
      </c>
      <c r="C221" s="268" t="s">
        <v>237</v>
      </c>
      <c r="D221" s="363">
        <f>D209</f>
        <v>0</v>
      </c>
      <c r="F221" s="363">
        <f>F209</f>
        <v>0</v>
      </c>
      <c r="H221" s="363">
        <f>H209</f>
        <v>0</v>
      </c>
    </row>
    <row r="222" spans="2:8" ht="15.5" x14ac:dyDescent="0.25">
      <c r="B222" s="317" t="s">
        <v>238</v>
      </c>
      <c r="C222" s="268" t="s">
        <v>239</v>
      </c>
      <c r="D222" s="363">
        <v>0</v>
      </c>
      <c r="F222" s="363">
        <v>0</v>
      </c>
      <c r="H222" s="363">
        <v>0</v>
      </c>
    </row>
    <row r="223" spans="2:8" ht="15.5" x14ac:dyDescent="0.25">
      <c r="B223" s="318" t="s">
        <v>240</v>
      </c>
      <c r="C223" s="364" t="s">
        <v>241</v>
      </c>
      <c r="D223" s="365">
        <v>0</v>
      </c>
      <c r="F223" s="365">
        <v>0</v>
      </c>
      <c r="H223" s="365">
        <v>0</v>
      </c>
    </row>
    <row r="224" spans="2:8" ht="13" x14ac:dyDescent="0.3">
      <c r="B224" s="328" t="s">
        <v>183</v>
      </c>
      <c r="C224" s="300"/>
      <c r="D224" s="359">
        <f>SUM(D217:D223)</f>
        <v>2603.6304425384342</v>
      </c>
      <c r="F224" s="359">
        <f>SUM(F217:F223)</f>
        <v>1391.0069281205829</v>
      </c>
      <c r="H224" s="359">
        <f>SUM(H217:H223)</f>
        <v>2228.2495612630837</v>
      </c>
    </row>
    <row r="225" spans="4:8" x14ac:dyDescent="0.25">
      <c r="D225" s="366"/>
      <c r="F225" s="366"/>
      <c r="H225" s="366"/>
    </row>
  </sheetData>
  <mergeCells count="5">
    <mergeCell ref="B180:C180"/>
    <mergeCell ref="B204:C204"/>
    <mergeCell ref="E89:E90"/>
    <mergeCell ref="G89:G90"/>
    <mergeCell ref="I89:I9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EF618-5EC4-4D67-8562-95314135C527}">
  <dimension ref="A2:IG278"/>
  <sheetViews>
    <sheetView topLeftCell="A109" zoomScale="80" zoomScaleNormal="80" workbookViewId="0">
      <selection activeCell="H26" sqref="H26"/>
    </sheetView>
  </sheetViews>
  <sheetFormatPr baseColWidth="10" defaultColWidth="11.453125" defaultRowHeight="13" x14ac:dyDescent="0.3"/>
  <cols>
    <col min="1" max="1" width="1.54296875" style="171" customWidth="1"/>
    <col min="2" max="2" width="75.1796875" style="171" customWidth="1"/>
    <col min="3" max="3" width="37.1796875" style="411" customWidth="1"/>
    <col min="4" max="4" width="23.54296875" style="171" customWidth="1"/>
    <col min="5" max="5" width="2.453125" style="406" customWidth="1"/>
    <col min="6" max="8" width="14.54296875" style="406" bestFit="1" customWidth="1"/>
    <col min="9" max="9" width="35.54296875" style="171" bestFit="1" customWidth="1"/>
    <col min="10" max="16384" width="11.453125" style="171"/>
  </cols>
  <sheetData>
    <row r="2" spans="2:8" ht="23" x14ac:dyDescent="0.5">
      <c r="B2" s="1" t="s">
        <v>242</v>
      </c>
      <c r="C2" s="405"/>
    </row>
    <row r="5" spans="2:8" ht="17.5" x14ac:dyDescent="0.35">
      <c r="B5" s="407"/>
      <c r="C5" s="408"/>
      <c r="D5" s="409"/>
    </row>
    <row r="8" spans="2:8" x14ac:dyDescent="0.3">
      <c r="B8" s="410" t="s">
        <v>1</v>
      </c>
      <c r="C8" s="233" t="s">
        <v>2</v>
      </c>
    </row>
    <row r="9" spans="2:8" x14ac:dyDescent="0.3">
      <c r="B9" s="410" t="s">
        <v>3</v>
      </c>
      <c r="C9" s="233" t="s">
        <v>4</v>
      </c>
    </row>
    <row r="10" spans="2:8" x14ac:dyDescent="0.3">
      <c r="D10" s="171" t="s">
        <v>243</v>
      </c>
    </row>
    <row r="12" spans="2:8" ht="14" x14ac:dyDescent="0.3">
      <c r="B12" s="412" t="s">
        <v>244</v>
      </c>
      <c r="C12" s="405"/>
      <c r="E12" s="413"/>
      <c r="F12" s="413"/>
      <c r="G12" s="413"/>
      <c r="H12" s="413"/>
    </row>
    <row r="13" spans="2:8" x14ac:dyDescent="0.3">
      <c r="E13" s="700"/>
      <c r="F13" s="587">
        <v>2023</v>
      </c>
      <c r="G13" s="414">
        <v>2022</v>
      </c>
      <c r="H13" s="414">
        <v>2021</v>
      </c>
    </row>
    <row r="14" spans="2:8" x14ac:dyDescent="0.3">
      <c r="B14" s="244" t="s">
        <v>245</v>
      </c>
      <c r="C14" s="415"/>
      <c r="D14" s="656" t="s">
        <v>246</v>
      </c>
      <c r="E14" s="701"/>
      <c r="F14" s="668">
        <v>365</v>
      </c>
      <c r="G14" s="416">
        <v>365</v>
      </c>
      <c r="H14" s="416">
        <v>365</v>
      </c>
    </row>
    <row r="15" spans="2:8" x14ac:dyDescent="0.3">
      <c r="B15" s="245" t="s">
        <v>247</v>
      </c>
      <c r="C15" s="417"/>
      <c r="D15" s="436" t="s">
        <v>246</v>
      </c>
      <c r="F15" s="418">
        <f>'2023 Data'!Q20</f>
        <v>17.62125</v>
      </c>
      <c r="G15" s="418">
        <f>'2022 Data'!Q20</f>
        <v>13.739583333333334</v>
      </c>
      <c r="H15" s="418">
        <f>'2021 Data '!Q20</f>
        <v>11.2675</v>
      </c>
    </row>
    <row r="16" spans="2:8" x14ac:dyDescent="0.3">
      <c r="B16" s="246" t="s">
        <v>248</v>
      </c>
      <c r="C16" s="419"/>
      <c r="D16" s="657" t="s">
        <v>249</v>
      </c>
      <c r="E16" s="518"/>
      <c r="F16" s="420">
        <f>(F14-F15)*24</f>
        <v>8337.09</v>
      </c>
      <c r="G16" s="420">
        <f>(G14-G15)*24</f>
        <v>8430.25</v>
      </c>
      <c r="H16" s="420">
        <f>(H14-H15)*24</f>
        <v>8489.58</v>
      </c>
    </row>
    <row r="18" spans="1:8" ht="15" x14ac:dyDescent="0.4">
      <c r="B18" s="244" t="s">
        <v>250</v>
      </c>
      <c r="C18" s="249" t="s">
        <v>251</v>
      </c>
      <c r="D18" s="658" t="s">
        <v>252</v>
      </c>
      <c r="E18" s="606"/>
      <c r="F18" s="780">
        <f>EF!C7</f>
        <v>0.71122102021228806</v>
      </c>
      <c r="G18" s="781">
        <f>EF!C6</f>
        <v>0.75151352443754971</v>
      </c>
      <c r="H18" s="781">
        <f>EF!C5</f>
        <v>0.81495408383058654</v>
      </c>
    </row>
    <row r="19" spans="1:8" ht="15" x14ac:dyDescent="0.4">
      <c r="B19" s="245" t="s">
        <v>253</v>
      </c>
      <c r="C19" s="251" t="s">
        <v>254</v>
      </c>
      <c r="D19" s="659" t="s">
        <v>252</v>
      </c>
      <c r="E19" s="606"/>
      <c r="F19" s="782">
        <f>EF!D7</f>
        <v>3.4538858919874872E-3</v>
      </c>
      <c r="G19" s="783">
        <f>EF!D6</f>
        <v>8.9103145677009776E-2</v>
      </c>
      <c r="H19" s="783">
        <f>EF!D5</f>
        <v>0.15286289717842125</v>
      </c>
    </row>
    <row r="20" spans="1:8" ht="15" x14ac:dyDescent="0.4">
      <c r="B20" s="246" t="s">
        <v>255</v>
      </c>
      <c r="C20" s="253" t="s">
        <v>256</v>
      </c>
      <c r="D20" s="660" t="s">
        <v>252</v>
      </c>
      <c r="E20" s="606"/>
      <c r="F20" s="784">
        <f t="shared" ref="F20:H20" si="0">+(F18*$D$21+F19*$D$22)</f>
        <v>0.35733745305213777</v>
      </c>
      <c r="G20" s="785">
        <f t="shared" si="0"/>
        <v>0.42030833505727971</v>
      </c>
      <c r="H20" s="785">
        <f t="shared" si="0"/>
        <v>0.48390849050450391</v>
      </c>
    </row>
    <row r="21" spans="1:8" ht="15.5" x14ac:dyDescent="0.3">
      <c r="B21" s="207" t="s">
        <v>68</v>
      </c>
      <c r="C21" s="594" t="s">
        <v>69</v>
      </c>
      <c r="D21" s="661">
        <v>0.5</v>
      </c>
      <c r="E21" s="606"/>
    </row>
    <row r="22" spans="1:8" ht="15.5" x14ac:dyDescent="0.3">
      <c r="B22" s="210" t="s">
        <v>70</v>
      </c>
      <c r="C22" s="225" t="s">
        <v>71</v>
      </c>
      <c r="D22" s="662">
        <v>0.5</v>
      </c>
      <c r="E22" s="606"/>
      <c r="F22" s="606"/>
      <c r="G22" s="606"/>
      <c r="H22" s="606"/>
    </row>
    <row r="23" spans="1:8" x14ac:dyDescent="0.3">
      <c r="C23" s="406"/>
      <c r="D23" s="605"/>
      <c r="E23" s="606"/>
      <c r="F23" s="816"/>
      <c r="G23" s="816"/>
      <c r="H23" s="816"/>
    </row>
    <row r="24" spans="1:8" x14ac:dyDescent="0.3">
      <c r="C24" s="406"/>
      <c r="D24" s="605"/>
      <c r="E24" s="606"/>
      <c r="F24" s="606"/>
      <c r="G24" s="606"/>
      <c r="H24" s="606"/>
    </row>
    <row r="25" spans="1:8" x14ac:dyDescent="0.3">
      <c r="B25" s="8" t="s">
        <v>257</v>
      </c>
      <c r="C25" s="405"/>
    </row>
    <row r="28" spans="1:8" x14ac:dyDescent="0.3">
      <c r="B28" s="422" t="s">
        <v>258</v>
      </c>
    </row>
    <row r="29" spans="1:8" x14ac:dyDescent="0.3">
      <c r="E29" s="171"/>
      <c r="F29" s="171"/>
      <c r="G29" s="171"/>
      <c r="H29" s="171"/>
    </row>
    <row r="30" spans="1:8" x14ac:dyDescent="0.3">
      <c r="B30" s="423" t="s">
        <v>259</v>
      </c>
      <c r="C30" s="424"/>
      <c r="D30" s="425"/>
      <c r="E30" s="700"/>
      <c r="F30" s="587">
        <v>2023</v>
      </c>
      <c r="G30" s="414">
        <v>2022</v>
      </c>
      <c r="H30" s="414">
        <v>2021</v>
      </c>
    </row>
    <row r="31" spans="1:8" x14ac:dyDescent="0.3">
      <c r="A31" s="426"/>
      <c r="B31" s="423" t="s">
        <v>260</v>
      </c>
      <c r="C31" s="424"/>
      <c r="D31" s="425" t="s">
        <v>261</v>
      </c>
      <c r="E31" s="702"/>
      <c r="F31" s="669">
        <f>AVERAGE('2023 Data'!E62:F62)</f>
        <v>18.388258899999997</v>
      </c>
      <c r="G31" s="427">
        <f>AVERAGE('2022 Data'!E58:F58)</f>
        <v>17.916629499999999</v>
      </c>
      <c r="H31" s="427">
        <f>AVERAGE('2021 Data '!E54:F54)</f>
        <v>18.876190300000001</v>
      </c>
    </row>
    <row r="32" spans="1:8" x14ac:dyDescent="0.3">
      <c r="A32" s="426"/>
      <c r="B32" s="428" t="s">
        <v>262</v>
      </c>
      <c r="C32" s="429"/>
      <c r="D32" s="430" t="s">
        <v>261</v>
      </c>
      <c r="E32" s="702"/>
      <c r="F32" s="670">
        <f>AVERAGE('2023 Data'!E64:F64)</f>
        <v>16.788301199999999</v>
      </c>
      <c r="G32" s="431">
        <f>AVERAGE('2022 Data'!E60:F60)</f>
        <v>18.066816899999999</v>
      </c>
      <c r="H32" s="431">
        <f>AVERAGE('2021 Data '!E56:F56)</f>
        <v>18.791712499999996</v>
      </c>
    </row>
    <row r="33" spans="1:8" ht="15" x14ac:dyDescent="0.3">
      <c r="A33" s="426"/>
      <c r="B33" s="432" t="s">
        <v>263</v>
      </c>
      <c r="C33" s="433"/>
      <c r="D33" s="434" t="s">
        <v>264</v>
      </c>
      <c r="E33" s="701"/>
      <c r="F33" s="671">
        <v>28</v>
      </c>
      <c r="G33" s="435">
        <v>28</v>
      </c>
      <c r="H33" s="435">
        <v>28</v>
      </c>
    </row>
    <row r="34" spans="1:8" x14ac:dyDescent="0.3">
      <c r="A34" s="426"/>
      <c r="B34" s="437" t="s">
        <v>265</v>
      </c>
      <c r="C34" s="438"/>
      <c r="D34" s="565"/>
      <c r="E34" s="171"/>
      <c r="F34" s="672"/>
      <c r="G34" s="439"/>
      <c r="H34" s="439"/>
    </row>
    <row r="35" spans="1:8" ht="15" x14ac:dyDescent="0.3">
      <c r="A35" s="440"/>
      <c r="B35" s="441" t="s">
        <v>266</v>
      </c>
      <c r="C35" s="438" t="s">
        <v>267</v>
      </c>
      <c r="D35" s="442" t="s">
        <v>268</v>
      </c>
      <c r="E35" s="572"/>
      <c r="F35" s="673">
        <v>30</v>
      </c>
      <c r="G35" s="443">
        <v>30</v>
      </c>
      <c r="H35" s="443">
        <v>30</v>
      </c>
    </row>
    <row r="36" spans="1:8" x14ac:dyDescent="0.3">
      <c r="A36" s="444"/>
      <c r="B36" s="445" t="s">
        <v>269</v>
      </c>
      <c r="C36" s="446"/>
      <c r="D36" s="430" t="s">
        <v>128</v>
      </c>
      <c r="E36" s="703"/>
      <c r="F36" s="674">
        <v>1.37</v>
      </c>
      <c r="G36" s="447">
        <v>1.37</v>
      </c>
      <c r="H36" s="447">
        <v>1.37</v>
      </c>
    </row>
    <row r="37" spans="1:8" ht="15" x14ac:dyDescent="0.3">
      <c r="A37" s="444"/>
      <c r="B37" s="448" t="s">
        <v>660</v>
      </c>
      <c r="C37" s="449"/>
      <c r="D37" s="442" t="s">
        <v>268</v>
      </c>
      <c r="E37" s="572"/>
      <c r="F37" s="675">
        <f>F35*F36</f>
        <v>41.1</v>
      </c>
      <c r="G37" s="450">
        <f>G35*G36</f>
        <v>41.1</v>
      </c>
      <c r="H37" s="450">
        <f>H35*H36</f>
        <v>41.1</v>
      </c>
    </row>
    <row r="38" spans="1:8" ht="15" x14ac:dyDescent="0.3">
      <c r="B38" s="451" t="s">
        <v>270</v>
      </c>
      <c r="C38" s="452"/>
      <c r="D38" s="453" t="s">
        <v>704</v>
      </c>
      <c r="E38" s="458"/>
      <c r="F38" s="676">
        <f>F37*F33/1000</f>
        <v>1.1508</v>
      </c>
      <c r="G38" s="676">
        <f t="shared" ref="G38:H38" si="1">G37*G33/1000</f>
        <v>1.1508</v>
      </c>
      <c r="H38" s="676">
        <f t="shared" si="1"/>
        <v>1.1508</v>
      </c>
    </row>
    <row r="39" spans="1:8" x14ac:dyDescent="0.3">
      <c r="A39" s="454"/>
      <c r="B39" s="455"/>
      <c r="C39" s="456"/>
      <c r="D39" s="457"/>
      <c r="E39" s="458"/>
      <c r="F39" s="458"/>
      <c r="G39" s="458"/>
      <c r="H39" s="458"/>
    </row>
    <row r="40" spans="1:8" x14ac:dyDescent="0.3">
      <c r="A40" s="454"/>
      <c r="B40" s="459"/>
      <c r="C40" s="456"/>
      <c r="D40" s="430"/>
      <c r="E40" s="459"/>
      <c r="F40" s="459"/>
      <c r="G40" s="459"/>
      <c r="H40" s="459"/>
    </row>
    <row r="41" spans="1:8" x14ac:dyDescent="0.3">
      <c r="A41" s="454"/>
      <c r="B41" s="460" t="s">
        <v>272</v>
      </c>
      <c r="C41" s="452"/>
      <c r="D41" s="461"/>
      <c r="E41" s="700"/>
      <c r="F41" s="587">
        <v>2019</v>
      </c>
      <c r="G41" s="414">
        <v>2018</v>
      </c>
      <c r="H41" s="414">
        <v>2017</v>
      </c>
    </row>
    <row r="42" spans="1:8" x14ac:dyDescent="0.3">
      <c r="A42" s="462"/>
      <c r="B42" s="463" t="s">
        <v>273</v>
      </c>
      <c r="C42" s="449"/>
      <c r="D42" s="430"/>
      <c r="E42" s="704"/>
      <c r="F42" s="677"/>
      <c r="G42" s="464"/>
      <c r="H42" s="464"/>
    </row>
    <row r="43" spans="1:8" ht="15" x14ac:dyDescent="0.3">
      <c r="B43" s="428" t="s">
        <v>274</v>
      </c>
      <c r="C43" s="449"/>
      <c r="D43" s="430" t="s">
        <v>268</v>
      </c>
      <c r="E43" s="705"/>
      <c r="F43" s="678">
        <v>874.2</v>
      </c>
      <c r="G43" s="421">
        <v>874.2</v>
      </c>
      <c r="H43" s="421">
        <v>874.2</v>
      </c>
    </row>
    <row r="44" spans="1:8" x14ac:dyDescent="0.3">
      <c r="A44" s="444"/>
      <c r="B44" s="428" t="s">
        <v>275</v>
      </c>
      <c r="C44" s="449"/>
      <c r="D44" s="430" t="s">
        <v>276</v>
      </c>
      <c r="E44" s="703"/>
      <c r="F44" s="674">
        <v>0.94</v>
      </c>
      <c r="G44" s="447">
        <v>0.94</v>
      </c>
      <c r="H44" s="447">
        <v>0.94</v>
      </c>
    </row>
    <row r="45" spans="1:8" ht="15" x14ac:dyDescent="0.3">
      <c r="A45" s="466"/>
      <c r="B45" s="428" t="s">
        <v>277</v>
      </c>
      <c r="C45" s="467"/>
      <c r="D45" s="434" t="s">
        <v>268</v>
      </c>
      <c r="E45" s="704"/>
      <c r="F45" s="679">
        <f>F43*F44</f>
        <v>821.74800000000005</v>
      </c>
      <c r="G45" s="468">
        <f>G43*G44</f>
        <v>821.74800000000005</v>
      </c>
      <c r="H45" s="468">
        <f>H43*H44</f>
        <v>821.74800000000005</v>
      </c>
    </row>
    <row r="46" spans="1:8" ht="15" x14ac:dyDescent="0.3">
      <c r="A46" s="469"/>
      <c r="B46" s="437" t="s">
        <v>278</v>
      </c>
      <c r="C46" s="438" t="s">
        <v>279</v>
      </c>
      <c r="D46" s="470" t="s">
        <v>271</v>
      </c>
      <c r="E46" s="706"/>
      <c r="F46" s="680">
        <f>F31*F33*F45/1000</f>
        <v>423.09441928760162</v>
      </c>
      <c r="G46" s="471">
        <f>G31*G33*G45/1000</f>
        <v>412.24272483424801</v>
      </c>
      <c r="H46" s="471">
        <f>H31*H33*H45/1000</f>
        <v>434.3212055460433</v>
      </c>
    </row>
    <row r="47" spans="1:8" ht="15" x14ac:dyDescent="0.3">
      <c r="A47" s="469"/>
      <c r="B47" s="437" t="s">
        <v>280</v>
      </c>
      <c r="C47" s="438" t="s">
        <v>281</v>
      </c>
      <c r="D47" s="470" t="s">
        <v>271</v>
      </c>
      <c r="E47" s="706"/>
      <c r="F47" s="680">
        <f>F32*F33*F45/1000</f>
        <v>386.28108216593279</v>
      </c>
      <c r="G47" s="471">
        <f>G32*G33*G45/1000</f>
        <v>415.69837831035363</v>
      </c>
      <c r="H47" s="471">
        <f>H32*H33*H45/1000</f>
        <v>432.3774605765999</v>
      </c>
    </row>
    <row r="48" spans="1:8" x14ac:dyDescent="0.3">
      <c r="A48" s="472"/>
      <c r="B48" s="473"/>
      <c r="C48" s="474"/>
      <c r="D48" s="461"/>
      <c r="E48" s="704"/>
      <c r="F48" s="475"/>
      <c r="G48" s="475"/>
      <c r="H48" s="475"/>
    </row>
    <row r="49" spans="1:8" x14ac:dyDescent="0.3">
      <c r="A49" s="472"/>
      <c r="B49" s="476" t="s">
        <v>282</v>
      </c>
      <c r="C49" s="449"/>
      <c r="D49" s="442"/>
      <c r="E49" s="704"/>
      <c r="F49" s="681"/>
      <c r="G49" s="477"/>
      <c r="H49" s="477"/>
    </row>
    <row r="50" spans="1:8" x14ac:dyDescent="0.3">
      <c r="A50" s="472"/>
      <c r="B50" s="463"/>
      <c r="C50" s="449"/>
      <c r="D50" s="442"/>
      <c r="E50" s="704"/>
      <c r="F50" s="677"/>
      <c r="G50" s="464"/>
      <c r="H50" s="464"/>
    </row>
    <row r="51" spans="1:8" x14ac:dyDescent="0.3">
      <c r="A51" s="472"/>
      <c r="B51" s="428" t="s">
        <v>283</v>
      </c>
      <c r="C51" s="449"/>
      <c r="D51" s="430" t="s">
        <v>261</v>
      </c>
      <c r="E51" s="704"/>
      <c r="F51" s="677" t="s">
        <v>243</v>
      </c>
      <c r="G51" s="464" t="s">
        <v>243</v>
      </c>
      <c r="H51" s="464" t="s">
        <v>243</v>
      </c>
    </row>
    <row r="52" spans="1:8" ht="15" x14ac:dyDescent="0.3">
      <c r="A52" s="472"/>
      <c r="B52" s="428" t="s">
        <v>263</v>
      </c>
      <c r="C52" s="449"/>
      <c r="D52" s="442" t="s">
        <v>264</v>
      </c>
      <c r="E52" s="704"/>
      <c r="F52" s="767">
        <f>F33</f>
        <v>28</v>
      </c>
      <c r="G52" s="767">
        <f t="shared" ref="G52:H52" si="2">G33</f>
        <v>28</v>
      </c>
      <c r="H52" s="767">
        <f t="shared" si="2"/>
        <v>28</v>
      </c>
    </row>
    <row r="53" spans="1:8" x14ac:dyDescent="0.3">
      <c r="A53" s="472"/>
      <c r="B53" s="428"/>
      <c r="C53" s="449"/>
      <c r="D53" s="442"/>
      <c r="E53" s="704"/>
      <c r="F53" s="677"/>
      <c r="G53" s="464"/>
      <c r="H53" s="464"/>
    </row>
    <row r="54" spans="1:8" x14ac:dyDescent="0.3">
      <c r="B54" s="463" t="s">
        <v>284</v>
      </c>
      <c r="C54" s="479"/>
      <c r="D54" s="442"/>
      <c r="E54" s="704"/>
      <c r="F54" s="677"/>
      <c r="G54" s="464"/>
      <c r="H54" s="464"/>
    </row>
    <row r="55" spans="1:8" ht="15" x14ac:dyDescent="0.3">
      <c r="B55" s="428" t="s">
        <v>285</v>
      </c>
      <c r="C55" s="449"/>
      <c r="D55" s="442" t="s">
        <v>268</v>
      </c>
      <c r="E55" s="703"/>
      <c r="F55" s="674">
        <v>101.46</v>
      </c>
      <c r="G55" s="447">
        <v>101.46</v>
      </c>
      <c r="H55" s="447">
        <v>101.46</v>
      </c>
    </row>
    <row r="56" spans="1:8" x14ac:dyDescent="0.3">
      <c r="B56" s="428" t="s">
        <v>286</v>
      </c>
      <c r="C56" s="449"/>
      <c r="D56" s="442" t="s">
        <v>276</v>
      </c>
      <c r="E56" s="703"/>
      <c r="F56" s="674">
        <v>0.89</v>
      </c>
      <c r="G56" s="447">
        <v>0.89</v>
      </c>
      <c r="H56" s="447">
        <v>0.89</v>
      </c>
    </row>
    <row r="57" spans="1:8" ht="15" x14ac:dyDescent="0.3">
      <c r="B57" s="428" t="s">
        <v>287</v>
      </c>
      <c r="C57" s="467"/>
      <c r="D57" s="480" t="s">
        <v>268</v>
      </c>
      <c r="E57" s="704"/>
      <c r="F57" s="677">
        <f>F55*F56</f>
        <v>90.299399999999991</v>
      </c>
      <c r="G57" s="464">
        <f>G55*G56</f>
        <v>90.299399999999991</v>
      </c>
      <c r="H57" s="464">
        <f>H55*H56</f>
        <v>90.299399999999991</v>
      </c>
    </row>
    <row r="58" spans="1:8" ht="15" x14ac:dyDescent="0.3">
      <c r="B58" s="451" t="s">
        <v>288</v>
      </c>
      <c r="C58" s="452" t="s">
        <v>289</v>
      </c>
      <c r="D58" s="481" t="s">
        <v>271</v>
      </c>
      <c r="E58" s="706"/>
      <c r="F58" s="680">
        <v>0</v>
      </c>
      <c r="G58" s="471">
        <v>0</v>
      </c>
      <c r="H58" s="471">
        <v>0</v>
      </c>
    </row>
    <row r="59" spans="1:8" x14ac:dyDescent="0.3">
      <c r="B59" s="482" t="s">
        <v>290</v>
      </c>
      <c r="C59" s="456"/>
      <c r="D59" s="430"/>
      <c r="E59" s="459"/>
      <c r="F59" s="459"/>
      <c r="G59" s="459"/>
      <c r="H59" s="459"/>
    </row>
    <row r="60" spans="1:8" x14ac:dyDescent="0.3">
      <c r="B60" s="483" t="s">
        <v>291</v>
      </c>
      <c r="C60" s="456"/>
      <c r="D60" s="430"/>
      <c r="E60" s="459"/>
      <c r="F60" s="459"/>
      <c r="G60" s="459"/>
      <c r="H60" s="459"/>
    </row>
    <row r="61" spans="1:8" x14ac:dyDescent="0.3">
      <c r="B61" s="483" t="s">
        <v>292</v>
      </c>
      <c r="C61" s="456"/>
      <c r="D61" s="430"/>
      <c r="E61" s="459"/>
      <c r="F61" s="459"/>
      <c r="G61" s="459"/>
      <c r="H61" s="459"/>
    </row>
    <row r="62" spans="1:8" x14ac:dyDescent="0.3">
      <c r="B62" s="483" t="s">
        <v>293</v>
      </c>
      <c r="C62" s="456"/>
      <c r="D62" s="430"/>
      <c r="E62" s="459"/>
      <c r="F62" s="459"/>
      <c r="G62" s="459"/>
      <c r="H62" s="459"/>
    </row>
    <row r="63" spans="1:8" x14ac:dyDescent="0.3">
      <c r="B63" s="483" t="s">
        <v>294</v>
      </c>
    </row>
    <row r="64" spans="1:8" x14ac:dyDescent="0.3">
      <c r="B64" s="483"/>
    </row>
    <row r="65" spans="2:8" x14ac:dyDescent="0.3">
      <c r="B65" s="483"/>
    </row>
    <row r="66" spans="2:8" x14ac:dyDescent="0.3">
      <c r="B66" s="8" t="s">
        <v>295</v>
      </c>
      <c r="C66" s="405"/>
    </row>
    <row r="68" spans="2:8" x14ac:dyDescent="0.3">
      <c r="B68" s="484" t="s">
        <v>26</v>
      </c>
      <c r="E68" s="700"/>
      <c r="F68" s="587">
        <v>2023</v>
      </c>
      <c r="G68" s="414">
        <v>2022</v>
      </c>
      <c r="H68" s="414">
        <v>2021</v>
      </c>
    </row>
    <row r="69" spans="2:8" ht="15" x14ac:dyDescent="0.3">
      <c r="B69" s="485" t="s">
        <v>296</v>
      </c>
      <c r="C69" s="486" t="s">
        <v>297</v>
      </c>
      <c r="D69" s="487" t="s">
        <v>298</v>
      </c>
      <c r="E69" s="707"/>
      <c r="F69" s="488">
        <v>43.3</v>
      </c>
      <c r="G69" s="488">
        <f t="shared" ref="G69:H69" si="3">F69</f>
        <v>43.3</v>
      </c>
      <c r="H69" s="488">
        <f t="shared" si="3"/>
        <v>43.3</v>
      </c>
    </row>
    <row r="70" spans="2:8" x14ac:dyDescent="0.3">
      <c r="B70" s="489" t="s">
        <v>299</v>
      </c>
      <c r="C70" s="245"/>
      <c r="D70" s="436" t="s">
        <v>300</v>
      </c>
      <c r="E70" s="705"/>
      <c r="F70" s="678">
        <v>20.399999999999999</v>
      </c>
      <c r="G70" s="421">
        <v>20.399999999999999</v>
      </c>
      <c r="H70" s="421">
        <v>20.399999999999999</v>
      </c>
    </row>
    <row r="71" spans="2:8" x14ac:dyDescent="0.3">
      <c r="B71" s="489" t="s">
        <v>301</v>
      </c>
      <c r="C71" s="245"/>
      <c r="D71" s="436" t="s">
        <v>276</v>
      </c>
      <c r="E71" s="708"/>
      <c r="F71" s="683">
        <v>1</v>
      </c>
      <c r="G71" s="490">
        <v>1</v>
      </c>
      <c r="H71" s="490">
        <v>1</v>
      </c>
    </row>
    <row r="72" spans="2:8" ht="15.5" x14ac:dyDescent="0.4">
      <c r="B72" s="489" t="s">
        <v>302</v>
      </c>
      <c r="C72" s="245"/>
      <c r="D72" s="436" t="s">
        <v>303</v>
      </c>
      <c r="E72" s="705"/>
      <c r="F72" s="678">
        <f>44/12</f>
        <v>3.6666666666666665</v>
      </c>
      <c r="G72" s="421">
        <f>44/12</f>
        <v>3.6666666666666665</v>
      </c>
      <c r="H72" s="421">
        <f>44/12</f>
        <v>3.6666666666666665</v>
      </c>
    </row>
    <row r="73" spans="2:8" ht="15" x14ac:dyDescent="0.4">
      <c r="B73" s="491" t="s">
        <v>304</v>
      </c>
      <c r="C73" s="492" t="s">
        <v>305</v>
      </c>
      <c r="D73" s="493" t="s">
        <v>306</v>
      </c>
      <c r="E73" s="709"/>
      <c r="F73" s="684">
        <f>F70*F71*F72</f>
        <v>74.8</v>
      </c>
      <c r="G73" s="494">
        <f>G70*G71*G72</f>
        <v>74.8</v>
      </c>
      <c r="H73" s="494">
        <f>H70*H71*H72</f>
        <v>74.8</v>
      </c>
    </row>
    <row r="74" spans="2:8" x14ac:dyDescent="0.3">
      <c r="B74" s="495"/>
      <c r="C74" s="496"/>
      <c r="D74" s="493"/>
      <c r="E74" s="710"/>
      <c r="F74" s="685"/>
      <c r="G74" s="497"/>
      <c r="H74" s="497"/>
    </row>
    <row r="75" spans="2:8" x14ac:dyDescent="0.3">
      <c r="B75" s="495" t="s">
        <v>307</v>
      </c>
      <c r="C75" s="498"/>
      <c r="D75" s="493" t="s">
        <v>308</v>
      </c>
      <c r="E75" s="707"/>
      <c r="F75" s="682">
        <v>0.84</v>
      </c>
      <c r="G75" s="488">
        <f>F75</f>
        <v>0.84</v>
      </c>
      <c r="H75" s="488">
        <f t="shared" ref="H75" si="4">G75</f>
        <v>0.84</v>
      </c>
    </row>
    <row r="76" spans="2:8" ht="15" x14ac:dyDescent="0.4">
      <c r="B76" s="499" t="s">
        <v>309</v>
      </c>
      <c r="C76" s="500"/>
      <c r="D76" s="501" t="s">
        <v>661</v>
      </c>
      <c r="E76" s="711"/>
      <c r="F76" s="686">
        <f>F69*F73/1000</f>
        <v>3.2388399999999997</v>
      </c>
      <c r="G76" s="502">
        <f>G69*G73/1000</f>
        <v>3.2388399999999997</v>
      </c>
      <c r="H76" s="502">
        <f>H69*H73/1000</f>
        <v>3.2388399999999997</v>
      </c>
    </row>
    <row r="77" spans="2:8" x14ac:dyDescent="0.3">
      <c r="B77" s="503"/>
      <c r="C77" s="504"/>
      <c r="D77" s="503"/>
      <c r="E77" s="505"/>
      <c r="F77" s="505"/>
      <c r="G77" s="505"/>
      <c r="H77" s="505"/>
    </row>
    <row r="78" spans="2:8" x14ac:dyDescent="0.3">
      <c r="B78" s="506" t="s">
        <v>310</v>
      </c>
      <c r="C78" s="504"/>
      <c r="D78" s="503"/>
      <c r="E78" s="505"/>
      <c r="F78" s="505"/>
      <c r="G78" s="505"/>
      <c r="H78" s="505"/>
    </row>
    <row r="79" spans="2:8" ht="15" x14ac:dyDescent="0.3">
      <c r="B79" s="507" t="s">
        <v>311</v>
      </c>
      <c r="C79" s="508" t="s">
        <v>312</v>
      </c>
      <c r="D79" s="487" t="s">
        <v>298</v>
      </c>
      <c r="E79" s="707"/>
      <c r="F79" s="509">
        <v>41.7</v>
      </c>
      <c r="G79" s="509">
        <f t="shared" ref="G79:H79" si="5">F79</f>
        <v>41.7</v>
      </c>
      <c r="H79" s="509">
        <f t="shared" si="5"/>
        <v>41.7</v>
      </c>
    </row>
    <row r="80" spans="2:8" x14ac:dyDescent="0.3">
      <c r="B80" s="489" t="s">
        <v>299</v>
      </c>
      <c r="C80" s="510"/>
      <c r="D80" s="436" t="s">
        <v>300</v>
      </c>
      <c r="E80" s="705"/>
      <c r="F80" s="678">
        <v>21.5</v>
      </c>
      <c r="G80" s="421">
        <v>21.5</v>
      </c>
      <c r="H80" s="421">
        <v>21.5</v>
      </c>
    </row>
    <row r="81" spans="2:8" x14ac:dyDescent="0.3">
      <c r="B81" s="489" t="s">
        <v>301</v>
      </c>
      <c r="C81" s="510"/>
      <c r="D81" s="436" t="s">
        <v>276</v>
      </c>
      <c r="E81" s="708"/>
      <c r="F81" s="683">
        <v>1</v>
      </c>
      <c r="G81" s="490">
        <v>1</v>
      </c>
      <c r="H81" s="490">
        <v>1</v>
      </c>
    </row>
    <row r="82" spans="2:8" ht="15.5" x14ac:dyDescent="0.4">
      <c r="B82" s="489" t="s">
        <v>302</v>
      </c>
      <c r="C82" s="510"/>
      <c r="D82" s="436" t="s">
        <v>303</v>
      </c>
      <c r="E82" s="705"/>
      <c r="F82" s="678">
        <v>3.6666666666666665</v>
      </c>
      <c r="G82" s="421">
        <v>3.6666666666666665</v>
      </c>
      <c r="H82" s="421">
        <v>3.6666666666666665</v>
      </c>
    </row>
    <row r="83" spans="2:8" ht="15" x14ac:dyDescent="0.4">
      <c r="B83" s="491" t="s">
        <v>313</v>
      </c>
      <c r="C83" s="510" t="s">
        <v>305</v>
      </c>
      <c r="D83" s="493" t="s">
        <v>306</v>
      </c>
      <c r="E83" s="709"/>
      <c r="F83" s="684">
        <f>F80*F81*F82</f>
        <v>78.833333333333329</v>
      </c>
      <c r="G83" s="494">
        <f>G80*G81*G82</f>
        <v>78.833333333333329</v>
      </c>
      <c r="H83" s="494">
        <f>H80*H81*H82</f>
        <v>78.833333333333329</v>
      </c>
    </row>
    <row r="84" spans="2:8" x14ac:dyDescent="0.3">
      <c r="B84" s="495"/>
      <c r="C84" s="511"/>
      <c r="D84" s="493"/>
      <c r="E84" s="710"/>
      <c r="F84" s="685"/>
      <c r="G84" s="497"/>
      <c r="H84" s="497"/>
    </row>
    <row r="85" spans="2:8" x14ac:dyDescent="0.3">
      <c r="B85" s="495" t="s">
        <v>314</v>
      </c>
      <c r="C85" s="511"/>
      <c r="D85" s="493" t="s">
        <v>308</v>
      </c>
      <c r="E85" s="707"/>
      <c r="F85" s="687">
        <f>0.98</f>
        <v>0.98</v>
      </c>
      <c r="G85" s="512">
        <f t="shared" ref="G85:H85" si="6">F85</f>
        <v>0.98</v>
      </c>
      <c r="H85" s="512">
        <f t="shared" si="6"/>
        <v>0.98</v>
      </c>
    </row>
    <row r="86" spans="2:8" ht="15" x14ac:dyDescent="0.4">
      <c r="B86" s="499" t="s">
        <v>315</v>
      </c>
      <c r="C86" s="500"/>
      <c r="D86" s="501" t="s">
        <v>661</v>
      </c>
      <c r="E86" s="711"/>
      <c r="F86" s="686">
        <f>F79*F83/1000</f>
        <v>3.28735</v>
      </c>
      <c r="G86" s="502">
        <f>G79*G83/1000</f>
        <v>3.28735</v>
      </c>
      <c r="H86" s="502">
        <f>H79*H83/1000</f>
        <v>3.28735</v>
      </c>
    </row>
    <row r="87" spans="2:8" x14ac:dyDescent="0.3">
      <c r="B87" s="503"/>
      <c r="C87" s="504"/>
      <c r="D87" s="503"/>
      <c r="E87" s="505"/>
      <c r="F87" s="505"/>
      <c r="G87" s="505"/>
      <c r="H87" s="505"/>
    </row>
    <row r="88" spans="2:8" x14ac:dyDescent="0.3">
      <c r="B88" s="506" t="s">
        <v>316</v>
      </c>
      <c r="C88" s="504"/>
      <c r="D88" s="503"/>
      <c r="E88" s="505"/>
      <c r="F88" s="505"/>
      <c r="G88" s="505"/>
      <c r="H88" s="505"/>
    </row>
    <row r="89" spans="2:8" ht="15" x14ac:dyDescent="0.3">
      <c r="B89" s="507" t="s">
        <v>311</v>
      </c>
      <c r="C89" s="508" t="s">
        <v>317</v>
      </c>
      <c r="D89" s="487" t="s">
        <v>298</v>
      </c>
      <c r="E89" s="707"/>
      <c r="F89" s="509">
        <v>52.2</v>
      </c>
      <c r="G89" s="509">
        <f>F89</f>
        <v>52.2</v>
      </c>
      <c r="H89" s="509">
        <f>G89</f>
        <v>52.2</v>
      </c>
    </row>
    <row r="90" spans="2:8" x14ac:dyDescent="0.3">
      <c r="B90" s="489" t="s">
        <v>299</v>
      </c>
      <c r="C90" s="510"/>
      <c r="D90" s="436" t="s">
        <v>300</v>
      </c>
      <c r="E90" s="705"/>
      <c r="F90" s="678">
        <v>17.899999999999999</v>
      </c>
      <c r="G90" s="421">
        <v>17.899999999999999</v>
      </c>
      <c r="H90" s="421">
        <v>17.899999999999999</v>
      </c>
    </row>
    <row r="91" spans="2:8" x14ac:dyDescent="0.3">
      <c r="B91" s="489" t="s">
        <v>301</v>
      </c>
      <c r="C91" s="510"/>
      <c r="D91" s="436" t="s">
        <v>276</v>
      </c>
      <c r="E91" s="708"/>
      <c r="F91" s="683">
        <v>1</v>
      </c>
      <c r="G91" s="490">
        <v>1</v>
      </c>
      <c r="H91" s="490">
        <v>1</v>
      </c>
    </row>
    <row r="92" spans="2:8" ht="15.5" x14ac:dyDescent="0.4">
      <c r="B92" s="489" t="s">
        <v>302</v>
      </c>
      <c r="C92" s="510"/>
      <c r="D92" s="436" t="s">
        <v>303</v>
      </c>
      <c r="E92" s="705"/>
      <c r="F92" s="678">
        <v>3.6666666666666665</v>
      </c>
      <c r="G92" s="421">
        <v>3.6666666666666665</v>
      </c>
      <c r="H92" s="421">
        <v>3.6666666666666665</v>
      </c>
    </row>
    <row r="93" spans="2:8" ht="15" x14ac:dyDescent="0.4">
      <c r="B93" s="491" t="s">
        <v>318</v>
      </c>
      <c r="C93" s="510" t="s">
        <v>319</v>
      </c>
      <c r="D93" s="493" t="s">
        <v>306</v>
      </c>
      <c r="E93" s="709"/>
      <c r="F93" s="684">
        <f>F90*F91*F92</f>
        <v>65.633333333333326</v>
      </c>
      <c r="G93" s="494">
        <f>G90*G91*G92</f>
        <v>65.633333333333326</v>
      </c>
      <c r="H93" s="494">
        <f>H90*H91*H92</f>
        <v>65.633333333333326</v>
      </c>
    </row>
    <row r="94" spans="2:8" x14ac:dyDescent="0.3">
      <c r="B94" s="495"/>
      <c r="C94" s="511"/>
      <c r="D94" s="493"/>
      <c r="E94" s="710"/>
      <c r="F94" s="685"/>
      <c r="G94" s="497"/>
      <c r="H94" s="497"/>
    </row>
    <row r="95" spans="2:8" ht="15.5" x14ac:dyDescent="0.3">
      <c r="B95" s="495" t="s">
        <v>320</v>
      </c>
      <c r="C95" s="511"/>
      <c r="D95" s="493" t="s">
        <v>321</v>
      </c>
      <c r="E95" s="707"/>
      <c r="F95" s="687">
        <f>0.55</f>
        <v>0.55000000000000004</v>
      </c>
      <c r="G95" s="512">
        <f t="shared" ref="G95:H95" si="7">F95</f>
        <v>0.55000000000000004</v>
      </c>
      <c r="H95" s="512">
        <f t="shared" si="7"/>
        <v>0.55000000000000004</v>
      </c>
    </row>
    <row r="96" spans="2:8" ht="15" x14ac:dyDescent="0.4">
      <c r="B96" s="410" t="s">
        <v>315</v>
      </c>
      <c r="C96" s="513"/>
      <c r="D96" s="521" t="s">
        <v>662</v>
      </c>
      <c r="E96" s="712"/>
      <c r="F96" s="688">
        <f>F89*F93/1000</f>
        <v>3.4260600000000001</v>
      </c>
      <c r="G96" s="515">
        <f t="shared" ref="G96:H96" si="8">G89*G93/1000</f>
        <v>3.4260600000000001</v>
      </c>
      <c r="H96" s="515">
        <f t="shared" si="8"/>
        <v>3.4260600000000001</v>
      </c>
    </row>
    <row r="97" spans="2:9" x14ac:dyDescent="0.3">
      <c r="B97" s="516" t="s">
        <v>290</v>
      </c>
      <c r="C97" s="405"/>
    </row>
    <row r="98" spans="2:9" x14ac:dyDescent="0.3">
      <c r="B98" s="517" t="s">
        <v>322</v>
      </c>
    </row>
    <row r="99" spans="2:9" x14ac:dyDescent="0.3">
      <c r="B99" s="517" t="s">
        <v>323</v>
      </c>
    </row>
    <row r="100" spans="2:9" x14ac:dyDescent="0.3">
      <c r="B100" s="517" t="s">
        <v>324</v>
      </c>
    </row>
    <row r="101" spans="2:9" x14ac:dyDescent="0.3">
      <c r="B101" s="517" t="s">
        <v>325</v>
      </c>
    </row>
    <row r="103" spans="2:9" ht="14" x14ac:dyDescent="0.3">
      <c r="B103" s="412" t="s">
        <v>326</v>
      </c>
      <c r="C103" s="405"/>
      <c r="E103" s="518"/>
      <c r="F103" s="518"/>
      <c r="G103" s="518"/>
      <c r="H103" s="518"/>
    </row>
    <row r="104" spans="2:9" x14ac:dyDescent="0.3">
      <c r="B104" s="484"/>
    </row>
    <row r="105" spans="2:9" x14ac:dyDescent="0.3">
      <c r="B105" s="484"/>
    </row>
    <row r="106" spans="2:9" x14ac:dyDescent="0.3">
      <c r="B106" s="8" t="s">
        <v>327</v>
      </c>
      <c r="C106" s="405"/>
      <c r="F106" s="719"/>
      <c r="G106" s="719"/>
      <c r="H106" s="719"/>
    </row>
    <row r="107" spans="2:9" x14ac:dyDescent="0.3">
      <c r="B107" s="410"/>
      <c r="C107" s="513"/>
      <c r="D107" s="555"/>
      <c r="E107" s="700"/>
      <c r="F107" s="587">
        <v>2023</v>
      </c>
      <c r="G107" s="414">
        <v>2022</v>
      </c>
      <c r="H107" s="414">
        <v>2021</v>
      </c>
    </row>
    <row r="108" spans="2:9" ht="15" x14ac:dyDescent="0.3">
      <c r="B108" s="465" t="s">
        <v>328</v>
      </c>
      <c r="C108" s="519" t="s">
        <v>329</v>
      </c>
      <c r="D108" s="436" t="s">
        <v>330</v>
      </c>
      <c r="F108" s="418">
        <f>'2023 Data'!Q12+'2023 Data'!Q13-'2023 Data'!Q14</f>
        <v>184735.2824015182</v>
      </c>
      <c r="G108" s="251">
        <f>'2022 Data'!Q12+'2022 Data'!Q13-'2022 Data'!Q14</f>
        <v>205079.81639923638</v>
      </c>
      <c r="H108" s="251">
        <f>'2021 Data '!Q12+'2021 Data '!Q13-'2021 Data '!Q14</f>
        <v>242359.16372295262</v>
      </c>
    </row>
    <row r="109" spans="2:9" ht="15" x14ac:dyDescent="0.3">
      <c r="B109" s="465" t="s">
        <v>331</v>
      </c>
      <c r="C109" s="519" t="s">
        <v>332</v>
      </c>
      <c r="D109" s="436" t="s">
        <v>330</v>
      </c>
      <c r="E109" s="705"/>
      <c r="F109" s="678">
        <v>0</v>
      </c>
      <c r="G109" s="421">
        <v>0</v>
      </c>
      <c r="H109" s="421">
        <v>0</v>
      </c>
      <c r="I109" s="171" t="s">
        <v>663</v>
      </c>
    </row>
    <row r="110" spans="2:9" x14ac:dyDescent="0.3">
      <c r="B110" s="465"/>
      <c r="C110" s="417"/>
      <c r="D110" s="436"/>
      <c r="E110" s="709"/>
      <c r="F110" s="684"/>
      <c r="G110" s="494"/>
      <c r="H110" s="494"/>
    </row>
    <row r="111" spans="2:9" ht="15" x14ac:dyDescent="0.3">
      <c r="B111" s="439" t="s">
        <v>13</v>
      </c>
      <c r="C111" s="520" t="s">
        <v>333</v>
      </c>
      <c r="D111" s="521" t="s">
        <v>334</v>
      </c>
      <c r="E111" s="713"/>
      <c r="F111" s="689">
        <f>MAX(0,(F108-F109))</f>
        <v>184735.2824015182</v>
      </c>
      <c r="G111" s="522">
        <f>MAX(0,(G108-G109))</f>
        <v>205079.81639923638</v>
      </c>
      <c r="H111" s="522">
        <f>MAX(0,(H108-H109))</f>
        <v>242359.16372295262</v>
      </c>
    </row>
    <row r="112" spans="2:9" x14ac:dyDescent="0.3">
      <c r="B112" s="484"/>
    </row>
    <row r="113" spans="1:8" ht="15" x14ac:dyDescent="0.4">
      <c r="B113" s="523" t="s">
        <v>183</v>
      </c>
      <c r="C113" s="524" t="s">
        <v>335</v>
      </c>
      <c r="D113" s="663" t="s">
        <v>336</v>
      </c>
      <c r="E113" s="518"/>
      <c r="F113" s="690">
        <f>F111*F20</f>
        <v>66012.835302225925</v>
      </c>
      <c r="G113" s="514">
        <f>G111*G20</f>
        <v>86196.756184615646</v>
      </c>
      <c r="H113" s="514">
        <f>H111*H20</f>
        <v>117279.65707710793</v>
      </c>
    </row>
    <row r="114" spans="1:8" x14ac:dyDescent="0.3">
      <c r="A114" s="525"/>
      <c r="B114" s="525"/>
      <c r="C114" s="526"/>
      <c r="D114" s="525"/>
    </row>
    <row r="116" spans="1:8" x14ac:dyDescent="0.3">
      <c r="B116" s="8" t="s">
        <v>337</v>
      </c>
      <c r="C116" s="405"/>
    </row>
    <row r="117" spans="1:8" x14ac:dyDescent="0.3">
      <c r="B117" s="439" t="s">
        <v>338</v>
      </c>
      <c r="C117" s="527"/>
      <c r="D117" s="555"/>
      <c r="E117" s="700"/>
      <c r="F117" s="587"/>
      <c r="G117" s="414"/>
      <c r="H117" s="414"/>
    </row>
    <row r="118" spans="1:8" ht="15" x14ac:dyDescent="0.4">
      <c r="B118" s="245" t="s">
        <v>339</v>
      </c>
      <c r="C118" s="528" t="s">
        <v>340</v>
      </c>
      <c r="D118" s="436" t="s">
        <v>341</v>
      </c>
      <c r="E118" s="701"/>
      <c r="F118" s="691">
        <v>3352.9</v>
      </c>
      <c r="G118" s="529">
        <v>3352.9</v>
      </c>
      <c r="H118" s="529">
        <v>3352.9</v>
      </c>
    </row>
    <row r="119" spans="1:8" x14ac:dyDescent="0.3">
      <c r="B119" s="246" t="s">
        <v>342</v>
      </c>
      <c r="C119" s="528"/>
      <c r="D119" s="436" t="s">
        <v>341</v>
      </c>
      <c r="E119" s="701"/>
      <c r="F119" s="691">
        <v>1160</v>
      </c>
      <c r="G119" s="529">
        <v>1160</v>
      </c>
      <c r="H119" s="529">
        <v>1160</v>
      </c>
    </row>
    <row r="120" spans="1:8" x14ac:dyDescent="0.3">
      <c r="B120" s="530" t="s">
        <v>569</v>
      </c>
      <c r="C120" s="531"/>
      <c r="D120" s="521" t="s">
        <v>343</v>
      </c>
      <c r="E120" s="518"/>
      <c r="F120" s="690">
        <f>((F118-F119)*1000)*'2023 Data'!Q25/1000000</f>
        <v>2451086.9824856562</v>
      </c>
      <c r="G120" s="514">
        <f>((G118-G119)*1000)*'2022 Data'!Q25/1000000</f>
        <v>2637821.5482876981</v>
      </c>
      <c r="H120" s="514">
        <f>((H118-H119)*1000)*'2021 Data '!Q25/1000000</f>
        <v>3070505.4317218806</v>
      </c>
    </row>
    <row r="121" spans="1:8" x14ac:dyDescent="0.3">
      <c r="B121" s="439" t="s">
        <v>344</v>
      </c>
      <c r="C121" s="513"/>
      <c r="D121" s="555"/>
      <c r="E121" s="518"/>
      <c r="F121" s="690"/>
      <c r="G121" s="514"/>
      <c r="H121" s="514"/>
    </row>
    <row r="122" spans="1:8" ht="15" x14ac:dyDescent="0.4">
      <c r="B122" s="245" t="s">
        <v>345</v>
      </c>
      <c r="C122" s="532" t="s">
        <v>346</v>
      </c>
      <c r="D122" s="436" t="s">
        <v>341</v>
      </c>
      <c r="E122" s="701"/>
      <c r="F122" s="691">
        <v>2758.8599504604299</v>
      </c>
      <c r="G122" s="529">
        <v>2758.8599504604299</v>
      </c>
      <c r="H122" s="529">
        <v>2758.8599504604299</v>
      </c>
    </row>
    <row r="123" spans="1:8" x14ac:dyDescent="0.3">
      <c r="B123" s="246" t="s">
        <v>342</v>
      </c>
      <c r="C123" s="532"/>
      <c r="D123" s="436" t="s">
        <v>341</v>
      </c>
      <c r="E123" s="701"/>
      <c r="F123" s="691">
        <v>1160</v>
      </c>
      <c r="G123" s="529">
        <v>1160</v>
      </c>
      <c r="H123" s="529">
        <v>1160</v>
      </c>
    </row>
    <row r="124" spans="1:8" x14ac:dyDescent="0.3">
      <c r="B124" s="410" t="s">
        <v>347</v>
      </c>
      <c r="C124" s="513"/>
      <c r="D124" s="664" t="s">
        <v>343</v>
      </c>
      <c r="E124" s="518"/>
      <c r="F124" s="690">
        <f>((F122-F123)*1000)*'2023 Data'!Q26/1000000</f>
        <v>192795.99648523686</v>
      </c>
      <c r="G124" s="514">
        <f>((G122-G123)*1000)*'2022 Data'!Q26/1000000</f>
        <v>300033.09864610457</v>
      </c>
      <c r="H124" s="514">
        <f>((H122-H123)*1000)*'2021 Data '!Q26/1000000</f>
        <v>304591.94022666541</v>
      </c>
    </row>
    <row r="125" spans="1:8" x14ac:dyDescent="0.3">
      <c r="B125" s="245" t="s">
        <v>348</v>
      </c>
      <c r="C125" s="532"/>
      <c r="D125" s="436"/>
      <c r="E125" s="518"/>
      <c r="F125" s="692"/>
      <c r="G125" s="534"/>
      <c r="H125" s="534"/>
    </row>
    <row r="126" spans="1:8" ht="15" x14ac:dyDescent="0.4">
      <c r="B126" s="245" t="s">
        <v>345</v>
      </c>
      <c r="C126" s="532" t="s">
        <v>349</v>
      </c>
      <c r="D126" s="436" t="s">
        <v>341</v>
      </c>
      <c r="E126" s="701"/>
      <c r="F126" s="691">
        <v>2747.5323153154004</v>
      </c>
      <c r="G126" s="529">
        <v>2747.5323153154004</v>
      </c>
      <c r="H126" s="529">
        <v>2747.5323153154004</v>
      </c>
    </row>
    <row r="127" spans="1:8" x14ac:dyDescent="0.3">
      <c r="B127" s="246" t="s">
        <v>342</v>
      </c>
      <c r="C127" s="532"/>
      <c r="D127" s="436" t="s">
        <v>341</v>
      </c>
      <c r="E127" s="701"/>
      <c r="F127" s="691">
        <v>1160</v>
      </c>
      <c r="G127" s="529">
        <v>1160</v>
      </c>
      <c r="H127" s="529">
        <v>1160</v>
      </c>
    </row>
    <row r="128" spans="1:8" x14ac:dyDescent="0.3">
      <c r="B128" s="410" t="s">
        <v>350</v>
      </c>
      <c r="C128" s="513"/>
      <c r="D128" s="664" t="s">
        <v>343</v>
      </c>
      <c r="E128" s="518"/>
      <c r="F128" s="690">
        <f>((F126-F127)*1000)*'2023 Data'!Q27/1000000</f>
        <v>171353.79335185335</v>
      </c>
      <c r="G128" s="514">
        <f>((G126-G127)*1000)*'2022 Data'!Q27/1000000</f>
        <v>165892.65985982961</v>
      </c>
      <c r="H128" s="514">
        <f>((H126-H127)*1000)*'2021 Data '!Q27/1000000</f>
        <v>159263.67362180672</v>
      </c>
    </row>
    <row r="129" spans="2:9" ht="15" x14ac:dyDescent="0.4">
      <c r="B129" s="410" t="s">
        <v>351</v>
      </c>
      <c r="C129" s="513" t="s">
        <v>352</v>
      </c>
      <c r="D129" s="521" t="s">
        <v>353</v>
      </c>
      <c r="E129" s="518"/>
      <c r="F129" s="690">
        <f>F124+F128</f>
        <v>364149.78983709018</v>
      </c>
      <c r="G129" s="514">
        <f t="shared" ref="G129:H129" si="9">G124+G128</f>
        <v>465925.75850593415</v>
      </c>
      <c r="H129" s="514">
        <f t="shared" si="9"/>
        <v>463855.61384847213</v>
      </c>
    </row>
    <row r="130" spans="2:9" x14ac:dyDescent="0.3">
      <c r="D130" s="535"/>
      <c r="E130" s="714"/>
      <c r="F130" s="540"/>
      <c r="G130" s="540"/>
      <c r="H130" s="540"/>
    </row>
    <row r="131" spans="2:9" x14ac:dyDescent="0.3">
      <c r="B131" s="8" t="s">
        <v>354</v>
      </c>
      <c r="D131" s="535"/>
      <c r="E131" s="715"/>
      <c r="F131" s="607"/>
      <c r="G131" s="607"/>
      <c r="H131" s="607"/>
    </row>
    <row r="132" spans="2:9" x14ac:dyDescent="0.3">
      <c r="B132" s="536"/>
      <c r="D132" s="535"/>
      <c r="E132" s="700"/>
      <c r="F132" s="587">
        <v>2023</v>
      </c>
      <c r="G132" s="414">
        <v>2022</v>
      </c>
      <c r="H132" s="414">
        <v>2021</v>
      </c>
    </row>
    <row r="133" spans="2:9" ht="15" x14ac:dyDescent="0.4">
      <c r="B133" s="537" t="s">
        <v>15</v>
      </c>
      <c r="C133" s="538" t="s">
        <v>355</v>
      </c>
      <c r="D133" s="665" t="s">
        <v>98</v>
      </c>
      <c r="E133" s="714"/>
      <c r="F133" s="774" cm="1">
        <f t="array" ref="F133">SUMPRODUCT('2023 Data'!E33:P33,(1-'2023 Data'!E51:P51))</f>
        <v>95128.968750212385</v>
      </c>
      <c r="G133" s="774" cm="1">
        <f t="array" ref="G133">SUMPRODUCT('2022 Data'!E33:P33,(1-'2022 Data'!E47:P47))</f>
        <v>99740.033614849162</v>
      </c>
      <c r="H133" s="727">
        <f>SUMPRODUCT('2021 Data '!E33:P33,(1-'2021 Data '!E44:P44))</f>
        <v>109472.84428564055</v>
      </c>
      <c r="I133" s="171" t="s">
        <v>666</v>
      </c>
    </row>
    <row r="134" spans="2:9" ht="15" x14ac:dyDescent="0.4">
      <c r="B134" s="541" t="s">
        <v>356</v>
      </c>
      <c r="C134" s="542" t="s">
        <v>357</v>
      </c>
      <c r="D134" s="666" t="s">
        <v>261</v>
      </c>
      <c r="E134" s="703"/>
      <c r="F134" s="674">
        <f>AVERAGE('2023 Data'!E62:F62)</f>
        <v>18.388258899999997</v>
      </c>
      <c r="G134" s="447">
        <f>AVERAGE('2022 Data'!E58:F58)</f>
        <v>17.916629499999999</v>
      </c>
      <c r="H134" s="447">
        <f>AVERAGE('2021 Data '!E54:F54)</f>
        <v>18.876190300000001</v>
      </c>
    </row>
    <row r="135" spans="2:9" ht="15" x14ac:dyDescent="0.4">
      <c r="B135" s="537" t="s">
        <v>358</v>
      </c>
      <c r="C135" s="538" t="s">
        <v>112</v>
      </c>
      <c r="D135" s="665" t="s">
        <v>98</v>
      </c>
      <c r="E135" s="714"/>
      <c r="F135" s="774" cm="1">
        <f t="array" ref="F135">SUMPRODUCT('2023 Data'!E36:P36,(1-'2023 Data'!E53:P53))</f>
        <v>112335.04234870283</v>
      </c>
      <c r="G135" s="774" cm="1">
        <f t="array" ref="G135">SUMPRODUCT('2022 Data'!E36:P36,(1-'2022 Data'!E49:P49))</f>
        <v>109306.757548165</v>
      </c>
      <c r="H135" s="727">
        <f>SUMPRODUCT('2021 Data '!E36:P36,(1-'2021 Data '!E45:P45))</f>
        <v>144882.98025371082</v>
      </c>
      <c r="I135" s="171" t="s">
        <v>666</v>
      </c>
    </row>
    <row r="136" spans="2:9" ht="15" x14ac:dyDescent="0.4">
      <c r="B136" s="541" t="s">
        <v>359</v>
      </c>
      <c r="C136" s="542" t="s">
        <v>360</v>
      </c>
      <c r="D136" s="666" t="s">
        <v>261</v>
      </c>
      <c r="E136" s="703"/>
      <c r="F136" s="674">
        <f>AVERAGE('2023 Data'!E64:F64)</f>
        <v>16.788301199999999</v>
      </c>
      <c r="G136" s="447">
        <f>AVERAGE('2022 Data'!E60:F60)</f>
        <v>18.066816899999999</v>
      </c>
      <c r="H136" s="447">
        <f>AVERAGE('2021 Data '!E56:F56)</f>
        <v>18.791712499999996</v>
      </c>
    </row>
    <row r="137" spans="2:9" ht="15" x14ac:dyDescent="0.4">
      <c r="B137" s="465" t="s">
        <v>361</v>
      </c>
      <c r="C137" s="538" t="s">
        <v>114</v>
      </c>
      <c r="D137" s="665" t="s">
        <v>98</v>
      </c>
      <c r="E137" s="714"/>
      <c r="F137" s="539">
        <f>SUMPRODUCT('2023 Data'!E37:P37,'2023 Data'!E54:P54)</f>
        <v>0</v>
      </c>
      <c r="G137" s="539">
        <f>SUMPRODUCT('2022 Data'!E37:P37,'2022 Data'!E50:P50)</f>
        <v>0</v>
      </c>
      <c r="H137" s="539">
        <f>SUMPRODUCT('2023 Data'!G37:R37,'2023 Data'!G54:R54)</f>
        <v>0</v>
      </c>
    </row>
    <row r="138" spans="2:9" ht="15" x14ac:dyDescent="0.4">
      <c r="B138" s="541" t="s">
        <v>359</v>
      </c>
      <c r="C138" s="542" t="s">
        <v>362</v>
      </c>
      <c r="D138" s="666" t="s">
        <v>261</v>
      </c>
      <c r="E138" s="703"/>
      <c r="F138" s="693">
        <v>0</v>
      </c>
      <c r="G138" s="543">
        <v>0</v>
      </c>
      <c r="H138" s="543">
        <f>SUMPRODUCT('2021 Data '!E37:P37,'2021 Data '!E46:P46)</f>
        <v>0</v>
      </c>
    </row>
    <row r="139" spans="2:9" ht="15" x14ac:dyDescent="0.4">
      <c r="B139" s="541" t="s">
        <v>105</v>
      </c>
      <c r="C139" s="513" t="s">
        <v>363</v>
      </c>
      <c r="D139" s="544"/>
      <c r="E139" s="716"/>
      <c r="F139" s="694">
        <v>0.85</v>
      </c>
      <c r="G139" s="545">
        <v>0.85</v>
      </c>
      <c r="H139" s="545">
        <v>0.85</v>
      </c>
    </row>
    <row r="140" spans="2:9" x14ac:dyDescent="0.3">
      <c r="B140" s="523" t="s">
        <v>364</v>
      </c>
      <c r="C140" s="546"/>
      <c r="D140" s="547" t="s">
        <v>365</v>
      </c>
      <c r="E140" s="717"/>
      <c r="F140" s="728">
        <f>F133+F135</f>
        <v>207464.01109891522</v>
      </c>
      <c r="G140" s="729">
        <f>G133+G135</f>
        <v>209046.79116301416</v>
      </c>
      <c r="H140" s="729">
        <f>H133+H135</f>
        <v>254355.82453935136</v>
      </c>
    </row>
    <row r="141" spans="2:9" x14ac:dyDescent="0.3">
      <c r="B141" s="523"/>
      <c r="C141" s="546"/>
      <c r="D141" s="547"/>
      <c r="E141" s="717"/>
      <c r="F141" s="695"/>
      <c r="G141" s="548"/>
      <c r="H141" s="548"/>
    </row>
    <row r="142" spans="2:9" x14ac:dyDescent="0.3">
      <c r="B142" s="523" t="s">
        <v>366</v>
      </c>
      <c r="C142" s="546"/>
      <c r="D142" s="547" t="s">
        <v>91</v>
      </c>
      <c r="E142" s="717"/>
      <c r="F142" s="695">
        <f>(F133*F134+F135*F136+F137*F138)*F139</f>
        <v>3089895.037653639</v>
      </c>
      <c r="G142" s="548">
        <f>(G133*G134+G135*G136+G137*G138)*G139</f>
        <v>3197555.8426776594</v>
      </c>
      <c r="H142" s="548">
        <f>(H133*H134+H135*H136+H137*H138)*H139</f>
        <v>4070675.1196155893</v>
      </c>
    </row>
    <row r="143" spans="2:9" x14ac:dyDescent="0.3">
      <c r="C143" s="608" t="s">
        <v>554</v>
      </c>
      <c r="D143" s="665" t="s">
        <v>553</v>
      </c>
      <c r="E143" s="714"/>
      <c r="F143" s="768">
        <f>F16</f>
        <v>8337.09</v>
      </c>
      <c r="G143" s="769">
        <f>G16</f>
        <v>8430.25</v>
      </c>
      <c r="H143" s="769">
        <f>H16</f>
        <v>8489.58</v>
      </c>
    </row>
    <row r="144" spans="2:9" x14ac:dyDescent="0.3">
      <c r="C144" s="532" t="s">
        <v>555</v>
      </c>
      <c r="D144" s="436" t="s">
        <v>558</v>
      </c>
      <c r="F144" s="418">
        <v>210</v>
      </c>
      <c r="G144" s="251">
        <v>210</v>
      </c>
      <c r="H144" s="251">
        <v>210</v>
      </c>
    </row>
    <row r="145" spans="2:9" x14ac:dyDescent="0.3">
      <c r="C145" s="532" t="s">
        <v>557</v>
      </c>
      <c r="D145" s="436" t="s">
        <v>107</v>
      </c>
      <c r="E145" s="718"/>
      <c r="F145" s="696">
        <v>0.9</v>
      </c>
      <c r="G145" s="609">
        <v>0.9</v>
      </c>
      <c r="H145" s="609">
        <v>0.9</v>
      </c>
    </row>
    <row r="146" spans="2:9" x14ac:dyDescent="0.3">
      <c r="C146" s="532" t="s">
        <v>559</v>
      </c>
      <c r="D146" s="436" t="s">
        <v>556</v>
      </c>
      <c r="F146" s="697">
        <f t="shared" ref="F146:G146" si="10">F143*F144*F145</f>
        <v>1575710.0100000002</v>
      </c>
      <c r="G146" s="652">
        <f t="shared" si="10"/>
        <v>1593317.25</v>
      </c>
      <c r="H146" s="653">
        <f>H143*H144*H145</f>
        <v>1604530.62</v>
      </c>
    </row>
    <row r="147" spans="2:9" x14ac:dyDescent="0.3">
      <c r="B147" s="8" t="s">
        <v>88</v>
      </c>
      <c r="E147" s="719"/>
      <c r="F147" s="418" t="str">
        <f>IF(F150&lt;F146,"ok","error")</f>
        <v>ok</v>
      </c>
      <c r="G147" s="251" t="str">
        <f t="shared" ref="G147:H147" si="11">IF(G150&lt;G146,"ok","error")</f>
        <v>ok</v>
      </c>
      <c r="H147" s="251" t="str">
        <f t="shared" si="11"/>
        <v>ok</v>
      </c>
    </row>
    <row r="148" spans="2:9" x14ac:dyDescent="0.3">
      <c r="B148" s="8"/>
      <c r="E148" s="719"/>
      <c r="F148" s="557"/>
      <c r="G148" s="253"/>
      <c r="H148" s="253"/>
    </row>
    <row r="149" spans="2:9" x14ac:dyDescent="0.3">
      <c r="B149" s="8"/>
      <c r="E149" s="700"/>
      <c r="F149" s="587">
        <v>2023</v>
      </c>
      <c r="G149" s="414">
        <v>2022</v>
      </c>
      <c r="H149" s="414">
        <v>2021</v>
      </c>
    </row>
    <row r="150" spans="2:9" ht="28.4" customHeight="1" x14ac:dyDescent="0.4">
      <c r="B150" s="549" t="s">
        <v>367</v>
      </c>
      <c r="C150" s="513" t="s">
        <v>368</v>
      </c>
      <c r="D150" s="521" t="s">
        <v>91</v>
      </c>
      <c r="E150" s="518"/>
      <c r="F150" s="690">
        <f>F129</f>
        <v>364149.78983709018</v>
      </c>
      <c r="G150" s="514">
        <f>G129</f>
        <v>465925.75850593415</v>
      </c>
      <c r="H150" s="514">
        <f>H129</f>
        <v>463855.61384847213</v>
      </c>
    </row>
    <row r="151" spans="2:9" x14ac:dyDescent="0.3">
      <c r="B151" s="550" t="s">
        <v>369</v>
      </c>
      <c r="C151" s="513"/>
      <c r="D151" s="521"/>
      <c r="E151" s="518"/>
      <c r="F151" s="690"/>
      <c r="G151" s="514"/>
      <c r="H151" s="514"/>
    </row>
    <row r="152" spans="2:9" ht="15" x14ac:dyDescent="0.4">
      <c r="B152" s="244" t="s">
        <v>15</v>
      </c>
      <c r="C152" s="551" t="s">
        <v>97</v>
      </c>
      <c r="D152" s="656" t="s">
        <v>91</v>
      </c>
      <c r="F152" s="249">
        <f>IF((F133*F134*$F$139)&lt;F150,F133*F134*$F$139,F150)</f>
        <v>364149.78983709018</v>
      </c>
      <c r="G152" s="556">
        <f>IF((G133*G134*$F$139)&lt;G150,G133*G134*$F$139,G150)</f>
        <v>465925.75850593415</v>
      </c>
      <c r="H152" s="556">
        <f>IF((H133*H134*$F$139)&lt;H150,H133*H134*$F$139,H150)</f>
        <v>463855.61384847213</v>
      </c>
    </row>
    <row r="153" spans="2:9" ht="15" x14ac:dyDescent="0.4">
      <c r="B153" s="245" t="s">
        <v>358</v>
      </c>
      <c r="C153" s="532" t="s">
        <v>370</v>
      </c>
      <c r="D153" s="436" t="s">
        <v>91</v>
      </c>
      <c r="F153" s="251">
        <f>IF((F150-F152)&lt;F135*F136*F139,(F150-F152),F135*F136*F139)</f>
        <v>0</v>
      </c>
      <c r="G153" s="251">
        <f>IF((G150-G152)&lt;G135*G136*G139,(G150-G152),G135*G136*G139)</f>
        <v>0</v>
      </c>
      <c r="H153" s="251">
        <f>IF((H150-H152)&lt;H135*H136*H139,(H150-H152),H135*H136*H139)</f>
        <v>0</v>
      </c>
    </row>
    <row r="154" spans="2:9" ht="15" x14ac:dyDescent="0.4">
      <c r="B154" s="246" t="s">
        <v>361</v>
      </c>
      <c r="C154" s="552" t="s">
        <v>102</v>
      </c>
      <c r="D154" s="657" t="s">
        <v>91</v>
      </c>
      <c r="F154" s="253">
        <f>IF((F150-F152-F153)&lt;F137*F138*F139,(F150-F152-F153),F137*F138*F139)</f>
        <v>0</v>
      </c>
      <c r="G154" s="253">
        <f t="shared" ref="G154:H154" si="12">IF((G150-G152-G153)&lt;G137*G138*G139,(G150-G152-G153),G137*G138*G139)</f>
        <v>0</v>
      </c>
      <c r="H154" s="253">
        <f t="shared" si="12"/>
        <v>0</v>
      </c>
    </row>
    <row r="155" spans="2:9" ht="15.5" x14ac:dyDescent="0.4">
      <c r="B155" s="553" t="s">
        <v>19</v>
      </c>
      <c r="C155" s="513"/>
      <c r="D155" s="521" t="s">
        <v>98</v>
      </c>
      <c r="E155" s="518"/>
      <c r="F155" s="730">
        <f>SUM(F156:F158)</f>
        <v>23298.101238687712</v>
      </c>
      <c r="G155" s="730">
        <f>SUM(G156:G158)</f>
        <v>30594.367717625239</v>
      </c>
      <c r="H155" s="730">
        <f>SUM(H156:H158)</f>
        <v>28910.096698937999</v>
      </c>
      <c r="I155" s="731" t="s">
        <v>570</v>
      </c>
    </row>
    <row r="156" spans="2:9" ht="15" x14ac:dyDescent="0.4">
      <c r="B156" s="244" t="s">
        <v>15</v>
      </c>
      <c r="C156" s="551" t="s">
        <v>97</v>
      </c>
      <c r="D156" s="656" t="s">
        <v>98</v>
      </c>
      <c r="F156" s="556">
        <f>F152/(F134*F139)</f>
        <v>23298.101238687712</v>
      </c>
      <c r="G156" s="556">
        <f t="shared" ref="G156:H156" si="13">G152/(G134*G139)</f>
        <v>30594.367717625239</v>
      </c>
      <c r="H156" s="556">
        <f t="shared" si="13"/>
        <v>28910.096698937999</v>
      </c>
    </row>
    <row r="157" spans="2:9" ht="15" x14ac:dyDescent="0.4">
      <c r="B157" s="245" t="s">
        <v>17</v>
      </c>
      <c r="C157" s="532" t="s">
        <v>100</v>
      </c>
      <c r="D157" s="436" t="s">
        <v>98</v>
      </c>
      <c r="F157" s="418">
        <f>F153/(F136*F139)</f>
        <v>0</v>
      </c>
      <c r="G157" s="251">
        <f>G153/(G136*G139)</f>
        <v>0</v>
      </c>
      <c r="H157" s="251">
        <f>H153/(H136*H139)</f>
        <v>0</v>
      </c>
    </row>
    <row r="158" spans="2:9" ht="15" x14ac:dyDescent="0.4">
      <c r="B158" s="246" t="s">
        <v>18</v>
      </c>
      <c r="C158" s="552" t="s">
        <v>102</v>
      </c>
      <c r="D158" s="657" t="s">
        <v>98</v>
      </c>
      <c r="F158" s="557">
        <f>F154</f>
        <v>0</v>
      </c>
      <c r="G158" s="557">
        <f>G154</f>
        <v>0</v>
      </c>
      <c r="H158" s="557">
        <f t="shared" ref="H158" si="14">H154</f>
        <v>0</v>
      </c>
    </row>
    <row r="159" spans="2:9" x14ac:dyDescent="0.3">
      <c r="B159" s="553" t="s">
        <v>371</v>
      </c>
      <c r="C159" s="513"/>
      <c r="D159" s="521" t="s">
        <v>91</v>
      </c>
      <c r="F159" s="698">
        <f>IF(F142-F150&gt;0,F142-F150,0)</f>
        <v>2725745.2478165487</v>
      </c>
      <c r="G159" s="651">
        <f>IF(G142-G150&gt;0,G142-G150,0)</f>
        <v>2731630.0841717254</v>
      </c>
      <c r="H159" s="651">
        <f>IF(H142-H150&gt;0,H142-H150,0)</f>
        <v>3606819.5057671173</v>
      </c>
    </row>
    <row r="160" spans="2:9" x14ac:dyDescent="0.3">
      <c r="B160" s="612"/>
      <c r="C160" s="551"/>
      <c r="D160" s="667"/>
      <c r="F160" s="556"/>
      <c r="G160" s="533"/>
      <c r="H160" s="249"/>
    </row>
    <row r="161" spans="2:241" ht="15" x14ac:dyDescent="0.4">
      <c r="B161" s="244" t="s">
        <v>372</v>
      </c>
      <c r="C161" s="551" t="s">
        <v>110</v>
      </c>
      <c r="D161" s="656" t="s">
        <v>91</v>
      </c>
      <c r="F161" s="249">
        <f>IF((F133-F155)&gt;0,(F133-F155)*F134*F139,0)</f>
        <v>1122717.900491487</v>
      </c>
      <c r="G161" s="249">
        <f t="shared" ref="G161:H161" si="15">IF((G133-G155)&gt;0,(G133-G155)*G134*G139,0)</f>
        <v>1053028.6857996441</v>
      </c>
      <c r="H161" s="249">
        <f t="shared" si="15"/>
        <v>1292610.0913568437</v>
      </c>
    </row>
    <row r="162" spans="2:241" ht="15" x14ac:dyDescent="0.4">
      <c r="B162" s="245" t="s">
        <v>373</v>
      </c>
      <c r="C162" s="532" t="s">
        <v>112</v>
      </c>
      <c r="D162" s="436" t="s">
        <v>91</v>
      </c>
      <c r="F162" s="770">
        <f>(F135-F156)*F139*F136</f>
        <v>1270562.1374893566</v>
      </c>
      <c r="G162" s="770">
        <f>(G135-G156)*G139*G136</f>
        <v>1208769.9846053163</v>
      </c>
      <c r="H162" s="770">
        <f>(H135-H156)*H139*H136</f>
        <v>1852429.7227236782</v>
      </c>
    </row>
    <row r="163" spans="2:241" ht="15" x14ac:dyDescent="0.4">
      <c r="B163" s="246" t="s">
        <v>361</v>
      </c>
      <c r="C163" s="552" t="s">
        <v>114</v>
      </c>
      <c r="D163" s="657" t="s">
        <v>91</v>
      </c>
      <c r="F163" s="253">
        <f>IF((F159-F161-F162)&lt;F137*F138*F139,(F159-F161-F162),F137*F138*F139)</f>
        <v>0</v>
      </c>
      <c r="G163" s="253">
        <f>IF((G159-G161-G162)&lt;G137*G138*G139,(G159-G161-G162),G137*G138*G139)</f>
        <v>0</v>
      </c>
      <c r="H163" s="253">
        <f>IF((H159-H161-H162)&lt;H137*H138*H139,(H159-H161-H162),H137*H138*H139)</f>
        <v>0</v>
      </c>
    </row>
    <row r="164" spans="2:241" x14ac:dyDescent="0.3">
      <c r="B164" s="553" t="s">
        <v>20</v>
      </c>
      <c r="C164" s="513"/>
      <c r="D164" s="521" t="s">
        <v>104</v>
      </c>
      <c r="F164" s="725">
        <f>SUM(F165:F167)</f>
        <v>160867.80862153979</v>
      </c>
      <c r="G164" s="725">
        <f>SUM(G165:G167)</f>
        <v>147858.05572776368</v>
      </c>
      <c r="H164" s="726">
        <f>SUM(H165:H167)</f>
        <v>196535.6311414754</v>
      </c>
      <c r="I164" s="406"/>
      <c r="J164" s="406"/>
      <c r="M164" s="406"/>
      <c r="O164" s="411"/>
      <c r="Q164" s="406"/>
      <c r="S164" s="411"/>
      <c r="U164" s="406"/>
      <c r="W164" s="411"/>
      <c r="Y164" s="406"/>
      <c r="AA164" s="411"/>
      <c r="AC164" s="406"/>
      <c r="AE164" s="411"/>
      <c r="AG164" s="406"/>
      <c r="AI164" s="411"/>
      <c r="AK164" s="406"/>
      <c r="AM164" s="411"/>
      <c r="AO164" s="406"/>
      <c r="AQ164" s="411"/>
      <c r="AS164" s="406"/>
      <c r="AU164" s="411"/>
      <c r="AW164" s="406"/>
      <c r="AY164" s="411"/>
      <c r="BA164" s="406"/>
      <c r="BC164" s="411"/>
      <c r="BE164" s="406"/>
      <c r="BG164" s="411"/>
      <c r="BI164" s="406"/>
      <c r="BK164" s="411"/>
      <c r="BM164" s="406"/>
      <c r="BO164" s="411"/>
      <c r="BQ164" s="406"/>
      <c r="BS164" s="411"/>
      <c r="BU164" s="406"/>
      <c r="BW164" s="411"/>
      <c r="BY164" s="406"/>
      <c r="CA164" s="411"/>
      <c r="CC164" s="406"/>
      <c r="CE164" s="411"/>
      <c r="CG164" s="406"/>
      <c r="CI164" s="411"/>
      <c r="CK164" s="406"/>
      <c r="CM164" s="411"/>
      <c r="CO164" s="406"/>
      <c r="CQ164" s="411"/>
      <c r="CS164" s="406"/>
      <c r="CU164" s="411"/>
      <c r="CW164" s="406"/>
      <c r="CY164" s="411"/>
      <c r="DA164" s="406"/>
      <c r="DC164" s="411"/>
      <c r="DE164" s="406"/>
      <c r="DG164" s="411"/>
      <c r="DI164" s="406"/>
      <c r="DK164" s="411"/>
      <c r="DM164" s="406"/>
      <c r="DO164" s="411"/>
      <c r="DQ164" s="406"/>
      <c r="DS164" s="411"/>
      <c r="DU164" s="406"/>
      <c r="DW164" s="411"/>
      <c r="DY164" s="406"/>
      <c r="EA164" s="411"/>
      <c r="EC164" s="406"/>
      <c r="EE164" s="411"/>
      <c r="EG164" s="406"/>
      <c r="EI164" s="411"/>
      <c r="EK164" s="406"/>
      <c r="EM164" s="411"/>
      <c r="EO164" s="406"/>
      <c r="EQ164" s="411"/>
      <c r="ES164" s="406"/>
      <c r="EU164" s="411"/>
      <c r="EW164" s="406"/>
      <c r="EY164" s="411"/>
      <c r="FA164" s="406"/>
      <c r="FC164" s="411"/>
      <c r="FE164" s="406"/>
      <c r="FG164" s="411"/>
      <c r="FI164" s="406"/>
      <c r="FK164" s="411"/>
      <c r="FM164" s="406"/>
      <c r="FO164" s="411"/>
      <c r="FQ164" s="406"/>
      <c r="FS164" s="411"/>
      <c r="FU164" s="406"/>
      <c r="FW164" s="411"/>
      <c r="FY164" s="406"/>
      <c r="GA164" s="411"/>
      <c r="GC164" s="406"/>
      <c r="GE164" s="411"/>
      <c r="GG164" s="406"/>
      <c r="GI164" s="411"/>
      <c r="GK164" s="406"/>
      <c r="GM164" s="411"/>
      <c r="GO164" s="406"/>
      <c r="GQ164" s="411"/>
      <c r="GS164" s="406"/>
      <c r="GU164" s="411"/>
      <c r="GW164" s="406"/>
      <c r="GY164" s="411"/>
      <c r="HA164" s="406"/>
      <c r="HC164" s="411"/>
      <c r="HE164" s="406"/>
      <c r="HG164" s="411"/>
      <c r="HI164" s="406"/>
      <c r="HK164" s="411"/>
      <c r="HM164" s="406"/>
      <c r="HO164" s="411"/>
      <c r="HQ164" s="406"/>
      <c r="HS164" s="411"/>
      <c r="HU164" s="406"/>
      <c r="HW164" s="411"/>
      <c r="HY164" s="406"/>
      <c r="IA164" s="411"/>
      <c r="IC164" s="406"/>
      <c r="IE164" s="411"/>
      <c r="IG164" s="406"/>
    </row>
    <row r="165" spans="2:241" ht="15" x14ac:dyDescent="0.4">
      <c r="B165" s="244" t="s">
        <v>372</v>
      </c>
      <c r="C165" s="551" t="s">
        <v>110</v>
      </c>
      <c r="D165" s="656" t="s">
        <v>98</v>
      </c>
      <c r="F165" s="249">
        <f>F161/(F134*F139)</f>
        <v>71830.867511524673</v>
      </c>
      <c r="G165" s="249">
        <f t="shared" ref="G165:H165" si="16">G161/(G134*G139)</f>
        <v>69145.665897223924</v>
      </c>
      <c r="H165" s="249">
        <f t="shared" si="16"/>
        <v>80562.747586702564</v>
      </c>
      <c r="I165" s="731"/>
      <c r="M165" s="406"/>
      <c r="O165" s="411"/>
      <c r="Q165" s="406"/>
      <c r="S165" s="411"/>
      <c r="U165" s="406"/>
      <c r="W165" s="411"/>
      <c r="Y165" s="406"/>
      <c r="AA165" s="411"/>
      <c r="AC165" s="406"/>
      <c r="AE165" s="411"/>
      <c r="AG165" s="406"/>
      <c r="AI165" s="411"/>
      <c r="AK165" s="406"/>
      <c r="AM165" s="411"/>
      <c r="AO165" s="406"/>
      <c r="AQ165" s="411"/>
      <c r="AS165" s="406"/>
      <c r="AU165" s="411"/>
      <c r="AW165" s="406"/>
      <c r="AY165" s="411"/>
      <c r="BA165" s="406"/>
      <c r="BC165" s="411"/>
      <c r="BE165" s="406"/>
      <c r="BG165" s="411"/>
      <c r="BI165" s="406"/>
      <c r="BK165" s="411"/>
      <c r="BM165" s="406"/>
      <c r="BO165" s="411"/>
      <c r="BQ165" s="406"/>
      <c r="BS165" s="411"/>
      <c r="BU165" s="406"/>
      <c r="BW165" s="411"/>
      <c r="BY165" s="406"/>
      <c r="CA165" s="411"/>
      <c r="CC165" s="406"/>
      <c r="CE165" s="411"/>
      <c r="CG165" s="406"/>
      <c r="CI165" s="411"/>
      <c r="CK165" s="406"/>
      <c r="CM165" s="411"/>
      <c r="CO165" s="406"/>
      <c r="CQ165" s="411"/>
      <c r="CS165" s="406"/>
      <c r="CU165" s="411"/>
      <c r="CW165" s="406"/>
      <c r="CY165" s="411"/>
      <c r="DA165" s="406"/>
      <c r="DC165" s="411"/>
      <c r="DE165" s="406"/>
      <c r="DG165" s="411"/>
      <c r="DI165" s="406"/>
      <c r="DK165" s="411"/>
      <c r="DM165" s="406"/>
      <c r="DO165" s="411"/>
      <c r="DQ165" s="406"/>
      <c r="DS165" s="411"/>
      <c r="DU165" s="406"/>
      <c r="DW165" s="411"/>
      <c r="DY165" s="406"/>
      <c r="EA165" s="411"/>
      <c r="EC165" s="406"/>
      <c r="EE165" s="411"/>
      <c r="EG165" s="406"/>
      <c r="EI165" s="411"/>
      <c r="EK165" s="406"/>
      <c r="EM165" s="411"/>
      <c r="EO165" s="406"/>
      <c r="EQ165" s="411"/>
      <c r="ES165" s="406"/>
      <c r="EU165" s="411"/>
      <c r="EW165" s="406"/>
      <c r="EY165" s="411"/>
      <c r="FA165" s="406"/>
      <c r="FC165" s="411"/>
      <c r="FE165" s="406"/>
      <c r="FG165" s="411"/>
      <c r="FI165" s="406"/>
      <c r="FK165" s="411"/>
      <c r="FM165" s="406"/>
      <c r="FO165" s="411"/>
      <c r="FQ165" s="406"/>
      <c r="FS165" s="411"/>
      <c r="FU165" s="406"/>
      <c r="FW165" s="411"/>
      <c r="FY165" s="406"/>
      <c r="GA165" s="411"/>
      <c r="GC165" s="406"/>
      <c r="GE165" s="411"/>
      <c r="GG165" s="406"/>
      <c r="GI165" s="411"/>
      <c r="GK165" s="406"/>
      <c r="GM165" s="411"/>
      <c r="GO165" s="406"/>
      <c r="GQ165" s="411"/>
      <c r="GS165" s="406"/>
      <c r="GU165" s="411"/>
      <c r="GW165" s="406"/>
      <c r="GY165" s="411"/>
      <c r="HA165" s="406"/>
      <c r="HC165" s="411"/>
      <c r="HE165" s="406"/>
      <c r="HG165" s="411"/>
      <c r="HI165" s="406"/>
      <c r="HK165" s="411"/>
      <c r="HM165" s="406"/>
      <c r="HO165" s="411"/>
      <c r="HQ165" s="406"/>
      <c r="HS165" s="411"/>
      <c r="HU165" s="406"/>
      <c r="HW165" s="411"/>
      <c r="HY165" s="406"/>
      <c r="IA165" s="411"/>
      <c r="IC165" s="406"/>
      <c r="IE165" s="411"/>
      <c r="IG165" s="406"/>
    </row>
    <row r="166" spans="2:241" ht="15.5" x14ac:dyDescent="0.4">
      <c r="B166" s="245" t="s">
        <v>373</v>
      </c>
      <c r="C166" s="532" t="s">
        <v>112</v>
      </c>
      <c r="D166" s="436" t="s">
        <v>98</v>
      </c>
      <c r="F166" s="251">
        <f>F162/(F136*F139)</f>
        <v>89036.941110015119</v>
      </c>
      <c r="G166" s="251">
        <f t="shared" ref="G166:H166" si="17">G162/(G136*G139)</f>
        <v>78712.38983053976</v>
      </c>
      <c r="H166" s="251">
        <f t="shared" si="17"/>
        <v>115972.88355477284</v>
      </c>
      <c r="I166" s="731" t="s">
        <v>570</v>
      </c>
      <c r="K166" s="411"/>
      <c r="M166" s="406"/>
      <c r="O166" s="411"/>
      <c r="Q166" s="406"/>
      <c r="S166" s="411"/>
      <c r="U166" s="406"/>
      <c r="W166" s="411"/>
      <c r="Y166" s="406"/>
      <c r="AA166" s="411"/>
      <c r="AC166" s="406"/>
      <c r="AE166" s="411"/>
      <c r="AG166" s="406"/>
      <c r="AI166" s="411"/>
      <c r="AK166" s="406"/>
      <c r="AM166" s="411"/>
      <c r="AO166" s="406"/>
      <c r="AQ166" s="411"/>
      <c r="AS166" s="406"/>
      <c r="AU166" s="411"/>
      <c r="AW166" s="406"/>
      <c r="AY166" s="411"/>
      <c r="BA166" s="406"/>
      <c r="BC166" s="411"/>
      <c r="BE166" s="406"/>
      <c r="BG166" s="411"/>
      <c r="BI166" s="406"/>
      <c r="BK166" s="411"/>
      <c r="BM166" s="406"/>
      <c r="BO166" s="411"/>
      <c r="BQ166" s="406"/>
      <c r="BS166" s="411"/>
      <c r="BU166" s="406"/>
      <c r="BW166" s="411"/>
      <c r="BY166" s="406"/>
      <c r="CA166" s="411"/>
      <c r="CC166" s="406"/>
      <c r="CE166" s="411"/>
      <c r="CG166" s="406"/>
      <c r="CI166" s="411"/>
      <c r="CK166" s="406"/>
      <c r="CM166" s="411"/>
      <c r="CO166" s="406"/>
      <c r="CQ166" s="411"/>
      <c r="CS166" s="406"/>
      <c r="CU166" s="411"/>
      <c r="CW166" s="406"/>
      <c r="CY166" s="411"/>
      <c r="DA166" s="406"/>
      <c r="DC166" s="411"/>
      <c r="DE166" s="406"/>
      <c r="DG166" s="411"/>
      <c r="DI166" s="406"/>
      <c r="DK166" s="411"/>
      <c r="DM166" s="406"/>
      <c r="DO166" s="411"/>
      <c r="DQ166" s="406"/>
      <c r="DS166" s="411"/>
      <c r="DU166" s="406"/>
      <c r="DW166" s="411"/>
      <c r="DY166" s="406"/>
      <c r="EA166" s="411"/>
      <c r="EC166" s="406"/>
      <c r="EE166" s="411"/>
      <c r="EG166" s="406"/>
      <c r="EI166" s="411"/>
      <c r="EK166" s="406"/>
      <c r="EM166" s="411"/>
      <c r="EO166" s="406"/>
      <c r="EQ166" s="411"/>
      <c r="ES166" s="406"/>
      <c r="EU166" s="411"/>
      <c r="EW166" s="406"/>
      <c r="EY166" s="411"/>
      <c r="FA166" s="406"/>
      <c r="FC166" s="411"/>
      <c r="FE166" s="406"/>
      <c r="FG166" s="411"/>
      <c r="FI166" s="406"/>
      <c r="FK166" s="411"/>
      <c r="FM166" s="406"/>
      <c r="FO166" s="411"/>
      <c r="FQ166" s="406"/>
      <c r="FS166" s="411"/>
      <c r="FU166" s="406"/>
      <c r="FW166" s="411"/>
      <c r="FY166" s="406"/>
      <c r="GA166" s="411"/>
      <c r="GC166" s="406"/>
      <c r="GE166" s="411"/>
      <c r="GG166" s="406"/>
      <c r="GI166" s="411"/>
      <c r="GK166" s="406"/>
      <c r="GM166" s="411"/>
      <c r="GO166" s="406"/>
      <c r="GQ166" s="411"/>
      <c r="GS166" s="406"/>
      <c r="GU166" s="411"/>
      <c r="GW166" s="406"/>
      <c r="GY166" s="411"/>
      <c r="HA166" s="406"/>
      <c r="HC166" s="411"/>
      <c r="HE166" s="406"/>
      <c r="HG166" s="411"/>
      <c r="HI166" s="406"/>
      <c r="HK166" s="411"/>
      <c r="HM166" s="406"/>
      <c r="HO166" s="411"/>
      <c r="HQ166" s="406"/>
      <c r="HS166" s="411"/>
      <c r="HU166" s="406"/>
      <c r="HW166" s="411"/>
      <c r="HY166" s="406"/>
      <c r="IA166" s="411"/>
      <c r="IC166" s="406"/>
      <c r="IE166" s="411"/>
      <c r="IG166" s="406"/>
    </row>
    <row r="167" spans="2:241" ht="15.5" x14ac:dyDescent="0.4">
      <c r="B167" s="246" t="s">
        <v>361</v>
      </c>
      <c r="C167" s="552" t="s">
        <v>114</v>
      </c>
      <c r="D167" s="657" t="s">
        <v>98</v>
      </c>
      <c r="F167" s="557">
        <f>F158</f>
        <v>0</v>
      </c>
      <c r="G167" s="557">
        <f t="shared" ref="G167:H167" si="18">G158</f>
        <v>0</v>
      </c>
      <c r="H167" s="557">
        <f t="shared" si="18"/>
        <v>0</v>
      </c>
      <c r="I167" s="731" t="s">
        <v>570</v>
      </c>
      <c r="K167" s="411"/>
      <c r="M167" s="406"/>
      <c r="O167" s="411"/>
      <c r="Q167" s="406"/>
      <c r="S167" s="411"/>
      <c r="U167" s="406"/>
      <c r="W167" s="411"/>
      <c r="Y167" s="406"/>
      <c r="AA167" s="411"/>
      <c r="AC167" s="406"/>
      <c r="AE167" s="411"/>
      <c r="AG167" s="406"/>
      <c r="AI167" s="411"/>
      <c r="AK167" s="406"/>
      <c r="AM167" s="411"/>
      <c r="AO167" s="406"/>
      <c r="AQ167" s="411"/>
      <c r="AS167" s="406"/>
      <c r="AU167" s="411"/>
      <c r="AW167" s="406"/>
      <c r="AY167" s="411"/>
      <c r="BA167" s="406"/>
      <c r="BC167" s="411"/>
      <c r="BE167" s="406"/>
      <c r="BG167" s="411"/>
      <c r="BI167" s="406"/>
      <c r="BK167" s="411"/>
      <c r="BM167" s="406"/>
      <c r="BO167" s="411"/>
      <c r="BQ167" s="406"/>
      <c r="BS167" s="411"/>
      <c r="BU167" s="406"/>
      <c r="BW167" s="411"/>
      <c r="BY167" s="406"/>
      <c r="CA167" s="411"/>
      <c r="CC167" s="406"/>
      <c r="CE167" s="411"/>
      <c r="CG167" s="406"/>
      <c r="CI167" s="411"/>
      <c r="CK167" s="406"/>
      <c r="CM167" s="411"/>
      <c r="CO167" s="406"/>
      <c r="CQ167" s="411"/>
      <c r="CS167" s="406"/>
      <c r="CU167" s="411"/>
      <c r="CW167" s="406"/>
      <c r="CY167" s="411"/>
      <c r="DA167" s="406"/>
      <c r="DC167" s="411"/>
      <c r="DE167" s="406"/>
      <c r="DG167" s="411"/>
      <c r="DI167" s="406"/>
      <c r="DK167" s="411"/>
      <c r="DM167" s="406"/>
      <c r="DO167" s="411"/>
      <c r="DQ167" s="406"/>
      <c r="DS167" s="411"/>
      <c r="DU167" s="406"/>
      <c r="DW167" s="411"/>
      <c r="DY167" s="406"/>
      <c r="EA167" s="411"/>
      <c r="EC167" s="406"/>
      <c r="EE167" s="411"/>
      <c r="EG167" s="406"/>
      <c r="EI167" s="411"/>
      <c r="EK167" s="406"/>
      <c r="EM167" s="411"/>
      <c r="EO167" s="406"/>
      <c r="EQ167" s="411"/>
      <c r="ES167" s="406"/>
      <c r="EU167" s="411"/>
      <c r="EW167" s="406"/>
      <c r="EY167" s="411"/>
      <c r="FA167" s="406"/>
      <c r="FC167" s="411"/>
      <c r="FE167" s="406"/>
      <c r="FG167" s="411"/>
      <c r="FI167" s="406"/>
      <c r="FK167" s="411"/>
      <c r="FM167" s="406"/>
      <c r="FO167" s="411"/>
      <c r="FQ167" s="406"/>
      <c r="FS167" s="411"/>
      <c r="FU167" s="406"/>
      <c r="FW167" s="411"/>
      <c r="FY167" s="406"/>
      <c r="GA167" s="411"/>
      <c r="GC167" s="406"/>
      <c r="GE167" s="411"/>
      <c r="GG167" s="406"/>
      <c r="GI167" s="411"/>
      <c r="GK167" s="406"/>
      <c r="GM167" s="411"/>
      <c r="GO167" s="406"/>
      <c r="GQ167" s="411"/>
      <c r="GS167" s="406"/>
      <c r="GU167" s="411"/>
      <c r="GW167" s="406"/>
      <c r="GY167" s="411"/>
      <c r="HA167" s="406"/>
      <c r="HC167" s="411"/>
      <c r="HE167" s="406"/>
      <c r="HG167" s="411"/>
      <c r="HI167" s="406"/>
      <c r="HK167" s="411"/>
      <c r="HM167" s="406"/>
      <c r="HO167" s="411"/>
      <c r="HQ167" s="406"/>
      <c r="HS167" s="411"/>
      <c r="HU167" s="406"/>
      <c r="HW167" s="411"/>
      <c r="HY167" s="406"/>
      <c r="IA167" s="411"/>
      <c r="IC167" s="406"/>
      <c r="IE167" s="411"/>
      <c r="IG167" s="406"/>
    </row>
    <row r="168" spans="2:241" ht="14" x14ac:dyDescent="0.3">
      <c r="B168" s="554"/>
      <c r="D168" s="518"/>
      <c r="E168" s="518"/>
      <c r="F168" s="518"/>
      <c r="H168" s="518"/>
      <c r="I168" s="406"/>
      <c r="K168" s="411"/>
      <c r="M168" s="406"/>
      <c r="O168" s="411"/>
      <c r="Q168" s="406"/>
      <c r="S168" s="411"/>
      <c r="U168" s="406"/>
      <c r="W168" s="411"/>
      <c r="Y168" s="406"/>
      <c r="AA168" s="411"/>
      <c r="AC168" s="406"/>
      <c r="AE168" s="411"/>
      <c r="AG168" s="406"/>
      <c r="AI168" s="411"/>
      <c r="AK168" s="406"/>
      <c r="AM168" s="411"/>
      <c r="AO168" s="406"/>
      <c r="AQ168" s="411"/>
      <c r="AS168" s="406"/>
      <c r="AU168" s="411"/>
      <c r="AW168" s="406"/>
      <c r="AY168" s="411"/>
      <c r="BA168" s="406"/>
      <c r="BC168" s="411"/>
      <c r="BE168" s="406"/>
      <c r="BG168" s="411"/>
      <c r="BI168" s="406"/>
      <c r="BK168" s="411"/>
      <c r="BM168" s="406"/>
      <c r="BO168" s="411"/>
      <c r="BQ168" s="406"/>
      <c r="BS168" s="411"/>
      <c r="BU168" s="406"/>
      <c r="BW168" s="411"/>
      <c r="BY168" s="406"/>
      <c r="CA168" s="411"/>
      <c r="CC168" s="406"/>
      <c r="CE168" s="411"/>
      <c r="CG168" s="406"/>
      <c r="CI168" s="411"/>
      <c r="CK168" s="406"/>
      <c r="CM168" s="411"/>
      <c r="CO168" s="406"/>
      <c r="CQ168" s="411"/>
      <c r="CS168" s="406"/>
      <c r="CU168" s="411"/>
      <c r="CW168" s="406"/>
      <c r="CY168" s="411"/>
      <c r="DA168" s="406"/>
      <c r="DC168" s="411"/>
      <c r="DE168" s="406"/>
      <c r="DG168" s="411"/>
      <c r="DI168" s="406"/>
      <c r="DK168" s="411"/>
      <c r="DM168" s="406"/>
      <c r="DO168" s="411"/>
      <c r="DQ168" s="406"/>
      <c r="DS168" s="411"/>
      <c r="DU168" s="406"/>
      <c r="DW168" s="411"/>
      <c r="DY168" s="406"/>
      <c r="EA168" s="411"/>
      <c r="EC168" s="406"/>
      <c r="EE168" s="411"/>
      <c r="EG168" s="406"/>
      <c r="EI168" s="411"/>
      <c r="EK168" s="406"/>
      <c r="EM168" s="411"/>
      <c r="EO168" s="406"/>
      <c r="EQ168" s="411"/>
      <c r="ES168" s="406"/>
      <c r="EU168" s="411"/>
      <c r="EW168" s="406"/>
      <c r="EY168" s="411"/>
      <c r="FA168" s="406"/>
      <c r="FC168" s="411"/>
      <c r="FE168" s="406"/>
      <c r="FG168" s="411"/>
      <c r="FI168" s="406"/>
      <c r="FK168" s="411"/>
      <c r="FM168" s="406"/>
      <c r="FO168" s="411"/>
      <c r="FQ168" s="406"/>
      <c r="FS168" s="411"/>
      <c r="FU168" s="406"/>
      <c r="FW168" s="411"/>
      <c r="FY168" s="406"/>
      <c r="GA168" s="411"/>
      <c r="GC168" s="406"/>
      <c r="GE168" s="411"/>
      <c r="GG168" s="406"/>
      <c r="GI168" s="411"/>
      <c r="GK168" s="406"/>
      <c r="GM168" s="411"/>
      <c r="GO168" s="406"/>
      <c r="GQ168" s="411"/>
      <c r="GS168" s="406"/>
      <c r="GU168" s="411"/>
      <c r="GW168" s="406"/>
      <c r="GY168" s="411"/>
      <c r="HA168" s="406"/>
      <c r="HC168" s="411"/>
      <c r="HE168" s="406"/>
      <c r="HG168" s="411"/>
      <c r="HI168" s="406"/>
      <c r="HK168" s="411"/>
      <c r="HM168" s="406"/>
      <c r="HO168" s="411"/>
      <c r="HQ168" s="406"/>
      <c r="HS168" s="411"/>
      <c r="HU168" s="406"/>
      <c r="HW168" s="411"/>
      <c r="HY168" s="406"/>
      <c r="IA168" s="411"/>
      <c r="IC168" s="406"/>
      <c r="IE168" s="411"/>
      <c r="IG168" s="406"/>
    </row>
    <row r="169" spans="2:241" ht="15" x14ac:dyDescent="0.4">
      <c r="B169" s="523" t="s">
        <v>374</v>
      </c>
      <c r="C169" s="524" t="s">
        <v>375</v>
      </c>
      <c r="D169" s="663" t="s">
        <v>376</v>
      </c>
      <c r="E169" s="518"/>
      <c r="F169" s="690">
        <f>(F165*F46/1000)+(F166*F47/1000)+(F167*F58/1000)</f>
        <v>64784.525141434249</v>
      </c>
      <c r="G169" s="514">
        <f>(G165*G46/1000)+(G166*G47/1000)+(G167*G58/1000)</f>
        <v>61225.410525437881</v>
      </c>
      <c r="H169" s="514">
        <f>(H165*H46/1000)+(H166*H47/1000)+(H167*H58/1000)</f>
        <v>85134.170541116648</v>
      </c>
      <c r="I169" s="406"/>
      <c r="K169" s="411"/>
      <c r="M169" s="406"/>
      <c r="O169" s="411"/>
      <c r="Q169" s="406"/>
      <c r="S169" s="411"/>
      <c r="U169" s="406"/>
      <c r="W169" s="411"/>
      <c r="Y169" s="406"/>
      <c r="AA169" s="411"/>
      <c r="AC169" s="406"/>
      <c r="AE169" s="411"/>
      <c r="AG169" s="406"/>
      <c r="AI169" s="411"/>
      <c r="AK169" s="406"/>
      <c r="AM169" s="411"/>
      <c r="AO169" s="406"/>
      <c r="AQ169" s="411"/>
      <c r="AS169" s="406"/>
      <c r="AU169" s="411"/>
      <c r="AW169" s="406"/>
      <c r="AY169" s="411"/>
      <c r="BA169" s="406"/>
      <c r="BC169" s="411"/>
      <c r="BE169" s="406"/>
      <c r="BG169" s="411"/>
      <c r="BI169" s="406"/>
      <c r="BK169" s="411"/>
      <c r="BM169" s="406"/>
      <c r="BO169" s="411"/>
      <c r="BQ169" s="406"/>
      <c r="BS169" s="411"/>
      <c r="BU169" s="406"/>
      <c r="BW169" s="411"/>
      <c r="BY169" s="406"/>
      <c r="CA169" s="411"/>
      <c r="CC169" s="406"/>
      <c r="CE169" s="411"/>
      <c r="CG169" s="406"/>
      <c r="CI169" s="411"/>
      <c r="CK169" s="406"/>
      <c r="CM169" s="411"/>
      <c r="CO169" s="406"/>
      <c r="CQ169" s="411"/>
      <c r="CS169" s="406"/>
      <c r="CU169" s="411"/>
      <c r="CW169" s="406"/>
      <c r="CY169" s="411"/>
      <c r="DA169" s="406"/>
      <c r="DC169" s="411"/>
      <c r="DE169" s="406"/>
      <c r="DG169" s="411"/>
      <c r="DI169" s="406"/>
      <c r="DK169" s="411"/>
      <c r="DM169" s="406"/>
      <c r="DO169" s="411"/>
      <c r="DQ169" s="406"/>
      <c r="DS169" s="411"/>
      <c r="DU169" s="406"/>
      <c r="DW169" s="411"/>
      <c r="DY169" s="406"/>
      <c r="EA169" s="411"/>
      <c r="EC169" s="406"/>
      <c r="EE169" s="411"/>
      <c r="EG169" s="406"/>
      <c r="EI169" s="411"/>
      <c r="EK169" s="406"/>
      <c r="EM169" s="411"/>
      <c r="EO169" s="406"/>
      <c r="EQ169" s="411"/>
      <c r="ES169" s="406"/>
      <c r="EU169" s="411"/>
      <c r="EW169" s="406"/>
      <c r="EY169" s="411"/>
      <c r="FA169" s="406"/>
      <c r="FC169" s="411"/>
      <c r="FE169" s="406"/>
      <c r="FG169" s="411"/>
      <c r="FI169" s="406"/>
      <c r="FK169" s="411"/>
      <c r="FM169" s="406"/>
      <c r="FO169" s="411"/>
      <c r="FQ169" s="406"/>
      <c r="FS169" s="411"/>
      <c r="FU169" s="406"/>
      <c r="FW169" s="411"/>
      <c r="FY169" s="406"/>
      <c r="GA169" s="411"/>
      <c r="GC169" s="406"/>
      <c r="GE169" s="411"/>
      <c r="GG169" s="406"/>
      <c r="GI169" s="411"/>
      <c r="GK169" s="406"/>
      <c r="GM169" s="411"/>
      <c r="GO169" s="406"/>
      <c r="GQ169" s="411"/>
      <c r="GS169" s="406"/>
      <c r="GU169" s="411"/>
      <c r="GW169" s="406"/>
      <c r="GY169" s="411"/>
      <c r="HA169" s="406"/>
      <c r="HC169" s="411"/>
      <c r="HE169" s="406"/>
      <c r="HG169" s="411"/>
      <c r="HI169" s="406"/>
      <c r="HK169" s="411"/>
      <c r="HM169" s="406"/>
      <c r="HO169" s="411"/>
      <c r="HQ169" s="406"/>
      <c r="HS169" s="411"/>
      <c r="HU169" s="406"/>
      <c r="HW169" s="411"/>
      <c r="HY169" s="406"/>
      <c r="IA169" s="411"/>
      <c r="IC169" s="406"/>
      <c r="IE169" s="411"/>
      <c r="IG169" s="406"/>
    </row>
    <row r="170" spans="2:241" x14ac:dyDescent="0.3">
      <c r="B170" s="411"/>
      <c r="D170" s="406"/>
      <c r="E170" s="171"/>
      <c r="F170" s="171"/>
      <c r="G170" s="171"/>
      <c r="H170" s="171"/>
      <c r="I170" s="406"/>
      <c r="K170" s="411"/>
      <c r="M170" s="406"/>
      <c r="O170" s="411"/>
      <c r="Q170" s="406"/>
      <c r="S170" s="411"/>
      <c r="U170" s="406"/>
      <c r="W170" s="411"/>
      <c r="Y170" s="406"/>
      <c r="AA170" s="411"/>
      <c r="AC170" s="406"/>
      <c r="AE170" s="411"/>
      <c r="AG170" s="406"/>
      <c r="AI170" s="411"/>
      <c r="AK170" s="406"/>
      <c r="AM170" s="411"/>
      <c r="AO170" s="406"/>
      <c r="AQ170" s="411"/>
      <c r="AS170" s="406"/>
      <c r="AU170" s="411"/>
      <c r="AW170" s="406"/>
      <c r="AY170" s="411"/>
      <c r="BA170" s="406"/>
      <c r="BC170" s="411"/>
      <c r="BE170" s="406"/>
      <c r="BG170" s="411"/>
      <c r="BI170" s="406"/>
      <c r="BK170" s="411"/>
      <c r="BM170" s="406"/>
      <c r="BO170" s="411"/>
      <c r="BQ170" s="406"/>
      <c r="BS170" s="411"/>
      <c r="BU170" s="406"/>
      <c r="BW170" s="411"/>
      <c r="BY170" s="406"/>
      <c r="CA170" s="411"/>
      <c r="CC170" s="406"/>
      <c r="CE170" s="411"/>
      <c r="CG170" s="406"/>
      <c r="CI170" s="411"/>
      <c r="CK170" s="406"/>
      <c r="CM170" s="411"/>
      <c r="CO170" s="406"/>
      <c r="CQ170" s="411"/>
      <c r="CS170" s="406"/>
      <c r="CU170" s="411"/>
      <c r="CW170" s="406"/>
      <c r="CY170" s="411"/>
      <c r="DA170" s="406"/>
      <c r="DC170" s="411"/>
      <c r="DE170" s="406"/>
      <c r="DG170" s="411"/>
      <c r="DI170" s="406"/>
      <c r="DK170" s="411"/>
      <c r="DM170" s="406"/>
      <c r="DO170" s="411"/>
      <c r="DQ170" s="406"/>
      <c r="DS170" s="411"/>
      <c r="DU170" s="406"/>
      <c r="DW170" s="411"/>
      <c r="DY170" s="406"/>
      <c r="EA170" s="411"/>
      <c r="EC170" s="406"/>
      <c r="EE170" s="411"/>
      <c r="EG170" s="406"/>
      <c r="EI170" s="411"/>
      <c r="EK170" s="406"/>
      <c r="EM170" s="411"/>
      <c r="EO170" s="406"/>
      <c r="EQ170" s="411"/>
      <c r="ES170" s="406"/>
      <c r="EU170" s="411"/>
      <c r="EW170" s="406"/>
      <c r="EY170" s="411"/>
      <c r="FA170" s="406"/>
      <c r="FC170" s="411"/>
      <c r="FE170" s="406"/>
      <c r="FG170" s="411"/>
      <c r="FI170" s="406"/>
      <c r="FK170" s="411"/>
      <c r="FM170" s="406"/>
      <c r="FO170" s="411"/>
      <c r="FQ170" s="406"/>
      <c r="FS170" s="411"/>
      <c r="FU170" s="406"/>
      <c r="FW170" s="411"/>
      <c r="FY170" s="406"/>
      <c r="GA170" s="411"/>
      <c r="GC170" s="406"/>
      <c r="GE170" s="411"/>
      <c r="GG170" s="406"/>
      <c r="GI170" s="411"/>
      <c r="GK170" s="406"/>
      <c r="GM170" s="411"/>
      <c r="GO170" s="406"/>
      <c r="GQ170" s="411"/>
      <c r="GS170" s="406"/>
      <c r="GU170" s="411"/>
      <c r="GW170" s="406"/>
      <c r="GY170" s="411"/>
      <c r="HA170" s="406"/>
      <c r="HC170" s="411"/>
      <c r="HE170" s="406"/>
      <c r="HG170" s="411"/>
      <c r="HI170" s="406"/>
      <c r="HK170" s="411"/>
      <c r="HM170" s="406"/>
      <c r="HO170" s="411"/>
      <c r="HQ170" s="406"/>
      <c r="HS170" s="411"/>
      <c r="HU170" s="406"/>
      <c r="HW170" s="411"/>
      <c r="HY170" s="406"/>
      <c r="IA170" s="411"/>
      <c r="IC170" s="406"/>
      <c r="IE170" s="411"/>
      <c r="IG170" s="406"/>
    </row>
    <row r="171" spans="2:241" x14ac:dyDescent="0.3">
      <c r="B171" s="484" t="s">
        <v>377</v>
      </c>
      <c r="E171" s="700"/>
      <c r="F171" s="587">
        <v>2023</v>
      </c>
      <c r="G171" s="414">
        <v>2022</v>
      </c>
      <c r="H171" s="414">
        <v>2021</v>
      </c>
    </row>
    <row r="172" spans="2:241" x14ac:dyDescent="0.3">
      <c r="B172" s="555" t="s">
        <v>378</v>
      </c>
      <c r="C172" s="513"/>
      <c r="D172" s="537"/>
      <c r="E172" s="518"/>
      <c r="F172" s="690" t="s">
        <v>379</v>
      </c>
      <c r="G172" s="514" t="s">
        <v>379</v>
      </c>
      <c r="H172" s="514" t="s">
        <v>379</v>
      </c>
    </row>
    <row r="173" spans="2:241" ht="15" x14ac:dyDescent="0.4">
      <c r="B173" s="465" t="s">
        <v>84</v>
      </c>
      <c r="C173" s="415" t="s">
        <v>380</v>
      </c>
      <c r="D173" s="658" t="s">
        <v>381</v>
      </c>
      <c r="F173" s="556">
        <f>F113</f>
        <v>66012.835302225925</v>
      </c>
      <c r="G173" s="556">
        <f>G113</f>
        <v>86196.756184615646</v>
      </c>
      <c r="H173" s="556">
        <f>H113</f>
        <v>117279.65707710793</v>
      </c>
    </row>
    <row r="174" spans="2:241" ht="15" x14ac:dyDescent="0.4">
      <c r="B174" s="465" t="s">
        <v>142</v>
      </c>
      <c r="C174" s="417" t="s">
        <v>382</v>
      </c>
      <c r="D174" s="659" t="s">
        <v>381</v>
      </c>
      <c r="F174" s="557">
        <f>F169</f>
        <v>64784.525141434249</v>
      </c>
      <c r="G174" s="557">
        <f>G169</f>
        <v>61225.410525437881</v>
      </c>
      <c r="H174" s="557">
        <f>H169</f>
        <v>85134.170541116648</v>
      </c>
    </row>
    <row r="175" spans="2:241" ht="15" x14ac:dyDescent="0.4">
      <c r="B175" s="523" t="s">
        <v>144</v>
      </c>
      <c r="C175" s="513"/>
      <c r="D175" s="521" t="s">
        <v>383</v>
      </c>
      <c r="F175" s="699">
        <f>F173+F174</f>
        <v>130797.36044366017</v>
      </c>
      <c r="G175" s="533">
        <f t="shared" ref="G175:H175" si="19">G173+G174</f>
        <v>147422.16671005351</v>
      </c>
      <c r="H175" s="533">
        <f t="shared" si="19"/>
        <v>202413.82761822458</v>
      </c>
    </row>
    <row r="178" spans="2:9" ht="14" x14ac:dyDescent="0.3">
      <c r="B178" s="412" t="s">
        <v>384</v>
      </c>
      <c r="C178" s="405"/>
    </row>
    <row r="180" spans="2:9" ht="15" x14ac:dyDescent="0.3">
      <c r="B180" s="558" t="s">
        <v>385</v>
      </c>
      <c r="C180" s="456"/>
      <c r="D180" s="430"/>
      <c r="E180" s="559"/>
      <c r="F180" s="559"/>
      <c r="G180" s="559"/>
      <c r="H180" s="559"/>
    </row>
    <row r="181" spans="2:9" x14ac:dyDescent="0.3">
      <c r="B181" s="459"/>
      <c r="C181" s="456"/>
      <c r="D181" s="430"/>
      <c r="E181" s="559"/>
      <c r="F181" s="559"/>
      <c r="G181" s="559"/>
      <c r="H181" s="559"/>
    </row>
    <row r="182" spans="2:9" x14ac:dyDescent="0.3">
      <c r="B182" s="560" t="s">
        <v>386</v>
      </c>
      <c r="C182" s="456"/>
      <c r="D182" s="430"/>
      <c r="E182" s="459"/>
      <c r="F182" s="459"/>
      <c r="G182" s="459"/>
      <c r="H182" s="459"/>
    </row>
    <row r="183" spans="2:9" x14ac:dyDescent="0.3">
      <c r="B183" s="423"/>
      <c r="C183" s="438"/>
      <c r="D183" s="470"/>
      <c r="E183" s="700"/>
      <c r="F183" s="587">
        <v>2023</v>
      </c>
      <c r="G183" s="414">
        <v>2022</v>
      </c>
      <c r="H183" s="414">
        <v>2021</v>
      </c>
    </row>
    <row r="184" spans="2:9" x14ac:dyDescent="0.3">
      <c r="B184" s="423" t="s">
        <v>26</v>
      </c>
      <c r="C184" s="561"/>
      <c r="D184" s="567" t="s">
        <v>387</v>
      </c>
      <c r="E184" s="430"/>
      <c r="F184" s="673">
        <f>'2023 Data'!Q80*F75/1000</f>
        <v>73.13633698172265</v>
      </c>
      <c r="G184" s="673">
        <f>'2022 Data'!Q77*G75/1000</f>
        <v>73.24823314188373</v>
      </c>
      <c r="H184" s="673">
        <f>'2021 Data '!Q73*H75/1000</f>
        <v>37.686885116024378</v>
      </c>
    </row>
    <row r="185" spans="2:9" x14ac:dyDescent="0.3">
      <c r="B185" s="449" t="s">
        <v>388</v>
      </c>
      <c r="C185" s="449"/>
      <c r="D185" s="442" t="s">
        <v>387</v>
      </c>
      <c r="E185" s="430"/>
      <c r="F185" s="563">
        <v>0</v>
      </c>
      <c r="G185" s="563">
        <v>0</v>
      </c>
      <c r="H185" s="563">
        <v>0</v>
      </c>
      <c r="I185" s="171" t="s">
        <v>670</v>
      </c>
    </row>
    <row r="186" spans="2:9" x14ac:dyDescent="0.3">
      <c r="B186" s="519" t="s">
        <v>310</v>
      </c>
      <c r="C186" s="449"/>
      <c r="D186" s="442" t="s">
        <v>387</v>
      </c>
      <c r="E186" s="430"/>
      <c r="F186" s="563">
        <f>'2023 Data'!Q81</f>
        <v>0</v>
      </c>
      <c r="G186" s="563">
        <f>'2022 Data'!Q78</f>
        <v>0</v>
      </c>
      <c r="H186" s="563">
        <f>'2021 Data '!Q74</f>
        <v>0</v>
      </c>
    </row>
    <row r="187" spans="2:9" x14ac:dyDescent="0.3">
      <c r="B187" s="519" t="s">
        <v>389</v>
      </c>
      <c r="C187" s="449"/>
      <c r="D187" s="442" t="s">
        <v>387</v>
      </c>
      <c r="E187" s="572"/>
      <c r="F187" s="613">
        <f>'2023 Data'!Q82*F95/1000</f>
        <v>7.6619019695138027E-2</v>
      </c>
      <c r="G187" s="613">
        <f>'2022 Data'!Q79*G95/1000</f>
        <v>7.6736244243878191E-2</v>
      </c>
      <c r="H187" s="613">
        <f>'2021 Data '!Q75*H95/1000</f>
        <v>3.9481498692977922E-2</v>
      </c>
    </row>
    <row r="188" spans="2:9" ht="15" x14ac:dyDescent="0.4">
      <c r="B188" s="451" t="s">
        <v>183</v>
      </c>
      <c r="C188" s="452"/>
      <c r="D188" s="521" t="s">
        <v>383</v>
      </c>
      <c r="E188" s="457"/>
      <c r="F188" s="734">
        <f>(F184+F185)*F76+F186*F86+F187*F96</f>
        <v>237.13939502849931</v>
      </c>
      <c r="G188" s="734">
        <f>(G184+G185)*G76+G186*G86+G187*G96</f>
        <v>237.50221040621287</v>
      </c>
      <c r="H188" s="734">
        <f>(H184+H185)*H76+H186*H86+H187*H96</f>
        <v>122.19705697259646</v>
      </c>
    </row>
    <row r="189" spans="2:9" x14ac:dyDescent="0.3">
      <c r="B189" s="465" t="s">
        <v>703</v>
      </c>
      <c r="C189" s="456"/>
      <c r="D189" s="518"/>
      <c r="E189" s="457"/>
      <c r="F189" s="458"/>
      <c r="G189" s="458"/>
      <c r="H189" s="458"/>
    </row>
    <row r="190" spans="2:9" x14ac:dyDescent="0.3">
      <c r="B190" s="465" t="s">
        <v>669</v>
      </c>
      <c r="C190" s="456"/>
      <c r="D190" s="518"/>
      <c r="E190" s="457"/>
      <c r="F190" s="458"/>
      <c r="G190" s="458"/>
      <c r="H190" s="458"/>
    </row>
    <row r="191" spans="2:9" x14ac:dyDescent="0.3">
      <c r="B191" s="455"/>
      <c r="C191" s="456"/>
      <c r="D191" s="518"/>
      <c r="E191" s="457"/>
      <c r="F191" s="458"/>
      <c r="G191" s="458"/>
      <c r="H191" s="458"/>
    </row>
    <row r="192" spans="2:9" x14ac:dyDescent="0.3">
      <c r="B192" s="455"/>
      <c r="C192" s="456"/>
      <c r="D192" s="457"/>
      <c r="E192" s="457"/>
      <c r="F192" s="457"/>
      <c r="G192" s="457"/>
      <c r="H192" s="457"/>
    </row>
    <row r="193" spans="2:8" ht="12" customHeight="1" x14ac:dyDescent="0.3">
      <c r="B193" s="560" t="s">
        <v>390</v>
      </c>
      <c r="C193" s="456"/>
      <c r="D193" s="430"/>
      <c r="E193" s="430"/>
      <c r="F193" s="430"/>
      <c r="G193" s="430"/>
      <c r="H193" s="430"/>
    </row>
    <row r="194" spans="2:8" x14ac:dyDescent="0.3">
      <c r="B194" s="451"/>
      <c r="C194" s="520"/>
      <c r="D194" s="565"/>
      <c r="E194" s="700"/>
      <c r="F194" s="587">
        <v>2023</v>
      </c>
      <c r="G194" s="414">
        <v>2022</v>
      </c>
      <c r="H194" s="414">
        <v>2021</v>
      </c>
    </row>
    <row r="195" spans="2:8" x14ac:dyDescent="0.3">
      <c r="B195" s="566" t="s">
        <v>391</v>
      </c>
      <c r="C195" s="519"/>
      <c r="D195" s="567" t="s">
        <v>16</v>
      </c>
      <c r="E195" s="430"/>
      <c r="F195" s="589">
        <f>F140</f>
        <v>207464.01109891522</v>
      </c>
      <c r="G195" s="562">
        <f>G140</f>
        <v>209046.79116301416</v>
      </c>
      <c r="H195" s="562">
        <f>H140</f>
        <v>254355.82453935136</v>
      </c>
    </row>
    <row r="196" spans="2:8" x14ac:dyDescent="0.3">
      <c r="B196" s="566" t="s">
        <v>392</v>
      </c>
      <c r="C196" s="519"/>
      <c r="D196" s="442" t="s">
        <v>393</v>
      </c>
      <c r="E196" s="720"/>
      <c r="F196" s="575">
        <f>'2023 Data'!Q111</f>
        <v>79628</v>
      </c>
      <c r="G196" s="568">
        <f>'2022 Data'!Q108</f>
        <v>67203</v>
      </c>
      <c r="H196" s="568">
        <f>'2021 Data '!Q104</f>
        <v>72232</v>
      </c>
    </row>
    <row r="197" spans="2:8" x14ac:dyDescent="0.3">
      <c r="B197" s="566" t="s">
        <v>394</v>
      </c>
      <c r="C197" s="519"/>
      <c r="D197" s="442" t="s">
        <v>395</v>
      </c>
      <c r="E197" s="572"/>
      <c r="F197" s="675">
        <f>F196*F75/1000</f>
        <v>66.887520000000009</v>
      </c>
      <c r="G197" s="450">
        <f>G196*G75/1000</f>
        <v>56.450519999999997</v>
      </c>
      <c r="H197" s="450">
        <f>H196*H75/1000</f>
        <v>60.674879999999995</v>
      </c>
    </row>
    <row r="198" spans="2:8" ht="15" x14ac:dyDescent="0.4">
      <c r="B198" s="451" t="s">
        <v>183</v>
      </c>
      <c r="C198" s="520"/>
      <c r="D198" s="521" t="s">
        <v>383</v>
      </c>
      <c r="E198" s="721"/>
      <c r="F198" s="734">
        <f>F197*F76</f>
        <v>216.63797527680001</v>
      </c>
      <c r="G198" s="734">
        <f>G197*G76</f>
        <v>182.83420219679996</v>
      </c>
      <c r="H198" s="734">
        <f>H197*H76</f>
        <v>196.51622833919996</v>
      </c>
    </row>
    <row r="199" spans="2:8" x14ac:dyDescent="0.3">
      <c r="B199" s="455"/>
      <c r="C199" s="456"/>
      <c r="D199" s="457"/>
      <c r="E199" s="457"/>
      <c r="F199" s="457"/>
      <c r="G199" s="457"/>
      <c r="H199" s="457"/>
    </row>
    <row r="200" spans="2:8" x14ac:dyDescent="0.3">
      <c r="B200" s="560" t="s">
        <v>396</v>
      </c>
      <c r="C200" s="456"/>
      <c r="D200" s="430"/>
      <c r="E200" s="430"/>
      <c r="F200" s="430"/>
      <c r="G200" s="430"/>
      <c r="H200" s="430"/>
    </row>
    <row r="201" spans="2:8" x14ac:dyDescent="0.3">
      <c r="B201" s="451"/>
      <c r="C201" s="520"/>
      <c r="D201" s="565"/>
      <c r="E201" s="700"/>
      <c r="F201" s="587">
        <v>2023</v>
      </c>
      <c r="G201" s="414">
        <v>2022</v>
      </c>
      <c r="H201" s="414">
        <v>2021</v>
      </c>
    </row>
    <row r="202" spans="2:8" x14ac:dyDescent="0.3">
      <c r="B202" s="428" t="s">
        <v>397</v>
      </c>
      <c r="C202" s="438"/>
      <c r="D202" s="567" t="s">
        <v>98</v>
      </c>
      <c r="E202" s="722"/>
      <c r="F202" s="569">
        <f>F137</f>
        <v>0</v>
      </c>
      <c r="G202" s="569">
        <f>G137</f>
        <v>0</v>
      </c>
      <c r="H202" s="569">
        <f>H137</f>
        <v>0</v>
      </c>
    </row>
    <row r="203" spans="2:8" x14ac:dyDescent="0.3">
      <c r="B203" s="428" t="s">
        <v>398</v>
      </c>
      <c r="C203" s="449"/>
      <c r="D203" s="442" t="s">
        <v>399</v>
      </c>
      <c r="E203" s="722"/>
      <c r="F203" s="570">
        <v>0</v>
      </c>
      <c r="G203" s="570">
        <v>0</v>
      </c>
      <c r="H203" s="570">
        <v>0</v>
      </c>
    </row>
    <row r="204" spans="2:8" x14ac:dyDescent="0.3">
      <c r="B204" s="428" t="s">
        <v>400</v>
      </c>
      <c r="C204" s="571" t="s">
        <v>401</v>
      </c>
      <c r="D204" s="442" t="s">
        <v>387</v>
      </c>
      <c r="E204" s="572"/>
      <c r="F204" s="613">
        <v>0</v>
      </c>
      <c r="G204" s="613">
        <v>0</v>
      </c>
      <c r="H204" s="613">
        <v>0</v>
      </c>
    </row>
    <row r="205" spans="2:8" ht="15" x14ac:dyDescent="0.4">
      <c r="B205" s="460" t="s">
        <v>183</v>
      </c>
      <c r="C205" s="452"/>
      <c r="D205" s="521" t="s">
        <v>383</v>
      </c>
      <c r="E205" s="457"/>
      <c r="F205" s="564">
        <f>F204*F76</f>
        <v>0</v>
      </c>
      <c r="G205" s="564">
        <f>G204*G76</f>
        <v>0</v>
      </c>
      <c r="H205" s="564">
        <f>H204*H76</f>
        <v>0</v>
      </c>
    </row>
    <row r="206" spans="2:8" x14ac:dyDescent="0.3">
      <c r="B206" s="459"/>
      <c r="C206" s="456"/>
      <c r="D206" s="430"/>
      <c r="E206" s="572"/>
      <c r="F206" s="572"/>
      <c r="G206" s="572"/>
      <c r="H206" s="572"/>
    </row>
    <row r="207" spans="2:8" x14ac:dyDescent="0.3">
      <c r="B207" s="573" t="s">
        <v>402</v>
      </c>
      <c r="C207" s="574"/>
      <c r="D207" s="430"/>
      <c r="E207" s="430"/>
      <c r="F207" s="430"/>
      <c r="G207" s="430"/>
      <c r="H207" s="430"/>
    </row>
    <row r="208" spans="2:8" ht="21" customHeight="1" x14ac:dyDescent="0.3">
      <c r="B208" s="460"/>
      <c r="C208" s="438"/>
      <c r="D208" s="565"/>
      <c r="E208" s="700"/>
      <c r="F208" s="587">
        <v>2023</v>
      </c>
      <c r="G208" s="414">
        <v>2022</v>
      </c>
      <c r="H208" s="414">
        <v>2021</v>
      </c>
    </row>
    <row r="209" spans="2:8" ht="24.75" customHeight="1" x14ac:dyDescent="0.4">
      <c r="B209" s="446" t="s">
        <v>403</v>
      </c>
      <c r="C209" s="561" t="s">
        <v>404</v>
      </c>
      <c r="D209" s="430" t="s">
        <v>395</v>
      </c>
      <c r="E209" s="720"/>
      <c r="F209" s="670">
        <f>F188</f>
        <v>237.13939502849931</v>
      </c>
      <c r="G209" s="670">
        <f>G188</f>
        <v>237.50221040621287</v>
      </c>
      <c r="H209" s="670">
        <f>H188</f>
        <v>122.19705697259646</v>
      </c>
    </row>
    <row r="210" spans="2:8" ht="15" x14ac:dyDescent="0.4">
      <c r="B210" s="446" t="s">
        <v>405</v>
      </c>
      <c r="C210" s="576" t="s">
        <v>406</v>
      </c>
      <c r="D210" s="430" t="s">
        <v>395</v>
      </c>
      <c r="E210" s="720"/>
      <c r="F210" s="670">
        <f>F198</f>
        <v>216.63797527680001</v>
      </c>
      <c r="G210" s="670">
        <f>G198</f>
        <v>182.83420219679996</v>
      </c>
      <c r="H210" s="670">
        <f>H198</f>
        <v>196.51622833919996</v>
      </c>
    </row>
    <row r="211" spans="2:8" ht="15" x14ac:dyDescent="0.4">
      <c r="B211" s="428" t="s">
        <v>407</v>
      </c>
      <c r="C211" s="576" t="s">
        <v>408</v>
      </c>
      <c r="D211" s="430" t="s">
        <v>395</v>
      </c>
      <c r="E211" s="720"/>
      <c r="F211" s="670">
        <f>F205</f>
        <v>0</v>
      </c>
      <c r="G211" s="670">
        <f>G205</f>
        <v>0</v>
      </c>
      <c r="H211" s="670">
        <f>H205</f>
        <v>0</v>
      </c>
    </row>
    <row r="212" spans="2:8" ht="15" x14ac:dyDescent="0.4">
      <c r="B212" s="460" t="s">
        <v>409</v>
      </c>
      <c r="C212" s="452" t="s">
        <v>410</v>
      </c>
      <c r="D212" s="521" t="s">
        <v>383</v>
      </c>
      <c r="E212" s="457"/>
      <c r="F212" s="734">
        <f>F209+F210+F211</f>
        <v>453.77737030529931</v>
      </c>
      <c r="G212" s="734">
        <f>G209+G210+G211</f>
        <v>420.33641260301283</v>
      </c>
      <c r="H212" s="734">
        <f>H209+H210+H211</f>
        <v>318.71328531179643</v>
      </c>
    </row>
    <row r="213" spans="2:8" x14ac:dyDescent="0.3">
      <c r="B213" s="573" t="s">
        <v>191</v>
      </c>
      <c r="C213" s="456"/>
      <c r="D213" s="430"/>
      <c r="E213" s="559"/>
      <c r="F213" s="559"/>
      <c r="G213" s="559"/>
      <c r="H213" s="559"/>
    </row>
    <row r="214" spans="2:8" x14ac:dyDescent="0.3">
      <c r="B214" s="577" t="s">
        <v>411</v>
      </c>
      <c r="C214" s="456"/>
      <c r="D214" s="430"/>
      <c r="E214" s="559"/>
      <c r="F214" s="559"/>
      <c r="G214" s="559"/>
      <c r="H214" s="559"/>
    </row>
    <row r="215" spans="2:8" x14ac:dyDescent="0.3">
      <c r="B215" s="459"/>
      <c r="C215" s="456"/>
      <c r="D215" s="430"/>
      <c r="E215" s="559"/>
      <c r="F215" s="559"/>
      <c r="G215" s="559"/>
      <c r="H215" s="559"/>
    </row>
    <row r="216" spans="2:8" x14ac:dyDescent="0.3">
      <c r="B216" s="459"/>
      <c r="C216" s="456"/>
      <c r="D216" s="430"/>
      <c r="E216" s="559"/>
      <c r="F216" s="559"/>
      <c r="G216" s="559"/>
      <c r="H216" s="559"/>
    </row>
    <row r="217" spans="2:8" x14ac:dyDescent="0.3">
      <c r="B217" s="558" t="s">
        <v>412</v>
      </c>
      <c r="C217" s="456"/>
      <c r="D217" s="430"/>
      <c r="E217" s="559"/>
      <c r="F217" s="559"/>
      <c r="G217" s="559"/>
      <c r="H217" s="559"/>
    </row>
    <row r="218" spans="2:8" x14ac:dyDescent="0.3">
      <c r="B218" s="459"/>
      <c r="C218" s="456"/>
      <c r="D218" s="430"/>
      <c r="E218" s="559"/>
      <c r="F218" s="559"/>
      <c r="G218" s="559"/>
      <c r="H218" s="559"/>
    </row>
    <row r="219" spans="2:8" x14ac:dyDescent="0.3">
      <c r="B219" s="573" t="s">
        <v>413</v>
      </c>
      <c r="C219" s="456"/>
      <c r="D219" s="430"/>
      <c r="E219" s="459"/>
      <c r="F219" s="459"/>
      <c r="G219" s="459"/>
      <c r="H219" s="459"/>
    </row>
    <row r="220" spans="2:8" ht="15" x14ac:dyDescent="0.4">
      <c r="B220" s="460" t="s">
        <v>183</v>
      </c>
      <c r="C220" s="452" t="s">
        <v>414</v>
      </c>
      <c r="D220" s="521" t="s">
        <v>383</v>
      </c>
      <c r="E220" s="457"/>
      <c r="F220" s="564">
        <f>F221*F222</f>
        <v>733.2564536629867</v>
      </c>
      <c r="G220" s="564">
        <f>G221*G222</f>
        <v>149.51287252559453</v>
      </c>
      <c r="H220" s="564">
        <f>H221*H222</f>
        <v>97.308948165037435</v>
      </c>
    </row>
    <row r="221" spans="2:8" x14ac:dyDescent="0.3">
      <c r="B221" s="459"/>
      <c r="C221" s="452" t="s">
        <v>564</v>
      </c>
      <c r="D221" s="565" t="s">
        <v>561</v>
      </c>
      <c r="E221" s="457"/>
      <c r="F221" s="564">
        <f>'2023 Data'!Q13</f>
        <v>2052</v>
      </c>
      <c r="G221" s="564">
        <f>'2022 Data'!Q13</f>
        <v>355.72188332933933</v>
      </c>
      <c r="H221" s="564">
        <f>'2021 Data '!Q13</f>
        <v>201.08956563995594</v>
      </c>
    </row>
    <row r="222" spans="2:8" x14ac:dyDescent="0.3">
      <c r="B222" s="459"/>
      <c r="C222" s="452" t="s">
        <v>563</v>
      </c>
      <c r="D222" s="565" t="s">
        <v>562</v>
      </c>
      <c r="E222" s="723"/>
      <c r="F222" s="614">
        <f>F20</f>
        <v>0.35733745305213777</v>
      </c>
      <c r="G222" s="614">
        <f>G20</f>
        <v>0.42030833505727971</v>
      </c>
      <c r="H222" s="614">
        <f>H20</f>
        <v>0.48390849050450391</v>
      </c>
    </row>
    <row r="223" spans="2:8" x14ac:dyDescent="0.3">
      <c r="B223" s="558" t="s">
        <v>415</v>
      </c>
      <c r="C223" s="456"/>
      <c r="D223" s="430"/>
      <c r="E223" s="559"/>
      <c r="F223" s="559"/>
      <c r="G223" s="559"/>
      <c r="H223" s="559"/>
    </row>
    <row r="224" spans="2:8" x14ac:dyDescent="0.3">
      <c r="B224" s="459"/>
      <c r="C224" s="456"/>
      <c r="D224" s="430"/>
      <c r="E224" s="559"/>
      <c r="F224" s="559"/>
      <c r="G224" s="559"/>
      <c r="H224" s="559"/>
    </row>
    <row r="225" spans="2:9" x14ac:dyDescent="0.3">
      <c r="B225" s="573" t="s">
        <v>416</v>
      </c>
      <c r="C225" s="456"/>
      <c r="D225" s="430"/>
      <c r="E225" s="459"/>
      <c r="F225" s="459"/>
      <c r="G225" s="459"/>
      <c r="H225" s="459"/>
    </row>
    <row r="226" spans="2:9" x14ac:dyDescent="0.3">
      <c r="B226" s="578"/>
      <c r="C226" s="474"/>
      <c r="D226" s="461"/>
      <c r="E226" s="459"/>
      <c r="F226" s="579"/>
      <c r="G226" s="579"/>
      <c r="H226" s="579"/>
    </row>
    <row r="227" spans="2:9" ht="15" x14ac:dyDescent="0.4">
      <c r="B227" s="460" t="s">
        <v>183</v>
      </c>
      <c r="C227" s="452" t="s">
        <v>417</v>
      </c>
      <c r="D227" s="521" t="s">
        <v>383</v>
      </c>
      <c r="E227" s="457"/>
      <c r="F227" s="564">
        <v>0</v>
      </c>
      <c r="G227" s="564">
        <v>0</v>
      </c>
      <c r="H227" s="564">
        <v>0</v>
      </c>
    </row>
    <row r="228" spans="2:9" x14ac:dyDescent="0.3">
      <c r="B228" s="459"/>
      <c r="C228" s="456"/>
      <c r="D228" s="430"/>
      <c r="E228" s="559"/>
      <c r="F228" s="559"/>
      <c r="G228" s="559"/>
      <c r="H228" s="559"/>
    </row>
    <row r="229" spans="2:9" x14ac:dyDescent="0.3">
      <c r="B229" s="459"/>
      <c r="C229" s="456"/>
      <c r="D229" s="430"/>
      <c r="E229" s="559"/>
      <c r="F229" s="559"/>
      <c r="G229" s="559"/>
      <c r="H229" s="559"/>
    </row>
    <row r="230" spans="2:9" ht="15" x14ac:dyDescent="0.3">
      <c r="B230" s="558" t="s">
        <v>418</v>
      </c>
      <c r="C230" s="456"/>
      <c r="D230" s="430"/>
      <c r="E230" s="559"/>
      <c r="F230" s="559"/>
      <c r="G230" s="559"/>
      <c r="H230" s="559"/>
    </row>
    <row r="231" spans="2:9" x14ac:dyDescent="0.3">
      <c r="B231" s="459"/>
      <c r="C231" s="456"/>
      <c r="D231" s="430"/>
      <c r="E231" s="559"/>
      <c r="F231" s="559"/>
      <c r="G231" s="559"/>
      <c r="H231" s="559"/>
    </row>
    <row r="232" spans="2:9" x14ac:dyDescent="0.3">
      <c r="B232" s="558" t="s">
        <v>419</v>
      </c>
      <c r="C232" s="574"/>
      <c r="D232" s="430"/>
      <c r="E232" s="459"/>
      <c r="F232" s="459"/>
      <c r="G232" s="459"/>
      <c r="H232" s="459"/>
    </row>
    <row r="233" spans="2:9" x14ac:dyDescent="0.3">
      <c r="B233" s="460"/>
      <c r="C233" s="452"/>
      <c r="D233" s="562"/>
      <c r="E233" s="700"/>
      <c r="F233" s="587">
        <v>2023</v>
      </c>
      <c r="G233" s="414">
        <v>2022</v>
      </c>
      <c r="H233" s="414">
        <v>2021</v>
      </c>
    </row>
    <row r="234" spans="2:9" ht="15" x14ac:dyDescent="0.3">
      <c r="B234" s="580" t="s">
        <v>420</v>
      </c>
      <c r="C234" s="438" t="s">
        <v>421</v>
      </c>
      <c r="D234" s="562" t="s">
        <v>422</v>
      </c>
      <c r="E234" s="714"/>
      <c r="F234" s="591">
        <f>'2023 Data'!Q71</f>
        <v>356835.51899999997</v>
      </c>
      <c r="G234" s="591">
        <f>'2022 Data'!Q67</f>
        <v>347051.01399999997</v>
      </c>
      <c r="H234" s="591">
        <f>'2021 Data '!Q63</f>
        <v>428477.85982999997</v>
      </c>
    </row>
    <row r="235" spans="2:9" x14ac:dyDescent="0.3">
      <c r="B235" s="446"/>
      <c r="C235" s="519"/>
      <c r="D235" s="478"/>
      <c r="E235" s="714"/>
      <c r="F235" s="654"/>
      <c r="G235" s="654"/>
      <c r="H235" s="654"/>
    </row>
    <row r="236" spans="2:9" ht="15" x14ac:dyDescent="0.3">
      <c r="B236" s="566" t="s">
        <v>423</v>
      </c>
      <c r="C236" s="519" t="s">
        <v>424</v>
      </c>
      <c r="D236" s="478"/>
      <c r="E236" s="722"/>
      <c r="F236" s="764">
        <f>'2023 wet tons '!G54</f>
        <v>33.801960159720572</v>
      </c>
      <c r="G236" s="764">
        <f>'2022 wet tons'!G47</f>
        <v>21.948977438033065</v>
      </c>
      <c r="H236" s="764">
        <f>'2021 wet tons'!G63</f>
        <v>27.272345101761168</v>
      </c>
      <c r="I236" s="724"/>
    </row>
    <row r="237" spans="2:9" ht="15" x14ac:dyDescent="0.3">
      <c r="B237" s="566"/>
      <c r="C237" s="519" t="s">
        <v>424</v>
      </c>
      <c r="D237" s="478"/>
      <c r="E237" s="722"/>
      <c r="F237" s="764"/>
      <c r="G237" s="764"/>
      <c r="H237" s="764"/>
    </row>
    <row r="238" spans="2:9" ht="15" x14ac:dyDescent="0.3">
      <c r="B238" s="566" t="s">
        <v>425</v>
      </c>
      <c r="C238" s="519" t="s">
        <v>426</v>
      </c>
      <c r="D238" s="251" t="s">
        <v>427</v>
      </c>
      <c r="E238" s="430"/>
      <c r="F238" s="478">
        <f>'2023 wet tons '!G55</f>
        <v>8583061.4960122816</v>
      </c>
      <c r="G238" s="478">
        <f>'2022 wet tons'!G48</f>
        <v>7616631.2976379609</v>
      </c>
      <c r="H238" s="478">
        <f>'2021 wet tons'!G64</f>
        <v>11685596.061747808</v>
      </c>
      <c r="I238" s="724"/>
    </row>
    <row r="239" spans="2:9" ht="15" x14ac:dyDescent="0.3">
      <c r="B239" s="566" t="s">
        <v>428</v>
      </c>
      <c r="C239" s="519" t="s">
        <v>429</v>
      </c>
      <c r="D239" s="581" t="s">
        <v>430</v>
      </c>
      <c r="E239" s="430"/>
      <c r="F239" s="581">
        <v>129</v>
      </c>
      <c r="G239" s="581">
        <v>129</v>
      </c>
      <c r="H239" s="581">
        <f>G239</f>
        <v>129</v>
      </c>
    </row>
    <row r="240" spans="2:9" ht="15" x14ac:dyDescent="0.4">
      <c r="B240" s="451" t="s">
        <v>183</v>
      </c>
      <c r="C240" s="452" t="s">
        <v>431</v>
      </c>
      <c r="D240" s="514" t="s">
        <v>383</v>
      </c>
      <c r="E240" s="430"/>
      <c r="F240" s="655">
        <f>F239*F238/1000000</f>
        <v>1107.2149329855843</v>
      </c>
      <c r="G240" s="655">
        <f>G239*G238/1000000</f>
        <v>982.54543739529697</v>
      </c>
      <c r="H240" s="655">
        <f>H239*H238/1000000</f>
        <v>1507.4418919654672</v>
      </c>
    </row>
    <row r="241" spans="2:8" x14ac:dyDescent="0.3">
      <c r="B241" s="459"/>
      <c r="C241" s="456"/>
      <c r="D241" s="518"/>
      <c r="E241" s="457"/>
      <c r="F241" s="457"/>
      <c r="G241" s="457"/>
      <c r="H241" s="457"/>
    </row>
    <row r="242" spans="2:8" x14ac:dyDescent="0.3">
      <c r="B242" s="459"/>
      <c r="C242" s="456"/>
      <c r="D242" s="518"/>
      <c r="E242" s="457"/>
      <c r="F242" s="457"/>
      <c r="G242" s="457"/>
      <c r="H242" s="457"/>
    </row>
    <row r="243" spans="2:8" x14ac:dyDescent="0.3">
      <c r="B243" s="573"/>
      <c r="C243" s="456"/>
      <c r="D243" s="430"/>
      <c r="E243" s="559"/>
      <c r="F243" s="559"/>
      <c r="G243" s="559"/>
      <c r="H243" s="559"/>
    </row>
    <row r="244" spans="2:8" x14ac:dyDescent="0.3">
      <c r="B244" s="459"/>
      <c r="C244" s="582"/>
      <c r="D244" s="430"/>
      <c r="E244" s="559"/>
      <c r="F244" s="559"/>
      <c r="G244" s="559"/>
      <c r="H244" s="559"/>
    </row>
    <row r="245" spans="2:8" ht="15" x14ac:dyDescent="0.3">
      <c r="B245" s="573" t="s">
        <v>432</v>
      </c>
      <c r="C245" s="456"/>
      <c r="D245" s="430"/>
      <c r="E245" s="559"/>
      <c r="F245" s="559"/>
      <c r="G245" s="559"/>
      <c r="H245" s="559"/>
    </row>
    <row r="246" spans="2:8" x14ac:dyDescent="0.3">
      <c r="B246" s="459"/>
      <c r="C246" s="456"/>
      <c r="D246" s="430"/>
      <c r="E246" s="559"/>
      <c r="F246" s="559"/>
      <c r="G246" s="559"/>
      <c r="H246" s="559"/>
    </row>
    <row r="247" spans="2:8" x14ac:dyDescent="0.3">
      <c r="B247" s="578" t="s">
        <v>433</v>
      </c>
      <c r="C247" s="583"/>
      <c r="D247" s="461"/>
      <c r="E247" s="700"/>
      <c r="F247" s="587">
        <v>2023</v>
      </c>
      <c r="G247" s="414">
        <v>2022</v>
      </c>
      <c r="H247" s="414">
        <v>2021</v>
      </c>
    </row>
    <row r="248" spans="2:8" ht="15" x14ac:dyDescent="0.3">
      <c r="B248" s="244" t="s">
        <v>372</v>
      </c>
      <c r="C248" s="584" t="s">
        <v>110</v>
      </c>
      <c r="D248" s="430" t="s">
        <v>16</v>
      </c>
      <c r="E248" s="430"/>
      <c r="F248" s="563">
        <f>F133</f>
        <v>95128.968750212385</v>
      </c>
      <c r="G248" s="478">
        <f>G133</f>
        <v>99740.033614849162</v>
      </c>
      <c r="H248" s="478">
        <f>H133</f>
        <v>109472.84428564055</v>
      </c>
    </row>
    <row r="249" spans="2:8" ht="15" x14ac:dyDescent="0.3">
      <c r="B249" s="245" t="s">
        <v>373</v>
      </c>
      <c r="C249" s="584" t="s">
        <v>434</v>
      </c>
      <c r="D249" s="430" t="s">
        <v>16</v>
      </c>
      <c r="E249" s="430"/>
      <c r="F249" s="563">
        <f>F135</f>
        <v>112335.04234870283</v>
      </c>
      <c r="G249" s="478">
        <f>G135</f>
        <v>109306.757548165</v>
      </c>
      <c r="H249" s="478">
        <f>H135</f>
        <v>144882.98025371082</v>
      </c>
    </row>
    <row r="250" spans="2:8" ht="15" x14ac:dyDescent="0.3">
      <c r="B250" s="246" t="s">
        <v>361</v>
      </c>
      <c r="C250" s="584" t="s">
        <v>435</v>
      </c>
      <c r="D250" s="442" t="s">
        <v>16</v>
      </c>
      <c r="E250" s="430"/>
      <c r="F250" s="563">
        <f>F137</f>
        <v>0</v>
      </c>
      <c r="G250" s="478">
        <f>G137</f>
        <v>0</v>
      </c>
      <c r="H250" s="478">
        <f>H137</f>
        <v>0</v>
      </c>
    </row>
    <row r="251" spans="2:8" ht="30" x14ac:dyDescent="0.4">
      <c r="B251" s="451" t="s">
        <v>436</v>
      </c>
      <c r="C251" s="585" t="s">
        <v>437</v>
      </c>
      <c r="D251" s="521" t="s">
        <v>438</v>
      </c>
      <c r="E251" s="457"/>
      <c r="F251" s="564">
        <f>(F248*F134+F249*F136+F250*F138)*(F38/1000)</f>
        <v>4183.3543639197733</v>
      </c>
      <c r="G251" s="564">
        <f t="shared" ref="G251:H251" si="20">(G248*G134+G249*G136+G250*G138)*(G38/1000)</f>
        <v>4329.1144279452365</v>
      </c>
      <c r="H251" s="564">
        <f t="shared" si="20"/>
        <v>5511.2152090042591</v>
      </c>
    </row>
    <row r="252" spans="2:8" x14ac:dyDescent="0.3">
      <c r="B252" s="459"/>
      <c r="C252" s="456"/>
      <c r="D252" s="430"/>
      <c r="E252" s="459"/>
      <c r="F252" s="459"/>
      <c r="G252" s="459"/>
      <c r="H252" s="459"/>
    </row>
    <row r="253" spans="2:8" x14ac:dyDescent="0.3">
      <c r="B253" s="459"/>
      <c r="C253" s="456"/>
      <c r="D253" s="430"/>
      <c r="E253" s="459"/>
      <c r="F253" s="459"/>
      <c r="G253" s="459"/>
      <c r="H253" s="459"/>
    </row>
    <row r="254" spans="2:8" x14ac:dyDescent="0.3">
      <c r="B254" s="573" t="s">
        <v>439</v>
      </c>
      <c r="C254" s="456"/>
      <c r="D254" s="430"/>
      <c r="E254" s="459"/>
      <c r="F254" s="459"/>
      <c r="G254" s="459"/>
      <c r="H254" s="459"/>
    </row>
    <row r="255" spans="2:8" x14ac:dyDescent="0.3">
      <c r="B255" s="459"/>
      <c r="C255" s="456"/>
      <c r="D255" s="430"/>
      <c r="E255" s="459"/>
      <c r="F255" s="459"/>
      <c r="G255" s="459"/>
      <c r="H255" s="459"/>
    </row>
    <row r="256" spans="2:8" x14ac:dyDescent="0.3">
      <c r="B256" s="573" t="s">
        <v>440</v>
      </c>
      <c r="C256" s="456"/>
      <c r="D256" s="430"/>
      <c r="E256" s="459"/>
      <c r="F256" s="459"/>
      <c r="G256" s="459"/>
      <c r="H256" s="459"/>
    </row>
    <row r="257" spans="2:8" x14ac:dyDescent="0.3">
      <c r="B257" s="460"/>
      <c r="C257" s="474"/>
      <c r="D257" s="461"/>
      <c r="E257" s="700"/>
      <c r="F257" s="587">
        <v>2023</v>
      </c>
      <c r="G257" s="414">
        <v>2022</v>
      </c>
      <c r="H257" s="414">
        <v>2021</v>
      </c>
    </row>
    <row r="258" spans="2:8" ht="15" x14ac:dyDescent="0.4">
      <c r="B258" s="451" t="s">
        <v>183</v>
      </c>
      <c r="C258" s="452" t="s">
        <v>441</v>
      </c>
      <c r="D258" s="521" t="s">
        <v>438</v>
      </c>
      <c r="E258" s="457"/>
      <c r="F258" s="564">
        <v>0</v>
      </c>
      <c r="G258" s="586">
        <v>0</v>
      </c>
      <c r="H258" s="586">
        <v>0</v>
      </c>
    </row>
    <row r="259" spans="2:8" x14ac:dyDescent="0.3">
      <c r="B259" s="459"/>
      <c r="C259" s="456"/>
      <c r="D259" s="430"/>
      <c r="E259" s="459"/>
      <c r="F259" s="459"/>
      <c r="G259" s="459"/>
      <c r="H259" s="459"/>
    </row>
    <row r="260" spans="2:8" x14ac:dyDescent="0.3">
      <c r="B260" s="459"/>
      <c r="C260" s="456"/>
      <c r="D260" s="430"/>
      <c r="E260" s="459"/>
      <c r="F260" s="459"/>
      <c r="G260" s="459"/>
      <c r="H260" s="459"/>
    </row>
    <row r="261" spans="2:8" x14ac:dyDescent="0.3">
      <c r="B261" s="588" t="s">
        <v>442</v>
      </c>
      <c r="D261" s="406"/>
      <c r="E261" s="171"/>
      <c r="F261" s="171"/>
      <c r="G261" s="171"/>
      <c r="H261" s="171"/>
    </row>
    <row r="262" spans="2:8" x14ac:dyDescent="0.3">
      <c r="B262" s="171" t="s">
        <v>443</v>
      </c>
      <c r="D262" s="406"/>
      <c r="E262" s="171"/>
      <c r="F262" s="587">
        <v>2023</v>
      </c>
      <c r="G262" s="414">
        <v>2022</v>
      </c>
      <c r="H262" s="414">
        <v>2021</v>
      </c>
    </row>
    <row r="263" spans="2:8" ht="15" x14ac:dyDescent="0.3">
      <c r="B263" s="441" t="s">
        <v>444</v>
      </c>
      <c r="C263" s="438" t="s">
        <v>410</v>
      </c>
      <c r="D263" s="567" t="s">
        <v>445</v>
      </c>
      <c r="E263" s="430"/>
      <c r="F263" s="589">
        <f>F212</f>
        <v>453.77737030529931</v>
      </c>
      <c r="G263" s="589">
        <f>G212</f>
        <v>420.33641260301283</v>
      </c>
      <c r="H263" s="589">
        <f>H212</f>
        <v>318.71328531179643</v>
      </c>
    </row>
    <row r="264" spans="2:8" ht="15" x14ac:dyDescent="0.3">
      <c r="B264" s="566" t="s">
        <v>446</v>
      </c>
      <c r="C264" s="449" t="s">
        <v>447</v>
      </c>
      <c r="D264" s="442" t="s">
        <v>445</v>
      </c>
      <c r="E264" s="430"/>
      <c r="F264" s="563">
        <f>F220</f>
        <v>733.2564536629867</v>
      </c>
      <c r="G264" s="563">
        <f>G220</f>
        <v>149.51287252559453</v>
      </c>
      <c r="H264" s="563">
        <f>H220</f>
        <v>97.308948165037435</v>
      </c>
    </row>
    <row r="265" spans="2:8" ht="15" x14ac:dyDescent="0.3">
      <c r="B265" s="566" t="s">
        <v>448</v>
      </c>
      <c r="C265" s="449" t="s">
        <v>449</v>
      </c>
      <c r="D265" s="442" t="s">
        <v>445</v>
      </c>
      <c r="E265" s="430"/>
      <c r="F265" s="563">
        <f>F227</f>
        <v>0</v>
      </c>
      <c r="G265" s="563">
        <f>G227</f>
        <v>0</v>
      </c>
      <c r="H265" s="563">
        <f>H227</f>
        <v>0</v>
      </c>
    </row>
    <row r="266" spans="2:8" ht="15" x14ac:dyDescent="0.3">
      <c r="B266" s="566" t="s">
        <v>450</v>
      </c>
      <c r="C266" s="449" t="s">
        <v>431</v>
      </c>
      <c r="D266" s="442" t="s">
        <v>445</v>
      </c>
      <c r="E266" s="430"/>
      <c r="F266" s="563">
        <f>F240</f>
        <v>1107.2149329855843</v>
      </c>
      <c r="G266" s="563">
        <f t="shared" ref="G266:H266" si="21">G240</f>
        <v>982.54543739529697</v>
      </c>
      <c r="H266" s="563">
        <f t="shared" si="21"/>
        <v>1507.4418919654672</v>
      </c>
    </row>
    <row r="267" spans="2:8" ht="15" x14ac:dyDescent="0.3">
      <c r="B267" s="566" t="s">
        <v>451</v>
      </c>
      <c r="C267" s="449" t="s">
        <v>452</v>
      </c>
      <c r="D267" s="442" t="s">
        <v>445</v>
      </c>
      <c r="E267" s="430"/>
      <c r="F267" s="563">
        <f>F251</f>
        <v>4183.3543639197733</v>
      </c>
      <c r="G267" s="563">
        <f>G251</f>
        <v>4329.1144279452365</v>
      </c>
      <c r="H267" s="563">
        <f>H251</f>
        <v>5511.2152090042591</v>
      </c>
    </row>
    <row r="268" spans="2:8" ht="15" x14ac:dyDescent="0.3">
      <c r="B268" s="448" t="s">
        <v>453</v>
      </c>
      <c r="C268" s="467" t="s">
        <v>454</v>
      </c>
      <c r="D268" s="442" t="s">
        <v>445</v>
      </c>
      <c r="E268" s="430"/>
      <c r="F268" s="563">
        <f>F258</f>
        <v>0</v>
      </c>
      <c r="G268" s="563">
        <f>G258</f>
        <v>0</v>
      </c>
      <c r="H268" s="563">
        <f>H258</f>
        <v>0</v>
      </c>
    </row>
    <row r="269" spans="2:8" x14ac:dyDescent="0.3">
      <c r="B269" s="451" t="s">
        <v>455</v>
      </c>
      <c r="C269" s="520"/>
      <c r="D269" s="481" t="s">
        <v>456</v>
      </c>
      <c r="E269" s="457"/>
      <c r="F269" s="564">
        <f>SUM(F263:F268)</f>
        <v>6477.603120873644</v>
      </c>
      <c r="G269" s="586">
        <f>SUM(G263:G268)</f>
        <v>5881.5091504691409</v>
      </c>
      <c r="H269" s="586">
        <f>SUM(H263:H268)</f>
        <v>7434.6793344465605</v>
      </c>
    </row>
    <row r="270" spans="2:8" x14ac:dyDescent="0.3">
      <c r="E270" s="171"/>
      <c r="F270" s="171"/>
      <c r="G270" s="171"/>
      <c r="H270" s="171"/>
    </row>
    <row r="271" spans="2:8" x14ac:dyDescent="0.3">
      <c r="E271" s="171"/>
      <c r="F271" s="171"/>
      <c r="G271" s="171"/>
      <c r="H271" s="171"/>
    </row>
    <row r="272" spans="2:8" x14ac:dyDescent="0.3">
      <c r="E272" s="171"/>
      <c r="F272" s="171"/>
      <c r="G272" s="171"/>
      <c r="H272" s="171"/>
    </row>
    <row r="273" spans="5:8" x14ac:dyDescent="0.3">
      <c r="E273" s="171"/>
      <c r="F273" s="171"/>
      <c r="G273" s="171"/>
      <c r="H273" s="171"/>
    </row>
    <row r="274" spans="5:8" x14ac:dyDescent="0.3">
      <c r="E274" s="171"/>
      <c r="F274" s="171"/>
      <c r="G274" s="171"/>
      <c r="H274" s="171"/>
    </row>
    <row r="275" spans="5:8" x14ac:dyDescent="0.3">
      <c r="E275" s="171"/>
      <c r="F275" s="171"/>
      <c r="G275" s="171"/>
      <c r="H275" s="171"/>
    </row>
    <row r="276" spans="5:8" x14ac:dyDescent="0.3">
      <c r="E276" s="171"/>
      <c r="F276" s="171"/>
      <c r="G276" s="171"/>
      <c r="H276" s="171"/>
    </row>
    <row r="277" spans="5:8" x14ac:dyDescent="0.3">
      <c r="E277" s="171"/>
      <c r="F277" s="171"/>
      <c r="G277" s="171"/>
      <c r="H277" s="171"/>
    </row>
    <row r="278" spans="5:8" x14ac:dyDescent="0.3">
      <c r="E278" s="171"/>
      <c r="F278" s="171"/>
      <c r="G278" s="171"/>
      <c r="H278" s="171"/>
    </row>
  </sheetData>
  <pageMargins left="0.7" right="0.7" top="0.75" bottom="0.75" header="0.3" footer="0.3"/>
  <pageSetup orientation="portrait" verticalDpi="598"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W127"/>
  <sheetViews>
    <sheetView topLeftCell="B1" zoomScale="70" zoomScaleNormal="70" workbookViewId="0">
      <selection activeCell="Q14" sqref="Q14"/>
    </sheetView>
  </sheetViews>
  <sheetFormatPr baseColWidth="10" defaultColWidth="11.54296875" defaultRowHeight="12.5" x14ac:dyDescent="0.25"/>
  <cols>
    <col min="1" max="1" width="2.1796875" style="4" customWidth="1"/>
    <col min="2" max="2" width="82.26953125" style="4" customWidth="1"/>
    <col min="3" max="3" width="21.54296875" style="4" customWidth="1"/>
    <col min="4" max="4" width="17.81640625" style="4" bestFit="1" customWidth="1"/>
    <col min="5" max="5" width="14.54296875" style="4" customWidth="1"/>
    <col min="6" max="6" width="12.81640625" style="4" customWidth="1"/>
    <col min="7" max="7" width="9.54296875" style="4" bestFit="1" customWidth="1"/>
    <col min="8" max="8" width="9.26953125" style="4" bestFit="1" customWidth="1"/>
    <col min="9" max="9" width="9" style="4" bestFit="1" customWidth="1"/>
    <col min="10" max="10" width="9.26953125" style="4" bestFit="1" customWidth="1"/>
    <col min="11" max="11" width="8.7265625" style="4" bestFit="1" customWidth="1"/>
    <col min="12" max="12" width="9.26953125" style="4" bestFit="1" customWidth="1"/>
    <col min="13" max="13" width="9.54296875" style="4" bestFit="1" customWidth="1"/>
    <col min="14" max="14" width="9.26953125" style="4" bestFit="1" customWidth="1"/>
    <col min="15" max="15" width="9" style="4" bestFit="1" customWidth="1"/>
    <col min="16" max="16" width="9.453125" style="4" bestFit="1" customWidth="1"/>
    <col min="17" max="17" width="15.54296875" style="4" customWidth="1"/>
    <col min="18" max="22" width="9.1796875" style="4" customWidth="1"/>
    <col min="23" max="23" width="8.81640625" style="4" bestFit="1" customWidth="1"/>
    <col min="24" max="16384" width="11.54296875" style="4"/>
  </cols>
  <sheetData>
    <row r="2" spans="2:17" ht="23" x14ac:dyDescent="0.5">
      <c r="B2" s="1" t="s">
        <v>242</v>
      </c>
      <c r="C2" s="2"/>
      <c r="D2" s="3"/>
      <c r="E2" s="3"/>
      <c r="F2" s="3"/>
      <c r="G2" s="3"/>
      <c r="H2" s="3"/>
      <c r="I2" s="3"/>
      <c r="J2" s="3"/>
    </row>
    <row r="4" spans="2:17" ht="17.5" x14ac:dyDescent="0.35">
      <c r="B4" s="5" t="s">
        <v>567</v>
      </c>
      <c r="C4" s="6"/>
      <c r="D4" s="7"/>
      <c r="E4" s="7"/>
      <c r="F4" s="7"/>
      <c r="G4" s="7"/>
      <c r="H4" s="7"/>
      <c r="I4" s="7"/>
      <c r="J4" s="7"/>
    </row>
    <row r="7" spans="2:17" x14ac:dyDescent="0.25">
      <c r="P7" s="49"/>
    </row>
    <row r="9" spans="2:17" ht="13" x14ac:dyDescent="0.3">
      <c r="B9" s="8" t="s">
        <v>457</v>
      </c>
      <c r="C9" s="9"/>
      <c r="D9" s="10"/>
      <c r="E9" s="10"/>
      <c r="F9" s="10"/>
      <c r="G9" s="10"/>
      <c r="H9" s="10"/>
      <c r="I9" s="10"/>
      <c r="J9" s="10"/>
    </row>
    <row r="11" spans="2:17" ht="13" x14ac:dyDescent="0.3">
      <c r="B11" s="11"/>
      <c r="C11" s="12"/>
      <c r="D11" s="13"/>
      <c r="E11" s="14" t="s">
        <v>522</v>
      </c>
      <c r="F11" s="14" t="s">
        <v>459</v>
      </c>
      <c r="G11" s="14" t="s">
        <v>460</v>
      </c>
      <c r="H11" s="14" t="s">
        <v>461</v>
      </c>
      <c r="I11" s="14" t="s">
        <v>462</v>
      </c>
      <c r="J11" s="14" t="s">
        <v>463</v>
      </c>
      <c r="K11" s="14" t="s">
        <v>464</v>
      </c>
      <c r="L11" s="14" t="s">
        <v>465</v>
      </c>
      <c r="M11" s="14" t="s">
        <v>466</v>
      </c>
      <c r="N11" s="14" t="s">
        <v>467</v>
      </c>
      <c r="O11" s="14" t="s">
        <v>468</v>
      </c>
      <c r="P11" s="15" t="s">
        <v>469</v>
      </c>
      <c r="Q11" s="16" t="s">
        <v>379</v>
      </c>
    </row>
    <row r="12" spans="2:17" ht="17" x14ac:dyDescent="0.3">
      <c r="B12" s="17" t="s">
        <v>470</v>
      </c>
      <c r="C12" s="18" t="s">
        <v>471</v>
      </c>
      <c r="D12" s="19" t="s">
        <v>472</v>
      </c>
      <c r="E12" s="615">
        <v>19285.448410228968</v>
      </c>
      <c r="F12" s="615">
        <v>18588.700471557619</v>
      </c>
      <c r="G12" s="615">
        <v>22539.639795036317</v>
      </c>
      <c r="H12" s="615">
        <v>24538.183097656249</v>
      </c>
      <c r="I12" s="615">
        <v>25332.479499304296</v>
      </c>
      <c r="J12" s="615">
        <v>22393.509520446776</v>
      </c>
      <c r="K12" s="615">
        <v>21923.742866333007</v>
      </c>
      <c r="L12" s="615">
        <v>15648.826644836427</v>
      </c>
      <c r="M12" s="615">
        <v>19604.632863159179</v>
      </c>
      <c r="N12" s="615">
        <v>17929.492949829102</v>
      </c>
      <c r="O12" s="615">
        <v>2861.869696044922</v>
      </c>
      <c r="P12" s="615">
        <v>9836.9154807281502</v>
      </c>
      <c r="Q12" s="21">
        <f>SUM(E12:P12)</f>
        <v>220483.441295161</v>
      </c>
    </row>
    <row r="13" spans="2:17" ht="17" x14ac:dyDescent="0.3">
      <c r="B13" s="22" t="s">
        <v>473</v>
      </c>
      <c r="C13" s="23" t="s">
        <v>474</v>
      </c>
      <c r="D13" s="24" t="s">
        <v>472</v>
      </c>
      <c r="E13" s="615">
        <v>127</v>
      </c>
      <c r="F13" s="615">
        <v>42</v>
      </c>
      <c r="G13" s="615">
        <v>162</v>
      </c>
      <c r="H13" s="615">
        <v>0</v>
      </c>
      <c r="I13" s="615">
        <v>13</v>
      </c>
      <c r="J13" s="615">
        <v>20</v>
      </c>
      <c r="K13" s="615">
        <v>8</v>
      </c>
      <c r="L13" s="615">
        <v>334</v>
      </c>
      <c r="M13" s="615">
        <v>0</v>
      </c>
      <c r="N13" s="615">
        <v>40</v>
      </c>
      <c r="O13" s="804">
        <v>83</v>
      </c>
      <c r="P13" s="615">
        <v>1223</v>
      </c>
      <c r="Q13" s="21">
        <f>SUM(E13:P13)</f>
        <v>2052</v>
      </c>
    </row>
    <row r="14" spans="2:17" ht="29.25" customHeight="1" x14ac:dyDescent="0.3">
      <c r="B14" s="25" t="s">
        <v>475</v>
      </c>
      <c r="C14" s="23" t="s">
        <v>476</v>
      </c>
      <c r="D14" s="24" t="s">
        <v>472</v>
      </c>
      <c r="E14" s="615">
        <f>E15+E16</f>
        <v>3388.6582992678086</v>
      </c>
      <c r="F14" s="615">
        <f t="shared" ref="F14:P14" si="0">F15+F16</f>
        <v>3097.16126113374</v>
      </c>
      <c r="G14" s="615">
        <f t="shared" si="0"/>
        <v>3477.8872760947147</v>
      </c>
      <c r="H14" s="615">
        <f t="shared" si="0"/>
        <v>3457.1698642217316</v>
      </c>
      <c r="I14" s="615">
        <f t="shared" si="0"/>
        <v>3606.5050526957907</v>
      </c>
      <c r="J14" s="615">
        <f t="shared" si="0"/>
        <v>3459.4455542328155</v>
      </c>
      <c r="K14" s="615">
        <f t="shared" si="0"/>
        <v>3523.5880322051444</v>
      </c>
      <c r="L14" s="615">
        <f t="shared" si="0"/>
        <v>2739.9419593329676</v>
      </c>
      <c r="M14" s="615">
        <f t="shared" si="0"/>
        <v>3330.7245708116689</v>
      </c>
      <c r="N14" s="615">
        <f t="shared" si="0"/>
        <v>3344.6144835687078</v>
      </c>
      <c r="O14" s="615">
        <f t="shared" si="0"/>
        <v>1654.0600186829367</v>
      </c>
      <c r="P14" s="615">
        <f t="shared" si="0"/>
        <v>2720.4025213947693</v>
      </c>
      <c r="Q14" s="21">
        <f>SUM(E14:P14)</f>
        <v>37800.158893642794</v>
      </c>
    </row>
    <row r="15" spans="2:17" ht="13" x14ac:dyDescent="0.3">
      <c r="B15" s="25" t="s">
        <v>477</v>
      </c>
      <c r="C15" s="23"/>
      <c r="D15" s="24" t="s">
        <v>472</v>
      </c>
      <c r="E15" s="20">
        <v>3134.4916326011421</v>
      </c>
      <c r="F15" s="20">
        <v>2842.9945944670735</v>
      </c>
      <c r="G15" s="20">
        <v>3223.7206094280482</v>
      </c>
      <c r="H15" s="20">
        <v>3203.0031975550651</v>
      </c>
      <c r="I15" s="20">
        <v>3352.3383860291242</v>
      </c>
      <c r="J15" s="20">
        <v>3205.278887566149</v>
      </c>
      <c r="K15" s="20">
        <v>3269.4213655384779</v>
      </c>
      <c r="L15" s="20">
        <v>2485.7752926663011</v>
      </c>
      <c r="M15" s="20">
        <v>3076.5579041450023</v>
      </c>
      <c r="N15" s="20">
        <v>3090.4478169020413</v>
      </c>
      <c r="O15" s="20">
        <v>1399.8933520162702</v>
      </c>
      <c r="P15" s="20">
        <v>2466.2358547281028</v>
      </c>
      <c r="Q15" s="776">
        <f>SUM(E15:P15)</f>
        <v>34750.158893642802</v>
      </c>
    </row>
    <row r="16" spans="2:17" ht="13" x14ac:dyDescent="0.3">
      <c r="B16" s="26" t="s">
        <v>478</v>
      </c>
      <c r="C16" s="27"/>
      <c r="D16" s="24" t="s">
        <v>472</v>
      </c>
      <c r="E16" s="615">
        <v>254.16666666666654</v>
      </c>
      <c r="F16" s="615">
        <v>254.16666666666654</v>
      </c>
      <c r="G16" s="615">
        <v>254.16666666666654</v>
      </c>
      <c r="H16" s="615">
        <v>254.16666666666654</v>
      </c>
      <c r="I16" s="615">
        <v>254.16666666666654</v>
      </c>
      <c r="J16" s="615">
        <v>254.16666666666654</v>
      </c>
      <c r="K16" s="615">
        <v>254.16666666666654</v>
      </c>
      <c r="L16" s="615">
        <v>254.16666666666654</v>
      </c>
      <c r="M16" s="615">
        <v>254.16666666666654</v>
      </c>
      <c r="N16" s="615">
        <v>254.16666666666654</v>
      </c>
      <c r="O16" s="615">
        <v>254.16666666666654</v>
      </c>
      <c r="P16" s="615">
        <v>254.16666666666654</v>
      </c>
      <c r="Q16" s="21">
        <f t="shared" ref="Q16" si="1">SUM(E16:P16)</f>
        <v>3049.9999999999986</v>
      </c>
    </row>
    <row r="17" spans="2:23" ht="13" x14ac:dyDescent="0.3">
      <c r="B17" s="28" t="s">
        <v>328</v>
      </c>
      <c r="C17" s="29"/>
      <c r="D17" s="30" t="s">
        <v>472</v>
      </c>
      <c r="E17" s="30">
        <f t="shared" ref="E17:J17" si="2">+E12+E13-E14</f>
        <v>16023.790110961159</v>
      </c>
      <c r="F17" s="30">
        <f t="shared" si="2"/>
        <v>15533.539210423878</v>
      </c>
      <c r="G17" s="30">
        <f t="shared" si="2"/>
        <v>19223.752518941601</v>
      </c>
      <c r="H17" s="30">
        <f t="shared" si="2"/>
        <v>21081.013233434518</v>
      </c>
      <c r="I17" s="30">
        <f t="shared" si="2"/>
        <v>21738.974446608507</v>
      </c>
      <c r="J17" s="30">
        <f t="shared" si="2"/>
        <v>18954.063966213962</v>
      </c>
      <c r="K17" s="30">
        <f>+K12+K13-K14</f>
        <v>18408.154834127861</v>
      </c>
      <c r="L17" s="30">
        <f t="shared" ref="L17:P17" si="3">+L12+L13-L14</f>
        <v>13242.884685503459</v>
      </c>
      <c r="M17" s="30">
        <f t="shared" si="3"/>
        <v>16273.908292347511</v>
      </c>
      <c r="N17" s="30">
        <f t="shared" si="3"/>
        <v>14624.878466260394</v>
      </c>
      <c r="O17" s="30">
        <f t="shared" si="3"/>
        <v>1290.8096773619852</v>
      </c>
      <c r="P17" s="30">
        <f t="shared" si="3"/>
        <v>8339.5129593333804</v>
      </c>
      <c r="Q17" s="31">
        <f>SUM(E17:P17)</f>
        <v>184735.2824015182</v>
      </c>
    </row>
    <row r="18" spans="2:23" x14ac:dyDescent="0.25">
      <c r="B18" s="32"/>
    </row>
    <row r="19" spans="2:23" ht="13" x14ac:dyDescent="0.3">
      <c r="B19" s="11" t="s">
        <v>479</v>
      </c>
      <c r="C19" s="12"/>
      <c r="D19" s="33" t="s">
        <v>480</v>
      </c>
      <c r="E19" s="616">
        <v>33.229999999999997</v>
      </c>
      <c r="F19" s="616">
        <v>0.79</v>
      </c>
      <c r="G19" s="616">
        <v>25.66</v>
      </c>
      <c r="H19" s="616">
        <v>0</v>
      </c>
      <c r="I19" s="616">
        <v>1.95</v>
      </c>
      <c r="J19" s="616">
        <v>0</v>
      </c>
      <c r="K19" s="616">
        <v>1.25</v>
      </c>
      <c r="L19" s="616">
        <v>0</v>
      </c>
      <c r="M19" s="616">
        <v>0</v>
      </c>
      <c r="N19" s="616">
        <v>11.22</v>
      </c>
      <c r="O19" s="616">
        <v>288</v>
      </c>
      <c r="P19" s="616">
        <v>60.81</v>
      </c>
      <c r="Q19" s="34">
        <f>SUM(E19:P19)</f>
        <v>422.91</v>
      </c>
    </row>
    <row r="20" spans="2:23" ht="13" x14ac:dyDescent="0.3">
      <c r="B20" s="11" t="s">
        <v>481</v>
      </c>
      <c r="C20" s="12"/>
      <c r="D20" s="33" t="s">
        <v>482</v>
      </c>
      <c r="E20" s="35">
        <f t="shared" ref="E20:P20" si="4">E19/24</f>
        <v>1.3845833333333333</v>
      </c>
      <c r="F20" s="35">
        <f t="shared" si="4"/>
        <v>3.291666666666667E-2</v>
      </c>
      <c r="G20" s="35">
        <f t="shared" si="4"/>
        <v>1.0691666666666666</v>
      </c>
      <c r="H20" s="35">
        <f t="shared" si="4"/>
        <v>0</v>
      </c>
      <c r="I20" s="35">
        <f t="shared" si="4"/>
        <v>8.1250000000000003E-2</v>
      </c>
      <c r="J20" s="35">
        <f t="shared" si="4"/>
        <v>0</v>
      </c>
      <c r="K20" s="35">
        <f t="shared" si="4"/>
        <v>5.2083333333333336E-2</v>
      </c>
      <c r="L20" s="35">
        <f t="shared" si="4"/>
        <v>0</v>
      </c>
      <c r="M20" s="35">
        <f t="shared" si="4"/>
        <v>0</v>
      </c>
      <c r="N20" s="35">
        <f t="shared" si="4"/>
        <v>0.46750000000000003</v>
      </c>
      <c r="O20" s="35">
        <f t="shared" si="4"/>
        <v>12</v>
      </c>
      <c r="P20" s="35">
        <f t="shared" si="4"/>
        <v>2.5337499999999999</v>
      </c>
      <c r="Q20" s="34">
        <f>SUM(E20:P20)</f>
        <v>17.62125</v>
      </c>
    </row>
    <row r="22" spans="2:23" ht="13" x14ac:dyDescent="0.3">
      <c r="B22" s="8" t="s">
        <v>483</v>
      </c>
    </row>
    <row r="24" spans="2:23" ht="13" x14ac:dyDescent="0.3">
      <c r="B24" s="11"/>
      <c r="C24" s="36" t="s">
        <v>484</v>
      </c>
      <c r="D24" s="19"/>
      <c r="E24" s="14" t="s">
        <v>522</v>
      </c>
      <c r="F24" s="14" t="s">
        <v>459</v>
      </c>
      <c r="G24" s="14" t="s">
        <v>460</v>
      </c>
      <c r="H24" s="14" t="s">
        <v>461</v>
      </c>
      <c r="I24" s="14" t="s">
        <v>462</v>
      </c>
      <c r="J24" s="14" t="s">
        <v>463</v>
      </c>
      <c r="K24" s="14" t="s">
        <v>464</v>
      </c>
      <c r="L24" s="14" t="s">
        <v>465</v>
      </c>
      <c r="M24" s="14" t="s">
        <v>466</v>
      </c>
      <c r="N24" s="14" t="s">
        <v>467</v>
      </c>
      <c r="O24" s="14" t="s">
        <v>468</v>
      </c>
      <c r="P24" s="15" t="s">
        <v>469</v>
      </c>
      <c r="Q24" s="16" t="s">
        <v>379</v>
      </c>
    </row>
    <row r="25" spans="2:23" ht="13" x14ac:dyDescent="0.3">
      <c r="B25" s="17" t="s">
        <v>338</v>
      </c>
      <c r="C25" s="37" t="s">
        <v>485</v>
      </c>
      <c r="D25" s="19" t="s">
        <v>486</v>
      </c>
      <c r="E25" s="617">
        <v>94550.177582740784</v>
      </c>
      <c r="F25" s="617">
        <v>89145.781997680664</v>
      </c>
      <c r="G25" s="617">
        <v>108368.55631923676</v>
      </c>
      <c r="H25" s="617">
        <v>113499.8401184082</v>
      </c>
      <c r="I25" s="617">
        <v>120645.54929351807</v>
      </c>
      <c r="J25" s="617">
        <v>109446.4024477005</v>
      </c>
      <c r="K25" s="617">
        <v>109792.5239982605</v>
      </c>
      <c r="L25" s="617">
        <v>79512.652758598328</v>
      </c>
      <c r="M25" s="617">
        <v>98574.457107543945</v>
      </c>
      <c r="N25" s="617">
        <v>93027.768879855517</v>
      </c>
      <c r="O25" s="617">
        <v>32998.118459028243</v>
      </c>
      <c r="P25" s="617">
        <v>68175.861988067627</v>
      </c>
      <c r="Q25" s="38">
        <f>SUM(E25:P25)</f>
        <v>1117737.6909506391</v>
      </c>
    </row>
    <row r="26" spans="2:23" ht="20.5" customHeight="1" x14ac:dyDescent="0.3">
      <c r="B26" s="22" t="s">
        <v>344</v>
      </c>
      <c r="C26" s="39" t="s">
        <v>487</v>
      </c>
      <c r="D26" s="24" t="s">
        <v>486</v>
      </c>
      <c r="E26" s="618">
        <v>15426.041853427887</v>
      </c>
      <c r="F26" s="618">
        <v>6219.8062508963048</v>
      </c>
      <c r="G26" s="618">
        <v>8216.2065325975418</v>
      </c>
      <c r="H26" s="618">
        <v>6272.3590683490038</v>
      </c>
      <c r="I26" s="618">
        <v>8614.7956928163767</v>
      </c>
      <c r="J26" s="618">
        <v>14314.263121254742</v>
      </c>
      <c r="K26" s="618">
        <v>17811.901469826698</v>
      </c>
      <c r="L26" s="618">
        <v>12720.955490767956</v>
      </c>
      <c r="M26" s="618">
        <v>8482.9173080176115</v>
      </c>
      <c r="N26" s="618">
        <v>7624.1888226522133</v>
      </c>
      <c r="O26" s="618">
        <v>5540.1679604500532</v>
      </c>
      <c r="P26" s="618">
        <v>9339.8136505186558</v>
      </c>
      <c r="Q26" s="21">
        <f t="shared" ref="Q26:Q27" si="5">SUM(E26:P26)</f>
        <v>120583.41722157504</v>
      </c>
    </row>
    <row r="27" spans="2:23" ht="13" x14ac:dyDescent="0.3">
      <c r="B27" s="22" t="s">
        <v>488</v>
      </c>
      <c r="C27" s="39" t="s">
        <v>489</v>
      </c>
      <c r="D27" s="40" t="s">
        <v>486</v>
      </c>
      <c r="E27" s="618">
        <v>3854.5176189914346</v>
      </c>
      <c r="F27" s="618">
        <v>5959.507559299469</v>
      </c>
      <c r="G27" s="618">
        <v>9422.8399847745895</v>
      </c>
      <c r="H27" s="618">
        <v>8383.9052378088236</v>
      </c>
      <c r="I27" s="618">
        <v>12176.724776118994</v>
      </c>
      <c r="J27" s="618">
        <v>9136.3563497662544</v>
      </c>
      <c r="K27" s="618">
        <v>9142.3948232531548</v>
      </c>
      <c r="L27" s="618">
        <v>7048.0259222388268</v>
      </c>
      <c r="M27" s="618">
        <v>11344.768872253597</v>
      </c>
      <c r="N27" s="778">
        <v>11993.352139621973</v>
      </c>
      <c r="O27" s="618">
        <v>7584.113903068006</v>
      </c>
      <c r="P27" s="618">
        <v>11890.693018905818</v>
      </c>
      <c r="Q27" s="41">
        <f t="shared" si="5"/>
        <v>107937.20020610094</v>
      </c>
      <c r="R27" s="42"/>
    </row>
    <row r="28" spans="2:23" ht="13" x14ac:dyDescent="0.3">
      <c r="B28" s="12" t="s">
        <v>490</v>
      </c>
      <c r="C28" s="43" t="s">
        <v>491</v>
      </c>
      <c r="D28" s="44"/>
      <c r="E28" s="45"/>
      <c r="F28" s="45"/>
      <c r="G28" s="45"/>
      <c r="H28" s="45"/>
      <c r="I28" s="45"/>
      <c r="J28" s="45"/>
      <c r="K28" s="45"/>
      <c r="L28" s="45"/>
      <c r="M28" s="45"/>
      <c r="N28" s="45"/>
      <c r="O28" s="45"/>
      <c r="P28" s="45"/>
      <c r="Q28" s="45"/>
      <c r="R28" s="46"/>
      <c r="S28" s="46"/>
      <c r="T28" s="46"/>
      <c r="U28" s="46"/>
      <c r="V28" s="46"/>
      <c r="W28" s="44"/>
    </row>
    <row r="29" spans="2:23" ht="13" x14ac:dyDescent="0.3">
      <c r="T29" s="46"/>
      <c r="W29" s="47"/>
    </row>
    <row r="30" spans="2:23" ht="13" x14ac:dyDescent="0.3">
      <c r="B30" s="8" t="s">
        <v>492</v>
      </c>
      <c r="C30" s="9"/>
      <c r="D30" s="10"/>
      <c r="E30" s="10"/>
      <c r="F30" s="10"/>
      <c r="G30" s="10"/>
      <c r="H30" s="10"/>
      <c r="I30" s="10"/>
      <c r="J30" s="10"/>
      <c r="K30" s="10"/>
      <c r="L30" s="10"/>
      <c r="M30" s="10"/>
      <c r="N30" s="10"/>
      <c r="O30" s="10"/>
      <c r="P30" s="10"/>
      <c r="Q30" s="48"/>
      <c r="R30" s="48"/>
      <c r="S30" s="48"/>
      <c r="T30" s="46"/>
    </row>
    <row r="31" spans="2:23" ht="13" x14ac:dyDescent="0.3">
      <c r="K31" s="49"/>
      <c r="L31" s="49"/>
      <c r="M31" s="49"/>
      <c r="N31" s="49"/>
      <c r="O31" s="49"/>
      <c r="P31" s="49"/>
      <c r="T31" s="46"/>
    </row>
    <row r="32" spans="2:23" ht="13" x14ac:dyDescent="0.3">
      <c r="B32" s="11"/>
      <c r="C32" s="12"/>
      <c r="D32" s="50"/>
      <c r="E32" s="14" t="s">
        <v>522</v>
      </c>
      <c r="F32" s="14" t="s">
        <v>459</v>
      </c>
      <c r="G32" s="14" t="s">
        <v>460</v>
      </c>
      <c r="H32" s="14" t="s">
        <v>461</v>
      </c>
      <c r="I32" s="14" t="s">
        <v>462</v>
      </c>
      <c r="J32" s="14" t="s">
        <v>463</v>
      </c>
      <c r="K32" s="14" t="s">
        <v>464</v>
      </c>
      <c r="L32" s="14" t="s">
        <v>465</v>
      </c>
      <c r="M32" s="14" t="s">
        <v>466</v>
      </c>
      <c r="N32" s="14" t="s">
        <v>467</v>
      </c>
      <c r="O32" s="14" t="s">
        <v>468</v>
      </c>
      <c r="P32" s="15" t="s">
        <v>469</v>
      </c>
      <c r="Q32" s="51" t="s">
        <v>379</v>
      </c>
    </row>
    <row r="33" spans="2:23" ht="15" x14ac:dyDescent="0.4">
      <c r="B33" s="52" t="s">
        <v>493</v>
      </c>
      <c r="C33" s="53" t="s">
        <v>494</v>
      </c>
      <c r="D33" s="54" t="s">
        <v>486</v>
      </c>
      <c r="E33" s="615">
        <f>E34+E35</f>
        <v>11566.824914062499</v>
      </c>
      <c r="F33" s="615">
        <f t="shared" ref="F33:P33" si="6">F34+F35</f>
        <v>8624.595804062501</v>
      </c>
      <c r="G33" s="615">
        <f t="shared" si="6"/>
        <v>16284.183849375</v>
      </c>
      <c r="H33" s="615">
        <f t="shared" si="6"/>
        <v>13571.767245937499</v>
      </c>
      <c r="I33" s="615">
        <f t="shared" si="6"/>
        <v>19056.965888750001</v>
      </c>
      <c r="J33" s="615">
        <f t="shared" si="6"/>
        <v>15744.0356428125</v>
      </c>
      <c r="K33" s="615">
        <f t="shared" si="6"/>
        <v>18792.258572187497</v>
      </c>
      <c r="L33" s="615">
        <f t="shared" si="6"/>
        <v>17183.852875</v>
      </c>
      <c r="M33" s="615">
        <f t="shared" si="6"/>
        <v>12541.4777296875</v>
      </c>
      <c r="N33" s="615">
        <f t="shared" si="6"/>
        <v>12012.4087753125</v>
      </c>
      <c r="O33" s="615">
        <f t="shared" si="6"/>
        <v>11041.642812499998</v>
      </c>
      <c r="P33" s="615">
        <f t="shared" si="6"/>
        <v>13246.61</v>
      </c>
      <c r="Q33" s="21">
        <f>SUM(E33:P33)</f>
        <v>169666.62410968752</v>
      </c>
    </row>
    <row r="34" spans="2:23" ht="13" x14ac:dyDescent="0.3">
      <c r="B34" s="52" t="s">
        <v>495</v>
      </c>
      <c r="C34" s="53"/>
      <c r="D34" s="54"/>
      <c r="E34" s="620">
        <v>1085.3019140624999</v>
      </c>
      <c r="F34" s="620">
        <v>1069.5628040624999</v>
      </c>
      <c r="G34" s="620">
        <v>1158.831849375</v>
      </c>
      <c r="H34" s="620">
        <v>1210.2672459374999</v>
      </c>
      <c r="I34" s="620">
        <v>3435.5168887499999</v>
      </c>
      <c r="J34" s="620">
        <v>1850.7056428124999</v>
      </c>
      <c r="K34" s="620">
        <v>3268.0095721875</v>
      </c>
      <c r="L34" s="620">
        <v>3242.662875</v>
      </c>
      <c r="M34" s="620">
        <v>1608.4457296875</v>
      </c>
      <c r="N34" s="620">
        <v>2251.8337753125002</v>
      </c>
      <c r="O34" s="620">
        <v>1995.9328125</v>
      </c>
      <c r="P34" s="620">
        <v>2428.11</v>
      </c>
      <c r="Q34" s="21">
        <f t="shared" ref="Q34:Q37" si="7">SUM(E34:P34)</f>
        <v>24605.181109687503</v>
      </c>
    </row>
    <row r="35" spans="2:23" ht="13" x14ac:dyDescent="0.3">
      <c r="B35" s="52" t="s">
        <v>496</v>
      </c>
      <c r="C35" s="53"/>
      <c r="D35" s="54"/>
      <c r="E35" s="620">
        <v>10481.522999999999</v>
      </c>
      <c r="F35" s="620">
        <v>7555.0330000000013</v>
      </c>
      <c r="G35" s="620">
        <v>15125.352000000001</v>
      </c>
      <c r="H35" s="620">
        <v>12361.5</v>
      </c>
      <c r="I35" s="620">
        <v>15621.449000000002</v>
      </c>
      <c r="J35" s="620">
        <v>13893.33</v>
      </c>
      <c r="K35" s="620">
        <v>15524.248999999998</v>
      </c>
      <c r="L35" s="620">
        <v>13941.19</v>
      </c>
      <c r="M35" s="620">
        <v>10933.031999999999</v>
      </c>
      <c r="N35" s="777">
        <v>9760.5750000000007</v>
      </c>
      <c r="O35" s="620">
        <v>9045.7099999999991</v>
      </c>
      <c r="P35" s="620">
        <v>10818.5</v>
      </c>
      <c r="Q35" s="21">
        <f t="shared" si="7"/>
        <v>145061.443</v>
      </c>
      <c r="R35" s="49"/>
    </row>
    <row r="36" spans="2:23" ht="15" x14ac:dyDescent="0.4">
      <c r="B36" s="53" t="s">
        <v>497</v>
      </c>
      <c r="C36" s="53" t="s">
        <v>112</v>
      </c>
      <c r="D36" s="54" t="s">
        <v>486</v>
      </c>
      <c r="E36" s="619">
        <v>15147.665000000001</v>
      </c>
      <c r="F36" s="619">
        <v>13046.85</v>
      </c>
      <c r="G36" s="619">
        <v>18522.645</v>
      </c>
      <c r="H36" s="619">
        <v>12336.281000000001</v>
      </c>
      <c r="I36" s="619">
        <v>21861.8</v>
      </c>
      <c r="J36" s="619">
        <v>24609.323</v>
      </c>
      <c r="K36" s="619">
        <v>21983.069</v>
      </c>
      <c r="L36" s="619">
        <v>17262.810000000001</v>
      </c>
      <c r="M36" s="619">
        <v>21684.792000000001</v>
      </c>
      <c r="N36" s="619">
        <v>23921.991000000002</v>
      </c>
      <c r="O36" s="619">
        <v>11274</v>
      </c>
      <c r="P36" s="619">
        <v>10122.85</v>
      </c>
      <c r="Q36" s="21">
        <f t="shared" si="7"/>
        <v>211774.07600000006</v>
      </c>
    </row>
    <row r="37" spans="2:23" ht="15" x14ac:dyDescent="0.4">
      <c r="B37" s="26" t="s">
        <v>498</v>
      </c>
      <c r="C37" s="55" t="s">
        <v>114</v>
      </c>
      <c r="D37" s="56" t="s">
        <v>486</v>
      </c>
      <c r="E37" s="648">
        <v>0</v>
      </c>
      <c r="F37" s="648">
        <v>0</v>
      </c>
      <c r="G37" s="648">
        <v>0</v>
      </c>
      <c r="H37" s="648">
        <v>0</v>
      </c>
      <c r="I37" s="648">
        <v>0</v>
      </c>
      <c r="J37" s="648">
        <v>0</v>
      </c>
      <c r="K37" s="648">
        <v>0</v>
      </c>
      <c r="L37" s="648">
        <v>0</v>
      </c>
      <c r="M37" s="648">
        <v>0</v>
      </c>
      <c r="N37" s="648">
        <v>0</v>
      </c>
      <c r="O37" s="648">
        <v>0</v>
      </c>
      <c r="P37" s="648">
        <v>0</v>
      </c>
      <c r="Q37" s="21">
        <f t="shared" si="7"/>
        <v>0</v>
      </c>
    </row>
    <row r="38" spans="2:23" ht="13" x14ac:dyDescent="0.25">
      <c r="B38" s="58" t="s">
        <v>379</v>
      </c>
      <c r="C38" s="59"/>
      <c r="D38" s="60" t="s">
        <v>486</v>
      </c>
      <c r="E38" s="60">
        <f>E33+E36+E37</f>
        <v>26714.489914062498</v>
      </c>
      <c r="F38" s="61">
        <f t="shared" ref="F38:P38" si="8">F33+F36+F37</f>
        <v>21671.445804062503</v>
      </c>
      <c r="G38" s="61">
        <f t="shared" si="8"/>
        <v>34806.828849375001</v>
      </c>
      <c r="H38" s="61">
        <f t="shared" si="8"/>
        <v>25908.048245937498</v>
      </c>
      <c r="I38" s="61">
        <f t="shared" si="8"/>
        <v>40918.76588875</v>
      </c>
      <c r="J38" s="61">
        <f t="shared" si="8"/>
        <v>40353.358642812498</v>
      </c>
      <c r="K38" s="61">
        <f t="shared" si="8"/>
        <v>40775.327572187496</v>
      </c>
      <c r="L38" s="61">
        <f t="shared" si="8"/>
        <v>34446.662875000002</v>
      </c>
      <c r="M38" s="61">
        <f t="shared" si="8"/>
        <v>34226.269729687498</v>
      </c>
      <c r="N38" s="61">
        <f t="shared" si="8"/>
        <v>35934.3997753125</v>
      </c>
      <c r="O38" s="61">
        <f t="shared" si="8"/>
        <v>22315.642812499998</v>
      </c>
      <c r="P38" s="51">
        <f t="shared" si="8"/>
        <v>23369.46</v>
      </c>
      <c r="Q38" s="31">
        <f>SUM(E38:P38)</f>
        <v>381440.70010968752</v>
      </c>
    </row>
    <row r="39" spans="2:23" ht="13" x14ac:dyDescent="0.25">
      <c r="B39" s="239"/>
      <c r="C39" s="62"/>
      <c r="D39" s="63"/>
      <c r="E39" s="63"/>
      <c r="F39" s="63"/>
      <c r="G39" s="63"/>
      <c r="H39" s="63"/>
      <c r="I39" s="63"/>
      <c r="J39" s="63"/>
      <c r="K39" s="64"/>
      <c r="L39" s="64"/>
      <c r="M39" s="64"/>
      <c r="N39" s="64"/>
      <c r="O39" s="64"/>
      <c r="P39" s="64"/>
      <c r="Q39" s="57"/>
      <c r="R39" s="64"/>
      <c r="S39" s="64"/>
      <c r="T39" s="64"/>
      <c r="U39" s="64"/>
      <c r="V39" s="64"/>
      <c r="W39" s="57"/>
    </row>
    <row r="40" spans="2:23" ht="13" x14ac:dyDescent="0.25">
      <c r="B40" s="239"/>
      <c r="C40" s="62"/>
      <c r="D40" s="63"/>
      <c r="E40" s="63"/>
      <c r="F40" s="63"/>
      <c r="G40" s="63"/>
      <c r="H40" s="63"/>
      <c r="I40" s="63"/>
      <c r="J40" s="63"/>
      <c r="K40" s="64"/>
      <c r="L40" s="64"/>
      <c r="M40" s="64"/>
      <c r="N40" s="64"/>
      <c r="O40" s="64"/>
      <c r="P40" s="64"/>
      <c r="Q40" s="57">
        <v>356836.21900000004</v>
      </c>
      <c r="R40" s="64"/>
      <c r="S40" s="64"/>
      <c r="T40" s="64"/>
      <c r="U40" s="64"/>
      <c r="V40" s="64"/>
      <c r="W40" s="57"/>
    </row>
    <row r="41" spans="2:23" ht="13" x14ac:dyDescent="0.25">
      <c r="B41" s="239"/>
      <c r="C41" s="62"/>
      <c r="D41" s="63"/>
      <c r="E41" s="63"/>
      <c r="F41" s="63"/>
      <c r="G41" s="63"/>
      <c r="H41" s="63"/>
      <c r="I41" s="63"/>
      <c r="J41" s="63"/>
      <c r="K41" s="64"/>
      <c r="L41" s="64"/>
      <c r="M41" s="64"/>
      <c r="N41" s="64"/>
      <c r="O41" s="64"/>
      <c r="P41" s="64"/>
      <c r="Q41" s="64"/>
      <c r="R41" s="64"/>
      <c r="S41" s="64"/>
      <c r="T41" s="64"/>
      <c r="U41" s="64"/>
      <c r="V41" s="64"/>
      <c r="W41" s="57"/>
    </row>
    <row r="42" spans="2:23" ht="13" x14ac:dyDescent="0.25">
      <c r="B42" s="62"/>
      <c r="C42" s="62"/>
      <c r="D42" s="63"/>
      <c r="E42" s="63"/>
      <c r="F42" s="63"/>
      <c r="G42" s="63"/>
      <c r="H42" s="63"/>
      <c r="I42" s="63"/>
      <c r="J42" s="63"/>
      <c r="K42" s="64"/>
      <c r="L42" s="64"/>
      <c r="M42" s="64"/>
      <c r="N42" s="64"/>
      <c r="O42" s="64"/>
      <c r="P42" s="64"/>
      <c r="Q42" s="64"/>
      <c r="R42" s="64"/>
      <c r="S42" s="64"/>
      <c r="T42" s="64"/>
      <c r="U42" s="64"/>
      <c r="V42" s="64"/>
      <c r="W42" s="57"/>
    </row>
    <row r="43" spans="2:23" ht="13" x14ac:dyDescent="0.25">
      <c r="B43" s="62"/>
      <c r="C43" s="62"/>
      <c r="D43" s="63"/>
      <c r="E43" s="63"/>
      <c r="F43" s="63"/>
      <c r="G43" s="63"/>
      <c r="H43" s="63"/>
      <c r="I43" s="63"/>
      <c r="J43" s="63"/>
      <c r="K43" s="64"/>
      <c r="L43" s="64"/>
      <c r="M43" s="64"/>
      <c r="N43" s="64"/>
      <c r="O43" s="64"/>
      <c r="P43" s="64"/>
      <c r="Q43" s="64"/>
      <c r="R43" s="64"/>
      <c r="S43" s="64"/>
      <c r="T43" s="64"/>
      <c r="U43" s="64"/>
      <c r="V43" s="64"/>
      <c r="W43" s="57"/>
    </row>
    <row r="44" spans="2:23" ht="13" x14ac:dyDescent="0.25">
      <c r="B44" s="62"/>
      <c r="C44" s="62"/>
      <c r="D44" s="63"/>
      <c r="E44" s="63"/>
      <c r="F44" s="63"/>
      <c r="G44" s="63"/>
      <c r="H44" s="63"/>
      <c r="I44" s="63"/>
      <c r="J44" s="63"/>
      <c r="K44" s="64"/>
      <c r="L44" s="64"/>
      <c r="M44" s="64"/>
      <c r="N44" s="64"/>
      <c r="O44" s="64"/>
      <c r="P44" s="64"/>
      <c r="Q44" s="64"/>
      <c r="R44" s="64"/>
      <c r="S44" s="64"/>
      <c r="T44" s="64"/>
      <c r="U44" s="64"/>
      <c r="V44" s="64"/>
      <c r="W44" s="57"/>
    </row>
    <row r="45" spans="2:23" ht="13" x14ac:dyDescent="0.25">
      <c r="B45" s="62"/>
      <c r="C45" s="62"/>
      <c r="D45" s="63"/>
      <c r="E45" s="63"/>
      <c r="F45" s="63"/>
      <c r="G45" s="63"/>
      <c r="H45" s="63"/>
      <c r="I45" s="63"/>
      <c r="J45" s="63"/>
      <c r="K45" s="64"/>
      <c r="L45" s="64"/>
      <c r="M45" s="64"/>
      <c r="N45" s="64"/>
      <c r="O45" s="64"/>
      <c r="P45" s="64"/>
      <c r="Q45" s="64"/>
      <c r="R45" s="64"/>
      <c r="S45" s="64"/>
      <c r="T45" s="64"/>
      <c r="U45" s="64"/>
      <c r="V45" s="64"/>
      <c r="W45" s="57"/>
    </row>
    <row r="47" spans="2:23" ht="13" x14ac:dyDescent="0.3">
      <c r="B47" s="65"/>
      <c r="C47" s="9"/>
      <c r="D47" s="10"/>
      <c r="E47" s="66"/>
      <c r="F47" s="66"/>
      <c r="G47" s="66"/>
      <c r="H47" s="66"/>
      <c r="I47" s="66"/>
      <c r="J47" s="66"/>
      <c r="K47" s="66"/>
      <c r="L47" s="66"/>
      <c r="M47" s="66"/>
      <c r="N47" s="66"/>
      <c r="O47" s="66"/>
      <c r="P47" s="66"/>
      <c r="Q47" s="67"/>
      <c r="R47" s="68"/>
      <c r="S47" s="68"/>
      <c r="T47" s="68"/>
      <c r="U47" s="67"/>
      <c r="V47" s="67"/>
      <c r="W47" s="57"/>
    </row>
    <row r="48" spans="2:23" ht="13" x14ac:dyDescent="0.25">
      <c r="B48" s="69" t="s">
        <v>499</v>
      </c>
      <c r="C48" s="62"/>
      <c r="D48" s="63"/>
      <c r="E48" s="63"/>
      <c r="F48" s="63"/>
      <c r="G48" s="63"/>
      <c r="H48" s="63"/>
      <c r="I48" s="63"/>
      <c r="J48" s="63"/>
      <c r="K48" s="70"/>
      <c r="L48" s="70"/>
      <c r="M48" s="70"/>
      <c r="N48" s="70"/>
      <c r="O48" s="70"/>
      <c r="P48" s="70"/>
      <c r="Q48" s="70"/>
      <c r="R48" s="70"/>
      <c r="S48" s="70"/>
      <c r="T48" s="70"/>
      <c r="U48" s="70"/>
      <c r="V48" s="70"/>
      <c r="W48" s="71"/>
    </row>
    <row r="49" spans="2:23" ht="13" x14ac:dyDescent="0.3">
      <c r="B49" s="72"/>
      <c r="C49" s="58"/>
      <c r="D49" s="59"/>
      <c r="E49" s="14" t="s">
        <v>458</v>
      </c>
      <c r="F49" s="14" t="s">
        <v>459</v>
      </c>
      <c r="G49" s="14" t="s">
        <v>460</v>
      </c>
      <c r="H49" s="14" t="s">
        <v>461</v>
      </c>
      <c r="I49" s="14" t="s">
        <v>462</v>
      </c>
      <c r="J49" s="14" t="s">
        <v>463</v>
      </c>
      <c r="K49" s="14" t="s">
        <v>464</v>
      </c>
      <c r="L49" s="14" t="s">
        <v>465</v>
      </c>
      <c r="M49" s="14" t="s">
        <v>466</v>
      </c>
      <c r="N49" s="14" t="s">
        <v>467</v>
      </c>
      <c r="O49" s="14" t="s">
        <v>468</v>
      </c>
      <c r="P49" s="15" t="s">
        <v>469</v>
      </c>
      <c r="Q49" s="51" t="s">
        <v>379</v>
      </c>
    </row>
    <row r="50" spans="2:23" ht="13" x14ac:dyDescent="0.3">
      <c r="B50" s="73" t="s">
        <v>500</v>
      </c>
      <c r="C50" s="22"/>
      <c r="D50" s="74" t="s">
        <v>107</v>
      </c>
      <c r="E50" s="75">
        <v>0.4071837221744089</v>
      </c>
      <c r="F50" s="75">
        <v>0.41360546941445969</v>
      </c>
      <c r="G50" s="75">
        <v>0.43323833343868118</v>
      </c>
      <c r="H50" s="75">
        <v>0.43584345706622551</v>
      </c>
      <c r="I50" s="75">
        <v>0.42413660664182834</v>
      </c>
      <c r="J50" s="75">
        <v>0.47852995912680529</v>
      </c>
      <c r="K50" s="75">
        <v>0.46820757288033754</v>
      </c>
      <c r="L50" s="75">
        <v>0.44829056574644932</v>
      </c>
      <c r="M50" s="75">
        <v>0.47769726356401709</v>
      </c>
      <c r="N50" s="75">
        <v>0.41394375681858342</v>
      </c>
      <c r="O50" s="773">
        <v>0.42045759305461144</v>
      </c>
      <c r="P50" s="75">
        <v>0.41490581560990414</v>
      </c>
      <c r="Q50" s="76">
        <f>AVERAGE(E50:P50)</f>
        <v>0.43633667629469269</v>
      </c>
    </row>
    <row r="51" spans="2:23" ht="13" x14ac:dyDescent="0.3">
      <c r="B51" s="73"/>
      <c r="C51" s="22"/>
      <c r="D51" s="74"/>
      <c r="E51" s="75">
        <f>E50</f>
        <v>0.4071837221744089</v>
      </c>
      <c r="F51" s="75">
        <f t="shared" ref="F51:N51" si="9">F50</f>
        <v>0.41360546941445969</v>
      </c>
      <c r="G51" s="75">
        <f t="shared" si="9"/>
        <v>0.43323833343868118</v>
      </c>
      <c r="H51" s="75">
        <f t="shared" si="9"/>
        <v>0.43584345706622551</v>
      </c>
      <c r="I51" s="75">
        <f t="shared" si="9"/>
        <v>0.42413660664182834</v>
      </c>
      <c r="J51" s="75">
        <f t="shared" si="9"/>
        <v>0.47852995912680529</v>
      </c>
      <c r="K51" s="75">
        <f t="shared" si="9"/>
        <v>0.46820757288033754</v>
      </c>
      <c r="L51" s="75">
        <f t="shared" si="9"/>
        <v>0.44829056574644932</v>
      </c>
      <c r="M51" s="75">
        <f t="shared" si="9"/>
        <v>0.47769726356401709</v>
      </c>
      <c r="N51" s="75">
        <f t="shared" si="9"/>
        <v>0.41394375681858342</v>
      </c>
      <c r="O51" s="75">
        <f>O50*1.015</f>
        <v>0.42676445695043058</v>
      </c>
      <c r="P51" s="75">
        <f>P50</f>
        <v>0.41490581560990414</v>
      </c>
      <c r="Q51" s="76">
        <f>AVERAGE(E51:P51)</f>
        <v>0.43686224828601095</v>
      </c>
      <c r="R51" s="4" t="s">
        <v>666</v>
      </c>
    </row>
    <row r="52" spans="2:23" ht="13" x14ac:dyDescent="0.3">
      <c r="B52" s="73" t="s">
        <v>501</v>
      </c>
      <c r="C52" s="22"/>
      <c r="D52" s="74" t="s">
        <v>107</v>
      </c>
      <c r="E52" s="75">
        <v>0.37629213687390101</v>
      </c>
      <c r="F52" s="75">
        <v>0.33990385290702352</v>
      </c>
      <c r="G52" s="75">
        <v>0.36353195836771696</v>
      </c>
      <c r="H52" s="75">
        <v>0.40058123904603016</v>
      </c>
      <c r="I52" s="75">
        <v>0.44237575396353462</v>
      </c>
      <c r="J52" s="75">
        <v>0.5429840614287641</v>
      </c>
      <c r="K52" s="75">
        <v>0.56278255140392019</v>
      </c>
      <c r="L52" s="75">
        <v>0.55663874739975705</v>
      </c>
      <c r="M52" s="75">
        <v>0.55775306194313512</v>
      </c>
      <c r="N52" s="75">
        <v>0.46120382598588888</v>
      </c>
      <c r="O52" s="773">
        <v>0.46187025829341849</v>
      </c>
      <c r="P52" s="75">
        <v>0.41508207785914542</v>
      </c>
      <c r="Q52" s="809">
        <f>AVERAGE(E52:P52)</f>
        <v>0.45674996045601968</v>
      </c>
    </row>
    <row r="53" spans="2:23" ht="13" x14ac:dyDescent="0.3">
      <c r="B53" s="73"/>
      <c r="C53" s="22"/>
      <c r="D53" s="74"/>
      <c r="E53" s="75">
        <f>E52</f>
        <v>0.37629213687390101</v>
      </c>
      <c r="F53" s="75">
        <f t="shared" ref="F53:N53" si="10">F52</f>
        <v>0.33990385290702352</v>
      </c>
      <c r="G53" s="75">
        <f t="shared" si="10"/>
        <v>0.36353195836771696</v>
      </c>
      <c r="H53" s="75">
        <f t="shared" si="10"/>
        <v>0.40058123904603016</v>
      </c>
      <c r="I53" s="75">
        <f t="shared" si="10"/>
        <v>0.44237575396353462</v>
      </c>
      <c r="J53" s="75">
        <f t="shared" si="10"/>
        <v>0.5429840614287641</v>
      </c>
      <c r="K53" s="75">
        <f t="shared" si="10"/>
        <v>0.56278255140392019</v>
      </c>
      <c r="L53" s="75">
        <f t="shared" si="10"/>
        <v>0.55663874739975705</v>
      </c>
      <c r="M53" s="75">
        <f t="shared" si="10"/>
        <v>0.55775306194313512</v>
      </c>
      <c r="N53" s="75">
        <f t="shared" si="10"/>
        <v>0.46120382598588888</v>
      </c>
      <c r="O53" s="75">
        <f>O52*1.015</f>
        <v>0.4687983121678197</v>
      </c>
      <c r="P53" s="75">
        <f>P52</f>
        <v>0.41508207785914542</v>
      </c>
      <c r="Q53" s="809">
        <f>AVERAGE(E53:P53)</f>
        <v>0.45732729827888646</v>
      </c>
      <c r="R53" s="4" t="s">
        <v>668</v>
      </c>
    </row>
    <row r="54" spans="2:23" ht="13" x14ac:dyDescent="0.3">
      <c r="B54" s="78" t="s">
        <v>502</v>
      </c>
      <c r="C54" s="79"/>
      <c r="D54" s="80" t="s">
        <v>107</v>
      </c>
      <c r="E54" s="81" t="s">
        <v>243</v>
      </c>
      <c r="F54" s="81" t="s">
        <v>243</v>
      </c>
      <c r="G54" s="81" t="s">
        <v>243</v>
      </c>
      <c r="H54" s="81" t="s">
        <v>243</v>
      </c>
      <c r="I54" s="81" t="s">
        <v>243</v>
      </c>
      <c r="J54" s="81" t="s">
        <v>243</v>
      </c>
      <c r="K54" s="82" t="s">
        <v>243</v>
      </c>
      <c r="L54" s="82" t="s">
        <v>243</v>
      </c>
      <c r="M54" s="82" t="s">
        <v>243</v>
      </c>
      <c r="N54" s="82" t="s">
        <v>243</v>
      </c>
      <c r="O54" s="82" t="s">
        <v>243</v>
      </c>
      <c r="P54" s="82" t="s">
        <v>243</v>
      </c>
      <c r="Q54" s="83" t="str">
        <f>IFERROR(AVERAGE(E54:P54),"-")</f>
        <v>-</v>
      </c>
    </row>
    <row r="55" spans="2:23" ht="13" x14ac:dyDescent="0.3">
      <c r="B55" s="239" t="s">
        <v>665</v>
      </c>
      <c r="C55" s="46"/>
      <c r="D55" s="84"/>
      <c r="E55" s="84"/>
      <c r="F55" s="84"/>
      <c r="G55" s="84"/>
      <c r="H55" s="84"/>
      <c r="I55" s="84"/>
      <c r="J55" s="84"/>
      <c r="K55" s="85"/>
      <c r="L55" s="85"/>
      <c r="M55" s="85"/>
      <c r="N55" s="85"/>
      <c r="O55" s="85"/>
      <c r="P55" s="85"/>
      <c r="Q55" s="85"/>
      <c r="R55" s="85"/>
      <c r="S55" s="85"/>
      <c r="T55" s="85"/>
      <c r="U55" s="85"/>
      <c r="V55" s="85"/>
      <c r="W55" s="86"/>
    </row>
    <row r="56" spans="2:23" ht="13" x14ac:dyDescent="0.3">
      <c r="B56" s="239" t="s">
        <v>664</v>
      </c>
      <c r="K56" s="65"/>
      <c r="L56" s="65"/>
      <c r="M56" s="65"/>
    </row>
    <row r="57" spans="2:23" ht="13" x14ac:dyDescent="0.3">
      <c r="B57" s="239"/>
      <c r="K57" s="65"/>
      <c r="L57" s="65"/>
      <c r="M57" s="65"/>
    </row>
    <row r="58" spans="2:23" ht="13" x14ac:dyDescent="0.3">
      <c r="B58" s="239"/>
      <c r="K58" s="65"/>
      <c r="L58" s="65"/>
      <c r="M58" s="65"/>
    </row>
    <row r="59" spans="2:23" ht="13" x14ac:dyDescent="0.3">
      <c r="B59" s="87" t="s">
        <v>503</v>
      </c>
      <c r="M59" s="88"/>
      <c r="N59" s="88"/>
      <c r="U59" s="44"/>
      <c r="W59" s="46"/>
    </row>
    <row r="60" spans="2:23" ht="50.9" customHeight="1" x14ac:dyDescent="0.3">
      <c r="B60" s="87"/>
      <c r="E60" s="89" t="s">
        <v>504</v>
      </c>
      <c r="F60" s="90" t="s">
        <v>505</v>
      </c>
      <c r="G60" s="90" t="s">
        <v>560</v>
      </c>
      <c r="M60" s="44"/>
      <c r="O60" s="91"/>
      <c r="Q60" s="46"/>
    </row>
    <row r="61" spans="2:23" ht="14.25" customHeight="1" x14ac:dyDescent="0.4">
      <c r="B61" s="92" t="s">
        <v>506</v>
      </c>
      <c r="C61" s="93" t="s">
        <v>507</v>
      </c>
      <c r="D61" s="94" t="s">
        <v>508</v>
      </c>
      <c r="E61" s="622">
        <v>4446.79</v>
      </c>
      <c r="F61" s="623">
        <v>4351.42</v>
      </c>
      <c r="G61" s="610"/>
      <c r="H61" s="49"/>
      <c r="M61" s="44"/>
      <c r="Q61" s="46"/>
    </row>
    <row r="62" spans="2:23" ht="12.75" customHeight="1" x14ac:dyDescent="0.3">
      <c r="B62" s="78"/>
      <c r="C62" s="95"/>
      <c r="D62" s="80" t="s">
        <v>261</v>
      </c>
      <c r="E62" s="96">
        <f>E61*4.18*1000/1000000</f>
        <v>18.587582199999996</v>
      </c>
      <c r="F62" s="96">
        <f>F61*4.18*1000/1000000</f>
        <v>18.188935600000001</v>
      </c>
      <c r="G62" s="611">
        <f>AVERAGE(E62:F62)</f>
        <v>18.388258899999997</v>
      </c>
      <c r="H62" s="49"/>
      <c r="I62" s="49"/>
      <c r="J62" s="49"/>
      <c r="Q62" s="46"/>
    </row>
    <row r="63" spans="2:23" ht="14.25" customHeight="1" x14ac:dyDescent="0.4">
      <c r="B63" s="92" t="s">
        <v>509</v>
      </c>
      <c r="C63" s="93" t="s">
        <v>510</v>
      </c>
      <c r="D63" s="94" t="s">
        <v>508</v>
      </c>
      <c r="E63" s="622">
        <v>4309.68</v>
      </c>
      <c r="F63" s="623">
        <v>3723</v>
      </c>
      <c r="G63" s="610">
        <f t="shared" ref="G63:G64" si="11">AVERAGE(E63:F63)</f>
        <v>4016.34</v>
      </c>
      <c r="I63" s="49"/>
      <c r="J63" s="49"/>
      <c r="M63" s="44"/>
      <c r="Q63" s="46"/>
    </row>
    <row r="64" spans="2:23" ht="12.75" customHeight="1" x14ac:dyDescent="0.3">
      <c r="B64" s="78"/>
      <c r="C64" s="95"/>
      <c r="D64" s="80" t="s">
        <v>261</v>
      </c>
      <c r="E64" s="96">
        <f>E63*4.18*1000/1000000</f>
        <v>18.014462399999999</v>
      </c>
      <c r="F64" s="96">
        <f>F63*4.18*1000/1000000</f>
        <v>15.562139999999999</v>
      </c>
      <c r="G64" s="611">
        <f t="shared" si="11"/>
        <v>16.788301199999999</v>
      </c>
      <c r="H64" s="49"/>
      <c r="I64" s="49"/>
      <c r="J64" s="49"/>
      <c r="M64" s="44"/>
      <c r="Q64" s="46"/>
    </row>
    <row r="65" spans="2:20" ht="14.25" customHeight="1" x14ac:dyDescent="0.4">
      <c r="B65" s="73" t="s">
        <v>511</v>
      </c>
      <c r="C65" s="97" t="s">
        <v>512</v>
      </c>
      <c r="D65" s="74" t="s">
        <v>508</v>
      </c>
      <c r="E65" s="98" t="s">
        <v>243</v>
      </c>
      <c r="F65" s="21" t="s">
        <v>243</v>
      </c>
      <c r="G65" s="34"/>
      <c r="I65" s="49"/>
      <c r="J65" s="49"/>
      <c r="M65" s="44"/>
      <c r="Q65" s="46"/>
    </row>
    <row r="66" spans="2:20" ht="13" x14ac:dyDescent="0.3">
      <c r="B66" s="78"/>
      <c r="C66" s="95"/>
      <c r="D66" s="80" t="s">
        <v>261</v>
      </c>
      <c r="E66" s="96">
        <f>+IFERROR(E65*4.18*1000/1000000,0)</f>
        <v>0</v>
      </c>
      <c r="F66" s="96">
        <f>+IFERROR(F65*4.18*1000/1000000,0)</f>
        <v>0</v>
      </c>
      <c r="G66" s="611"/>
      <c r="M66" s="44"/>
      <c r="Q66" s="46"/>
    </row>
    <row r="68" spans="2:20" ht="13" x14ac:dyDescent="0.3">
      <c r="B68" s="9" t="s">
        <v>513</v>
      </c>
      <c r="C68" s="9"/>
      <c r="D68" s="10"/>
      <c r="E68" s="10"/>
      <c r="F68" s="10"/>
      <c r="H68" s="10"/>
      <c r="I68" s="10"/>
      <c r="J68" s="10"/>
      <c r="K68" s="99"/>
    </row>
    <row r="70" spans="2:20" ht="13" x14ac:dyDescent="0.3">
      <c r="B70" s="100"/>
      <c r="C70" s="93"/>
      <c r="D70" s="101"/>
      <c r="E70" s="14" t="s">
        <v>458</v>
      </c>
      <c r="F70" s="14" t="s">
        <v>459</v>
      </c>
      <c r="G70" s="14" t="s">
        <v>460</v>
      </c>
      <c r="H70" s="14" t="s">
        <v>461</v>
      </c>
      <c r="I70" s="14" t="s">
        <v>462</v>
      </c>
      <c r="J70" s="14" t="s">
        <v>463</v>
      </c>
      <c r="K70" s="14" t="s">
        <v>464</v>
      </c>
      <c r="L70" s="14" t="s">
        <v>465</v>
      </c>
      <c r="M70" s="14" t="s">
        <v>466</v>
      </c>
      <c r="N70" s="14" t="s">
        <v>467</v>
      </c>
      <c r="O70" s="14" t="s">
        <v>468</v>
      </c>
      <c r="P70" s="15" t="s">
        <v>469</v>
      </c>
      <c r="Q70" s="102" t="s">
        <v>379</v>
      </c>
    </row>
    <row r="71" spans="2:20" ht="15" x14ac:dyDescent="0.3">
      <c r="B71" s="92" t="s">
        <v>514</v>
      </c>
      <c r="C71" s="18" t="s">
        <v>421</v>
      </c>
      <c r="D71" s="94" t="s">
        <v>683</v>
      </c>
      <c r="E71" s="626">
        <f>E36+E35</f>
        <v>25629.188000000002</v>
      </c>
      <c r="F71" s="626">
        <f t="shared" ref="F71:P71" si="12">F36+F35</f>
        <v>20601.883000000002</v>
      </c>
      <c r="G71" s="626">
        <f t="shared" si="12"/>
        <v>33647.997000000003</v>
      </c>
      <c r="H71" s="626">
        <f t="shared" si="12"/>
        <v>24697.781000000003</v>
      </c>
      <c r="I71" s="626">
        <f t="shared" si="12"/>
        <v>37483.249000000003</v>
      </c>
      <c r="J71" s="626">
        <f t="shared" si="12"/>
        <v>38502.652999999998</v>
      </c>
      <c r="K71" s="626">
        <f t="shared" si="12"/>
        <v>37507.317999999999</v>
      </c>
      <c r="L71" s="626">
        <f t="shared" si="12"/>
        <v>31204</v>
      </c>
      <c r="M71" s="626">
        <f t="shared" si="12"/>
        <v>32617.824000000001</v>
      </c>
      <c r="N71" s="626">
        <f t="shared" si="12"/>
        <v>33682.566000000006</v>
      </c>
      <c r="O71" s="626">
        <f t="shared" si="12"/>
        <v>20319.71</v>
      </c>
      <c r="P71" s="626">
        <f t="shared" si="12"/>
        <v>20941.349999999999</v>
      </c>
      <c r="Q71" s="38">
        <f>SUM(E71:P71)</f>
        <v>356835.51899999997</v>
      </c>
    </row>
    <row r="72" spans="2:20" ht="13" x14ac:dyDescent="0.3">
      <c r="B72" s="73" t="s">
        <v>515</v>
      </c>
      <c r="C72" s="23" t="s">
        <v>516</v>
      </c>
      <c r="D72" s="74" t="s">
        <v>685</v>
      </c>
      <c r="E72" s="104"/>
      <c r="F72" s="104"/>
      <c r="G72" s="104"/>
      <c r="H72" s="104"/>
      <c r="I72" s="104"/>
      <c r="J72" s="104"/>
      <c r="L72" s="57"/>
      <c r="M72" s="57"/>
      <c r="N72" s="57"/>
      <c r="O72" s="57"/>
      <c r="P72" s="105"/>
      <c r="Q72" s="21"/>
    </row>
    <row r="73" spans="2:20" ht="15" x14ac:dyDescent="0.4">
      <c r="B73" s="106" t="s">
        <v>517</v>
      </c>
      <c r="C73" s="27" t="s">
        <v>518</v>
      </c>
      <c r="D73" s="80" t="s">
        <v>519</v>
      </c>
      <c r="E73" s="107">
        <v>129</v>
      </c>
      <c r="F73" s="107">
        <v>129</v>
      </c>
      <c r="G73" s="107">
        <v>129</v>
      </c>
      <c r="H73" s="107">
        <v>129</v>
      </c>
      <c r="I73" s="107">
        <v>129</v>
      </c>
      <c r="J73" s="107">
        <v>129</v>
      </c>
      <c r="K73" s="107">
        <v>129</v>
      </c>
      <c r="L73" s="107">
        <v>129</v>
      </c>
      <c r="M73" s="107">
        <v>129</v>
      </c>
      <c r="N73" s="107">
        <v>129</v>
      </c>
      <c r="O73" s="107">
        <v>129</v>
      </c>
      <c r="P73" s="108">
        <v>129</v>
      </c>
      <c r="Q73" s="40">
        <v>129</v>
      </c>
    </row>
    <row r="75" spans="2:20" ht="13" x14ac:dyDescent="0.3">
      <c r="T75" s="46"/>
    </row>
    <row r="76" spans="2:20" ht="13" x14ac:dyDescent="0.3">
      <c r="B76" s="9" t="s">
        <v>520</v>
      </c>
      <c r="C76" s="9"/>
      <c r="D76" s="10"/>
      <c r="E76" s="10"/>
      <c r="F76" s="10"/>
      <c r="G76" s="10"/>
      <c r="H76" s="10"/>
      <c r="I76" s="10"/>
      <c r="J76" s="10"/>
      <c r="T76" s="46"/>
    </row>
    <row r="77" spans="2:20" ht="13" x14ac:dyDescent="0.3">
      <c r="T77" s="46"/>
    </row>
    <row r="78" spans="2:20" ht="13" x14ac:dyDescent="0.3">
      <c r="B78" s="46" t="s">
        <v>521</v>
      </c>
      <c r="T78" s="46"/>
    </row>
    <row r="79" spans="2:20" ht="13" x14ac:dyDescent="0.3">
      <c r="B79" s="11"/>
      <c r="C79" s="109"/>
      <c r="D79" s="110"/>
      <c r="E79" s="14" t="s">
        <v>522</v>
      </c>
      <c r="F79" s="14" t="s">
        <v>459</v>
      </c>
      <c r="G79" s="14" t="s">
        <v>460</v>
      </c>
      <c r="H79" s="14" t="s">
        <v>523</v>
      </c>
      <c r="I79" s="14" t="s">
        <v>462</v>
      </c>
      <c r="J79" s="14" t="s">
        <v>463</v>
      </c>
      <c r="K79" s="14" t="s">
        <v>464</v>
      </c>
      <c r="L79" s="14" t="s">
        <v>465</v>
      </c>
      <c r="M79" s="14" t="s">
        <v>466</v>
      </c>
      <c r="N79" s="14" t="s">
        <v>467</v>
      </c>
      <c r="O79" s="14" t="s">
        <v>468</v>
      </c>
      <c r="P79" s="15" t="s">
        <v>469</v>
      </c>
      <c r="Q79" s="111" t="s">
        <v>379</v>
      </c>
    </row>
    <row r="80" spans="2:20" ht="17" x14ac:dyDescent="0.45">
      <c r="B80" s="100" t="s">
        <v>26</v>
      </c>
      <c r="C80" s="112" t="s">
        <v>524</v>
      </c>
      <c r="D80" s="113" t="s">
        <v>525</v>
      </c>
      <c r="E80" s="625">
        <v>9732.0383751010813</v>
      </c>
      <c r="F80" s="626">
        <v>225.4266969545863</v>
      </c>
      <c r="G80" s="626">
        <v>0</v>
      </c>
      <c r="H80" s="626">
        <v>0</v>
      </c>
      <c r="I80" s="626">
        <v>0</v>
      </c>
      <c r="J80" s="626">
        <v>0</v>
      </c>
      <c r="K80" s="626">
        <v>0</v>
      </c>
      <c r="L80" s="627">
        <v>29350.000000000004</v>
      </c>
      <c r="M80" s="626">
        <v>3836.6090427658855</v>
      </c>
      <c r="N80" s="626">
        <v>1502.7178792485356</v>
      </c>
      <c r="O80" s="626">
        <v>42420.275841314011</v>
      </c>
      <c r="P80" s="628">
        <v>0</v>
      </c>
      <c r="Q80" s="114">
        <f>SUM(E80:P80)</f>
        <v>87067.067835384107</v>
      </c>
    </row>
    <row r="81" spans="2:23" ht="17" x14ac:dyDescent="0.45">
      <c r="B81" s="115" t="s">
        <v>310</v>
      </c>
      <c r="C81" s="53" t="s">
        <v>524</v>
      </c>
      <c r="D81" s="113" t="s">
        <v>486</v>
      </c>
      <c r="E81" s="629">
        <v>0</v>
      </c>
      <c r="F81" s="624">
        <v>0</v>
      </c>
      <c r="G81" s="624">
        <v>0</v>
      </c>
      <c r="H81" s="624">
        <v>0</v>
      </c>
      <c r="I81" s="624">
        <v>0</v>
      </c>
      <c r="J81" s="624">
        <v>0</v>
      </c>
      <c r="K81" s="624">
        <v>0</v>
      </c>
      <c r="L81" s="624">
        <v>0</v>
      </c>
      <c r="M81" s="624">
        <v>0</v>
      </c>
      <c r="N81" s="624">
        <v>0</v>
      </c>
      <c r="O81" s="624">
        <v>0</v>
      </c>
      <c r="P81" s="630">
        <v>0</v>
      </c>
      <c r="Q81" s="116">
        <f>SUM(E81:P81)</f>
        <v>0</v>
      </c>
    </row>
    <row r="82" spans="2:23" ht="17" x14ac:dyDescent="0.45">
      <c r="B82" s="117" t="s">
        <v>526</v>
      </c>
      <c r="C82" s="55" t="s">
        <v>524</v>
      </c>
      <c r="D82" s="118" t="s">
        <v>525</v>
      </c>
      <c r="E82" s="119">
        <f>+E80/625</f>
        <v>15.571261400161729</v>
      </c>
      <c r="F82" s="119">
        <f t="shared" ref="F82:P82" si="13">+F80/625</f>
        <v>0.36068271512733807</v>
      </c>
      <c r="G82" s="119">
        <f t="shared" si="13"/>
        <v>0</v>
      </c>
      <c r="H82" s="119">
        <f t="shared" si="13"/>
        <v>0</v>
      </c>
      <c r="I82" s="119">
        <f t="shared" si="13"/>
        <v>0</v>
      </c>
      <c r="J82" s="119">
        <f t="shared" si="13"/>
        <v>0</v>
      </c>
      <c r="K82" s="119">
        <f t="shared" si="13"/>
        <v>0</v>
      </c>
      <c r="L82" s="119">
        <f t="shared" si="13"/>
        <v>46.960000000000008</v>
      </c>
      <c r="M82" s="119">
        <f t="shared" si="13"/>
        <v>6.1385744684254169</v>
      </c>
      <c r="N82" s="119">
        <f t="shared" si="13"/>
        <v>2.4043486067976572</v>
      </c>
      <c r="O82" s="119">
        <f t="shared" si="13"/>
        <v>67.87244134610242</v>
      </c>
      <c r="P82" s="119">
        <f t="shared" si="13"/>
        <v>0</v>
      </c>
      <c r="Q82" s="122">
        <f>SUM(E82:P82)</f>
        <v>139.30730853661458</v>
      </c>
    </row>
    <row r="83" spans="2:23" ht="13" x14ac:dyDescent="0.3">
      <c r="T83" s="46"/>
    </row>
    <row r="84" spans="2:23" ht="13" hidden="1" x14ac:dyDescent="0.3">
      <c r="T84" s="46"/>
    </row>
    <row r="85" spans="2:23" ht="13" hidden="1" x14ac:dyDescent="0.3">
      <c r="B85" s="46" t="s">
        <v>527</v>
      </c>
      <c r="T85" s="46"/>
    </row>
    <row r="86" spans="2:23" ht="13" hidden="1" x14ac:dyDescent="0.3">
      <c r="B86" s="11"/>
      <c r="C86" s="123"/>
      <c r="D86" s="93"/>
      <c r="E86" s="93"/>
      <c r="F86" s="93"/>
      <c r="G86" s="93"/>
      <c r="H86" s="93"/>
      <c r="I86" s="93"/>
      <c r="J86" s="93"/>
      <c r="K86" s="30" t="s">
        <v>458</v>
      </c>
      <c r="L86" s="30" t="s">
        <v>459</v>
      </c>
      <c r="M86" s="30" t="s">
        <v>460</v>
      </c>
      <c r="N86" s="30" t="s">
        <v>461</v>
      </c>
      <c r="O86" s="30" t="s">
        <v>462</v>
      </c>
      <c r="P86" s="30" t="s">
        <v>463</v>
      </c>
      <c r="Q86" s="30" t="s">
        <v>464</v>
      </c>
      <c r="R86" s="30" t="s">
        <v>528</v>
      </c>
      <c r="S86" s="30" t="s">
        <v>466</v>
      </c>
      <c r="T86" s="30" t="s">
        <v>467</v>
      </c>
      <c r="U86" s="30" t="s">
        <v>468</v>
      </c>
      <c r="V86" s="30" t="s">
        <v>529</v>
      </c>
      <c r="W86" s="111" t="s">
        <v>379</v>
      </c>
    </row>
    <row r="87" spans="2:23" ht="17" hidden="1" x14ac:dyDescent="0.45">
      <c r="B87" s="100" t="s">
        <v>26</v>
      </c>
      <c r="C87" s="45"/>
      <c r="D87" s="112" t="s">
        <v>530</v>
      </c>
      <c r="E87" s="112"/>
      <c r="F87" s="112"/>
      <c r="G87" s="112"/>
      <c r="H87" s="112"/>
      <c r="I87" s="112"/>
      <c r="J87" s="112"/>
      <c r="K87" s="38"/>
      <c r="L87" s="38"/>
      <c r="M87" s="38"/>
      <c r="N87" s="38"/>
      <c r="O87" s="38"/>
      <c r="P87" s="38"/>
      <c r="Q87" s="38"/>
      <c r="R87" s="38"/>
      <c r="S87" s="38"/>
      <c r="T87" s="38"/>
      <c r="U87" s="38"/>
      <c r="V87" s="38"/>
      <c r="W87" s="114"/>
    </row>
    <row r="88" spans="2:23" ht="17" hidden="1" x14ac:dyDescent="0.45">
      <c r="B88" s="115" t="s">
        <v>310</v>
      </c>
      <c r="C88" s="46"/>
      <c r="D88" s="53" t="s">
        <v>530</v>
      </c>
      <c r="E88" s="53"/>
      <c r="F88" s="53"/>
      <c r="G88" s="53"/>
      <c r="H88" s="53"/>
      <c r="I88" s="53"/>
      <c r="J88" s="53"/>
      <c r="K88" s="21"/>
      <c r="L88" s="21"/>
      <c r="M88" s="21"/>
      <c r="N88" s="21"/>
      <c r="O88" s="21"/>
      <c r="P88" s="21"/>
      <c r="Q88" s="21"/>
      <c r="R88" s="21"/>
      <c r="S88" s="21"/>
      <c r="T88" s="21"/>
      <c r="U88" s="21"/>
      <c r="V88" s="21"/>
      <c r="W88" s="116"/>
    </row>
    <row r="89" spans="2:23" ht="17" hidden="1" x14ac:dyDescent="0.45">
      <c r="B89" s="117" t="s">
        <v>531</v>
      </c>
      <c r="C89" s="124"/>
      <c r="D89" s="55" t="s">
        <v>530</v>
      </c>
      <c r="E89" s="55"/>
      <c r="F89" s="55"/>
      <c r="G89" s="55"/>
      <c r="H89" s="55"/>
      <c r="I89" s="55"/>
      <c r="J89" s="55"/>
      <c r="K89" s="41"/>
      <c r="L89" s="41"/>
      <c r="M89" s="41"/>
      <c r="N89" s="41"/>
      <c r="O89" s="41"/>
      <c r="P89" s="41"/>
      <c r="Q89" s="41"/>
      <c r="R89" s="41"/>
      <c r="S89" s="41"/>
      <c r="T89" s="41"/>
      <c r="U89" s="41"/>
      <c r="V89" s="41"/>
      <c r="W89" s="122"/>
    </row>
    <row r="90" spans="2:23" ht="13" hidden="1" x14ac:dyDescent="0.3">
      <c r="T90" s="46"/>
    </row>
    <row r="91" spans="2:23" ht="13" hidden="1" x14ac:dyDescent="0.3">
      <c r="T91" s="46"/>
    </row>
    <row r="92" spans="2:23" ht="13" hidden="1" x14ac:dyDescent="0.3">
      <c r="B92" s="46" t="s">
        <v>532</v>
      </c>
      <c r="T92" s="46"/>
    </row>
    <row r="93" spans="2:23" ht="13" hidden="1" x14ac:dyDescent="0.3">
      <c r="B93" s="11"/>
      <c r="C93" s="123"/>
      <c r="D93" s="93"/>
      <c r="E93" s="93"/>
      <c r="F93" s="93"/>
      <c r="G93" s="93"/>
      <c r="H93" s="93"/>
      <c r="I93" s="93"/>
      <c r="J93" s="93"/>
      <c r="K93" s="30" t="s">
        <v>458</v>
      </c>
      <c r="L93" s="30" t="s">
        <v>459</v>
      </c>
      <c r="M93" s="30" t="s">
        <v>460</v>
      </c>
      <c r="N93" s="30" t="s">
        <v>461</v>
      </c>
      <c r="O93" s="30" t="s">
        <v>462</v>
      </c>
      <c r="P93" s="30" t="s">
        <v>463</v>
      </c>
      <c r="Q93" s="30" t="s">
        <v>464</v>
      </c>
      <c r="R93" s="30" t="s">
        <v>528</v>
      </c>
      <c r="S93" s="30" t="s">
        <v>466</v>
      </c>
      <c r="T93" s="30" t="s">
        <v>467</v>
      </c>
      <c r="U93" s="30" t="s">
        <v>468</v>
      </c>
      <c r="V93" s="30" t="s">
        <v>529</v>
      </c>
      <c r="W93" s="16" t="s">
        <v>379</v>
      </c>
    </row>
    <row r="94" spans="2:23" ht="17" hidden="1" x14ac:dyDescent="0.45">
      <c r="B94" s="100" t="s">
        <v>26</v>
      </c>
      <c r="C94" s="45"/>
      <c r="D94" s="112" t="s">
        <v>533</v>
      </c>
      <c r="E94" s="112"/>
      <c r="F94" s="112"/>
      <c r="G94" s="112"/>
      <c r="H94" s="112"/>
      <c r="I94" s="112"/>
      <c r="J94" s="112"/>
      <c r="K94" s="125"/>
      <c r="L94" s="126"/>
      <c r="M94" s="125"/>
      <c r="N94" s="126"/>
      <c r="O94" s="125"/>
      <c r="P94" s="126"/>
      <c r="Q94" s="125"/>
      <c r="R94" s="126"/>
      <c r="S94" s="125"/>
      <c r="T94" s="126"/>
      <c r="U94" s="125"/>
      <c r="V94" s="127"/>
      <c r="W94" s="114">
        <v>0</v>
      </c>
    </row>
    <row r="95" spans="2:23" ht="17" hidden="1" x14ac:dyDescent="0.45">
      <c r="B95" s="115" t="s">
        <v>310</v>
      </c>
      <c r="C95" s="46"/>
      <c r="D95" s="53" t="s">
        <v>533</v>
      </c>
      <c r="E95" s="53"/>
      <c r="F95" s="53"/>
      <c r="G95" s="53"/>
      <c r="H95" s="53"/>
      <c r="I95" s="53"/>
      <c r="J95" s="53"/>
      <c r="K95" s="128"/>
      <c r="L95" s="126"/>
      <c r="M95" s="128"/>
      <c r="N95" s="126"/>
      <c r="O95" s="128"/>
      <c r="P95" s="126"/>
      <c r="Q95" s="128"/>
      <c r="R95" s="126"/>
      <c r="S95" s="128"/>
      <c r="T95" s="126"/>
      <c r="U95" s="128"/>
      <c r="V95" s="127"/>
      <c r="W95" s="116">
        <v>0</v>
      </c>
    </row>
    <row r="96" spans="2:23" ht="17" hidden="1" x14ac:dyDescent="0.45">
      <c r="B96" s="117" t="s">
        <v>531</v>
      </c>
      <c r="C96" s="124"/>
      <c r="D96" s="55" t="s">
        <v>534</v>
      </c>
      <c r="E96" s="55"/>
      <c r="F96" s="55"/>
      <c r="G96" s="55"/>
      <c r="H96" s="55"/>
      <c r="I96" s="55"/>
      <c r="J96" s="55"/>
      <c r="K96" s="129"/>
      <c r="L96" s="130"/>
      <c r="M96" s="129"/>
      <c r="N96" s="130"/>
      <c r="O96" s="129"/>
      <c r="P96" s="130"/>
      <c r="Q96" s="129"/>
      <c r="R96" s="130"/>
      <c r="S96" s="129"/>
      <c r="T96" s="130"/>
      <c r="U96" s="129"/>
      <c r="V96" s="131"/>
      <c r="W96" s="122">
        <v>0</v>
      </c>
    </row>
    <row r="97" spans="2:23" hidden="1" x14ac:dyDescent="0.25"/>
    <row r="98" spans="2:23" ht="13" hidden="1" x14ac:dyDescent="0.3">
      <c r="B98" s="46" t="s">
        <v>535</v>
      </c>
    </row>
    <row r="99" spans="2:23" ht="13" hidden="1" x14ac:dyDescent="0.3">
      <c r="B99" s="132"/>
      <c r="C99" s="123"/>
      <c r="D99" s="93"/>
      <c r="E99" s="93"/>
      <c r="F99" s="93"/>
      <c r="G99" s="93"/>
      <c r="H99" s="93"/>
      <c r="I99" s="93"/>
      <c r="J99" s="93"/>
      <c r="K99" s="16" t="s">
        <v>536</v>
      </c>
      <c r="L99" s="17"/>
      <c r="M99" s="16" t="s">
        <v>537</v>
      </c>
    </row>
    <row r="100" spans="2:23" ht="15" hidden="1" x14ac:dyDescent="0.4">
      <c r="B100" s="100" t="s">
        <v>26</v>
      </c>
      <c r="C100" s="45"/>
      <c r="D100" s="17" t="s">
        <v>538</v>
      </c>
      <c r="E100" s="17"/>
      <c r="F100" s="17"/>
      <c r="G100" s="17"/>
      <c r="H100" s="17"/>
      <c r="I100" s="17"/>
      <c r="J100" s="17"/>
      <c r="K100" s="133"/>
      <c r="L100" s="134" t="s">
        <v>308</v>
      </c>
      <c r="M100" s="133"/>
    </row>
    <row r="101" spans="2:23" ht="15" hidden="1" x14ac:dyDescent="0.4">
      <c r="B101" s="115" t="s">
        <v>310</v>
      </c>
      <c r="C101" s="46"/>
      <c r="D101" s="22" t="s">
        <v>539</v>
      </c>
      <c r="E101" s="22"/>
      <c r="F101" s="22"/>
      <c r="G101" s="22"/>
      <c r="H101" s="22"/>
      <c r="I101" s="22"/>
      <c r="J101" s="22"/>
      <c r="K101" s="135"/>
      <c r="L101" s="24" t="s">
        <v>308</v>
      </c>
      <c r="M101" s="136"/>
    </row>
    <row r="102" spans="2:23" ht="16.5" hidden="1" x14ac:dyDescent="0.4">
      <c r="B102" s="117" t="s">
        <v>540</v>
      </c>
      <c r="C102" s="124"/>
      <c r="D102" s="79" t="s">
        <v>541</v>
      </c>
      <c r="E102" s="79"/>
      <c r="F102" s="79"/>
      <c r="G102" s="79"/>
      <c r="H102" s="79"/>
      <c r="I102" s="79"/>
      <c r="J102" s="79"/>
      <c r="K102" s="137"/>
      <c r="L102" s="40" t="s">
        <v>542</v>
      </c>
      <c r="M102" s="138"/>
    </row>
    <row r="103" spans="2:23" hidden="1" x14ac:dyDescent="0.25"/>
    <row r="104" spans="2:23" ht="13" hidden="1" x14ac:dyDescent="0.3">
      <c r="B104" s="11" t="s">
        <v>543</v>
      </c>
      <c r="C104" s="123"/>
      <c r="D104" s="93"/>
      <c r="E104" s="93"/>
      <c r="F104" s="93"/>
      <c r="G104" s="93"/>
      <c r="H104" s="93"/>
      <c r="I104" s="93"/>
      <c r="J104" s="93"/>
      <c r="K104" s="16" t="s">
        <v>536</v>
      </c>
      <c r="L104" s="17"/>
      <c r="M104" s="16" t="s">
        <v>537</v>
      </c>
    </row>
    <row r="105" spans="2:23" ht="13" hidden="1" x14ac:dyDescent="0.3">
      <c r="B105" s="139" t="s">
        <v>26</v>
      </c>
      <c r="C105" s="140"/>
      <c r="D105" s="141"/>
      <c r="E105" s="141"/>
      <c r="F105" s="141"/>
      <c r="G105" s="141"/>
      <c r="H105" s="141"/>
      <c r="I105" s="141"/>
      <c r="J105" s="141"/>
      <c r="K105" s="142">
        <v>43.3</v>
      </c>
      <c r="L105" s="143" t="s">
        <v>308</v>
      </c>
      <c r="M105" s="142">
        <v>0.84</v>
      </c>
    </row>
    <row r="106" spans="2:23" ht="13" hidden="1" x14ac:dyDescent="0.3">
      <c r="B106" s="144" t="s">
        <v>310</v>
      </c>
      <c r="C106" s="145"/>
      <c r="D106" s="146"/>
      <c r="E106" s="146"/>
      <c r="F106" s="146"/>
      <c r="G106" s="146"/>
      <c r="H106" s="146"/>
      <c r="I106" s="146"/>
      <c r="J106" s="146"/>
      <c r="K106" s="147">
        <v>41.7</v>
      </c>
      <c r="L106" s="148" t="s">
        <v>308</v>
      </c>
      <c r="M106" s="147">
        <v>0.98</v>
      </c>
    </row>
    <row r="107" spans="2:23" ht="15.5" hidden="1" x14ac:dyDescent="0.3">
      <c r="B107" s="149" t="s">
        <v>544</v>
      </c>
      <c r="C107" s="150"/>
      <c r="D107" s="151"/>
      <c r="E107" s="151"/>
      <c r="F107" s="151"/>
      <c r="G107" s="151"/>
      <c r="H107" s="151"/>
      <c r="I107" s="151"/>
      <c r="J107" s="151"/>
      <c r="K107" s="152">
        <v>52.2</v>
      </c>
      <c r="L107" s="153" t="s">
        <v>542</v>
      </c>
      <c r="M107" s="152">
        <v>0.55000000000000004</v>
      </c>
    </row>
    <row r="108" spans="2:23" ht="13" hidden="1" x14ac:dyDescent="0.3">
      <c r="B108" s="87"/>
    </row>
    <row r="109" spans="2:23" ht="13" x14ac:dyDescent="0.3">
      <c r="B109" s="154" t="s">
        <v>545</v>
      </c>
      <c r="C109" s="155"/>
      <c r="D109" s="155"/>
      <c r="E109" s="155"/>
      <c r="F109" s="155"/>
      <c r="G109" s="155"/>
      <c r="H109" s="155"/>
      <c r="I109" s="155"/>
      <c r="J109" s="155"/>
      <c r="K109" s="155"/>
      <c r="L109" s="155"/>
      <c r="M109" s="155"/>
      <c r="N109" s="155"/>
      <c r="O109" s="155"/>
      <c r="P109" s="155"/>
      <c r="Q109" s="155"/>
      <c r="R109" s="155"/>
      <c r="S109" s="155"/>
      <c r="T109" s="154"/>
      <c r="U109" s="155"/>
      <c r="V109" s="155"/>
      <c r="W109" s="155"/>
    </row>
    <row r="110" spans="2:23" ht="13" x14ac:dyDescent="0.3">
      <c r="B110" s="156"/>
      <c r="C110" s="157"/>
      <c r="D110" s="158"/>
      <c r="E110" s="14" t="s">
        <v>458</v>
      </c>
      <c r="F110" s="14" t="s">
        <v>459</v>
      </c>
      <c r="G110" s="14" t="s">
        <v>460</v>
      </c>
      <c r="H110" s="14" t="s">
        <v>461</v>
      </c>
      <c r="I110" s="14" t="s">
        <v>462</v>
      </c>
      <c r="J110" s="14" t="s">
        <v>463</v>
      </c>
      <c r="K110" s="14" t="s">
        <v>464</v>
      </c>
      <c r="L110" s="14" t="s">
        <v>465</v>
      </c>
      <c r="M110" s="14" t="s">
        <v>466</v>
      </c>
      <c r="N110" s="14" t="s">
        <v>467</v>
      </c>
      <c r="O110" s="14" t="s">
        <v>468</v>
      </c>
      <c r="P110" s="15" t="s">
        <v>469</v>
      </c>
      <c r="Q110" s="159" t="s">
        <v>379</v>
      </c>
    </row>
    <row r="111" spans="2:23" ht="17" x14ac:dyDescent="0.45">
      <c r="B111" s="160" t="s">
        <v>26</v>
      </c>
      <c r="C111" s="161" t="s">
        <v>530</v>
      </c>
      <c r="D111" s="162" t="s">
        <v>525</v>
      </c>
      <c r="E111" s="631">
        <v>4882</v>
      </c>
      <c r="F111" s="627">
        <v>4233</v>
      </c>
      <c r="G111" s="627">
        <v>6528</v>
      </c>
      <c r="H111" s="627">
        <v>7085</v>
      </c>
      <c r="I111" s="627">
        <v>6985</v>
      </c>
      <c r="J111" s="627">
        <v>7105</v>
      </c>
      <c r="K111" s="627">
        <v>7735</v>
      </c>
      <c r="L111" s="627">
        <v>6652</v>
      </c>
      <c r="M111" s="627">
        <v>8000</v>
      </c>
      <c r="N111" s="627">
        <v>7609</v>
      </c>
      <c r="O111" s="627">
        <v>6674</v>
      </c>
      <c r="P111" s="632">
        <v>6140</v>
      </c>
      <c r="Q111" s="163">
        <f>SUM(E111:P111)</f>
        <v>79628</v>
      </c>
    </row>
    <row r="112" spans="2:23" ht="17" x14ac:dyDescent="0.45">
      <c r="B112" s="164" t="s">
        <v>310</v>
      </c>
      <c r="C112" s="165" t="s">
        <v>530</v>
      </c>
      <c r="D112" s="162" t="s">
        <v>486</v>
      </c>
      <c r="E112" s="633">
        <v>0</v>
      </c>
      <c r="F112" s="634">
        <v>0</v>
      </c>
      <c r="G112" s="634">
        <v>0</v>
      </c>
      <c r="H112" s="634">
        <v>0</v>
      </c>
      <c r="I112" s="634">
        <v>0</v>
      </c>
      <c r="J112" s="634">
        <v>0</v>
      </c>
      <c r="K112" s="634">
        <v>0</v>
      </c>
      <c r="L112" s="634">
        <v>0</v>
      </c>
      <c r="M112" s="634">
        <v>0</v>
      </c>
      <c r="N112" s="634">
        <v>0</v>
      </c>
      <c r="O112" s="634">
        <v>0</v>
      </c>
      <c r="P112" s="635">
        <v>0</v>
      </c>
      <c r="Q112" s="166">
        <f>SUM(E112:P112)</f>
        <v>0</v>
      </c>
    </row>
    <row r="113" spans="2:23" ht="17" x14ac:dyDescent="0.45">
      <c r="B113" s="167" t="s">
        <v>546</v>
      </c>
      <c r="C113" s="168" t="s">
        <v>530</v>
      </c>
      <c r="D113" s="169" t="s">
        <v>525</v>
      </c>
      <c r="E113" s="636">
        <v>0</v>
      </c>
      <c r="F113" s="637">
        <v>0</v>
      </c>
      <c r="G113" s="637">
        <v>0</v>
      </c>
      <c r="H113" s="637">
        <v>0</v>
      </c>
      <c r="I113" s="637">
        <v>0</v>
      </c>
      <c r="J113" s="637">
        <v>0</v>
      </c>
      <c r="K113" s="637">
        <v>0</v>
      </c>
      <c r="L113" s="637">
        <v>0</v>
      </c>
      <c r="M113" s="637">
        <v>0</v>
      </c>
      <c r="N113" s="637">
        <v>0</v>
      </c>
      <c r="O113" s="637">
        <v>0</v>
      </c>
      <c r="P113" s="638">
        <v>0</v>
      </c>
      <c r="Q113" s="170">
        <f>SUM(E113:P113)</f>
        <v>0</v>
      </c>
    </row>
    <row r="114" spans="2:23" ht="13" x14ac:dyDescent="0.3">
      <c r="B114" s="155"/>
      <c r="C114" s="155"/>
      <c r="D114" s="155"/>
      <c r="E114" s="155"/>
      <c r="F114" s="155"/>
      <c r="G114" s="155"/>
      <c r="H114" s="155"/>
      <c r="I114" s="155"/>
      <c r="J114" s="155"/>
      <c r="K114" s="155"/>
      <c r="L114" s="155"/>
      <c r="M114" s="155"/>
      <c r="N114" s="155"/>
      <c r="O114" s="155"/>
      <c r="P114" s="155"/>
      <c r="Q114" s="155"/>
      <c r="R114" s="155"/>
      <c r="S114" s="155"/>
      <c r="T114" s="154"/>
      <c r="U114" s="155"/>
      <c r="V114" s="155"/>
      <c r="W114" s="155"/>
    </row>
    <row r="115" spans="2:23" ht="13" x14ac:dyDescent="0.3">
      <c r="B115" s="171" t="s">
        <v>547</v>
      </c>
      <c r="C115" s="155"/>
      <c r="D115" s="155"/>
      <c r="E115" s="155"/>
      <c r="F115" s="155"/>
      <c r="G115" s="155"/>
      <c r="H115" s="155"/>
      <c r="I115" s="155"/>
      <c r="J115" s="155"/>
      <c r="K115" s="155"/>
      <c r="L115" s="155"/>
      <c r="M115" s="155"/>
      <c r="N115" s="155"/>
      <c r="O115" s="155"/>
      <c r="P115" s="155"/>
      <c r="Q115" s="155"/>
      <c r="R115" s="155"/>
      <c r="S115" s="155"/>
      <c r="T115" s="154"/>
      <c r="U115" s="155"/>
      <c r="V115" s="155"/>
      <c r="W115" s="155"/>
    </row>
    <row r="116" spans="2:23" ht="13" x14ac:dyDescent="0.3">
      <c r="B116" s="156" t="s">
        <v>548</v>
      </c>
      <c r="C116" s="172"/>
      <c r="D116" s="173"/>
      <c r="E116" s="174" t="s">
        <v>536</v>
      </c>
      <c r="F116" s="175"/>
      <c r="G116" s="174" t="s">
        <v>537</v>
      </c>
    </row>
    <row r="117" spans="2:23" ht="13" x14ac:dyDescent="0.3">
      <c r="B117" s="176" t="s">
        <v>26</v>
      </c>
      <c r="C117" s="177"/>
      <c r="D117" s="178" t="s">
        <v>549</v>
      </c>
      <c r="E117" s="179">
        <v>43.3</v>
      </c>
      <c r="F117" s="178" t="s">
        <v>308</v>
      </c>
      <c r="G117" s="179">
        <v>0.84</v>
      </c>
    </row>
    <row r="118" spans="2:23" ht="13" x14ac:dyDescent="0.3">
      <c r="B118" s="180" t="s">
        <v>310</v>
      </c>
      <c r="C118" s="181"/>
      <c r="D118" s="182" t="s">
        <v>549</v>
      </c>
      <c r="E118" s="183">
        <v>41.7</v>
      </c>
      <c r="F118" s="182" t="s">
        <v>308</v>
      </c>
      <c r="G118" s="183">
        <v>0.98</v>
      </c>
    </row>
    <row r="119" spans="2:23" ht="15.5" x14ac:dyDescent="0.3">
      <c r="B119" s="184" t="s">
        <v>544</v>
      </c>
      <c r="C119" s="185"/>
      <c r="D119" s="186" t="s">
        <v>549</v>
      </c>
      <c r="E119" s="187">
        <v>52.2</v>
      </c>
      <c r="F119" s="186" t="s">
        <v>542</v>
      </c>
      <c r="G119" s="187">
        <v>0.55000000000000004</v>
      </c>
    </row>
    <row r="120" spans="2:23" ht="13" x14ac:dyDescent="0.3">
      <c r="D120" s="46"/>
      <c r="E120" s="46"/>
      <c r="F120" s="46"/>
      <c r="G120" s="46"/>
      <c r="H120" s="46"/>
      <c r="I120" s="46"/>
      <c r="J120" s="46"/>
    </row>
    <row r="121" spans="2:23" ht="13" x14ac:dyDescent="0.3">
      <c r="B121" s="188" t="s">
        <v>550</v>
      </c>
      <c r="C121" s="155"/>
      <c r="D121" s="155"/>
      <c r="E121" s="155"/>
      <c r="F121" s="155"/>
      <c r="G121" s="155"/>
      <c r="H121" s="155"/>
      <c r="I121" s="155"/>
      <c r="J121" s="155"/>
      <c r="K121" s="155"/>
      <c r="L121" s="155"/>
      <c r="M121" s="155"/>
      <c r="N121" s="155"/>
      <c r="O121" s="155"/>
      <c r="P121" s="155"/>
      <c r="Q121" s="155"/>
      <c r="R121" s="155"/>
      <c r="S121" s="155"/>
      <c r="T121" s="154"/>
      <c r="U121" s="155"/>
      <c r="V121" s="155"/>
      <c r="W121" s="155"/>
    </row>
    <row r="122" spans="2:23" ht="13" x14ac:dyDescent="0.3">
      <c r="B122" s="156"/>
      <c r="C122" s="157"/>
      <c r="D122" s="158"/>
      <c r="E122" s="189" t="s">
        <v>458</v>
      </c>
      <c r="F122" s="189" t="s">
        <v>459</v>
      </c>
      <c r="G122" s="189" t="s">
        <v>460</v>
      </c>
      <c r="H122" s="189" t="s">
        <v>461</v>
      </c>
      <c r="I122" s="189" t="s">
        <v>462</v>
      </c>
      <c r="J122" s="189" t="s">
        <v>463</v>
      </c>
      <c r="K122" s="189" t="s">
        <v>464</v>
      </c>
      <c r="L122" s="189" t="s">
        <v>465</v>
      </c>
      <c r="M122" s="189" t="s">
        <v>466</v>
      </c>
      <c r="N122" s="189" t="s">
        <v>467</v>
      </c>
      <c r="O122" s="189" t="s">
        <v>468</v>
      </c>
      <c r="P122" s="190" t="s">
        <v>469</v>
      </c>
      <c r="Q122" s="174" t="s">
        <v>379</v>
      </c>
    </row>
    <row r="123" spans="2:23" ht="17" x14ac:dyDescent="0.45">
      <c r="B123" s="160" t="s">
        <v>26</v>
      </c>
      <c r="C123" s="161" t="s">
        <v>533</v>
      </c>
      <c r="D123" s="191" t="s">
        <v>525</v>
      </c>
      <c r="E123" s="639">
        <v>0</v>
      </c>
      <c r="F123" s="640">
        <v>0</v>
      </c>
      <c r="G123" s="640">
        <v>0</v>
      </c>
      <c r="H123" s="640">
        <v>0</v>
      </c>
      <c r="I123" s="640">
        <v>0</v>
      </c>
      <c r="J123" s="640">
        <v>0</v>
      </c>
      <c r="K123" s="640">
        <v>0</v>
      </c>
      <c r="L123" s="640">
        <v>0</v>
      </c>
      <c r="M123" s="640">
        <v>0</v>
      </c>
      <c r="N123" s="640">
        <v>0</v>
      </c>
      <c r="O123" s="640">
        <v>0</v>
      </c>
      <c r="P123" s="641">
        <v>0</v>
      </c>
      <c r="Q123" s="163">
        <f>+SUM(E123:P123)</f>
        <v>0</v>
      </c>
    </row>
    <row r="124" spans="2:23" ht="17" x14ac:dyDescent="0.45">
      <c r="B124" s="164" t="s">
        <v>310</v>
      </c>
      <c r="C124" s="165" t="s">
        <v>533</v>
      </c>
      <c r="D124" s="191" t="s">
        <v>486</v>
      </c>
      <c r="E124" s="642">
        <v>0</v>
      </c>
      <c r="F124" s="643">
        <v>0</v>
      </c>
      <c r="G124" s="643">
        <v>0</v>
      </c>
      <c r="H124" s="643">
        <v>0</v>
      </c>
      <c r="I124" s="643">
        <v>0</v>
      </c>
      <c r="J124" s="643">
        <v>0</v>
      </c>
      <c r="K124" s="643">
        <v>0</v>
      </c>
      <c r="L124" s="643">
        <v>0</v>
      </c>
      <c r="M124" s="643">
        <v>0</v>
      </c>
      <c r="N124" s="643">
        <v>0</v>
      </c>
      <c r="O124" s="643">
        <v>0</v>
      </c>
      <c r="P124" s="644">
        <v>0</v>
      </c>
      <c r="Q124" s="166">
        <f t="shared" ref="Q124:Q125" si="14">+SUM(E124:P124)</f>
        <v>0</v>
      </c>
    </row>
    <row r="125" spans="2:23" ht="17" x14ac:dyDescent="0.45">
      <c r="B125" s="167" t="s">
        <v>546</v>
      </c>
      <c r="C125" s="168" t="s">
        <v>534</v>
      </c>
      <c r="D125" s="192" t="s">
        <v>525</v>
      </c>
      <c r="E125" s="645">
        <v>0</v>
      </c>
      <c r="F125" s="646">
        <v>0</v>
      </c>
      <c r="G125" s="646">
        <v>0</v>
      </c>
      <c r="H125" s="646">
        <v>0</v>
      </c>
      <c r="I125" s="646">
        <v>0</v>
      </c>
      <c r="J125" s="646">
        <v>0</v>
      </c>
      <c r="K125" s="646">
        <v>0</v>
      </c>
      <c r="L125" s="646">
        <v>0</v>
      </c>
      <c r="M125" s="646">
        <v>0</v>
      </c>
      <c r="N125" s="646">
        <v>0</v>
      </c>
      <c r="O125" s="646">
        <v>0</v>
      </c>
      <c r="P125" s="647">
        <v>0</v>
      </c>
      <c r="Q125" s="170">
        <f t="shared" si="14"/>
        <v>0</v>
      </c>
    </row>
    <row r="126" spans="2:23" ht="13" x14ac:dyDescent="0.3">
      <c r="D126" s="46"/>
      <c r="E126" s="46"/>
      <c r="F126" s="46"/>
      <c r="G126" s="46"/>
      <c r="H126" s="46"/>
      <c r="I126" s="46"/>
      <c r="J126" s="46"/>
      <c r="N126" s="155"/>
      <c r="O126" s="155"/>
      <c r="P126" s="155"/>
      <c r="Q126" s="155"/>
      <c r="R126" s="155"/>
      <c r="S126" s="155"/>
      <c r="T126" s="155"/>
      <c r="U126" s="155"/>
      <c r="V126" s="155"/>
      <c r="W126" s="155"/>
    </row>
    <row r="127" spans="2:23" ht="13" x14ac:dyDescent="0.3">
      <c r="D127" s="46"/>
      <c r="E127" s="46"/>
      <c r="F127" s="46"/>
      <c r="G127" s="46"/>
      <c r="H127" s="46"/>
      <c r="I127" s="46"/>
      <c r="J127" s="46"/>
      <c r="N127" s="155"/>
      <c r="O127" s="155"/>
      <c r="P127" s="155"/>
      <c r="Q127" s="155"/>
      <c r="R127" s="155"/>
      <c r="S127" s="155"/>
      <c r="T127" s="155"/>
      <c r="U127" s="155"/>
      <c r="V127" s="155"/>
      <c r="W127" s="155"/>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W124"/>
  <sheetViews>
    <sheetView topLeftCell="A58" zoomScale="70" zoomScaleNormal="70" workbookViewId="0">
      <selection activeCell="Q15" sqref="Q15:Q16"/>
    </sheetView>
  </sheetViews>
  <sheetFormatPr baseColWidth="10" defaultColWidth="11.54296875" defaultRowHeight="12.5" x14ac:dyDescent="0.25"/>
  <cols>
    <col min="1" max="1" width="2.1796875" style="4" customWidth="1"/>
    <col min="2" max="2" width="83.54296875" style="4" customWidth="1"/>
    <col min="3" max="3" width="21.54296875" style="4" customWidth="1"/>
    <col min="4" max="4" width="17.81640625" style="4" bestFit="1" customWidth="1"/>
    <col min="5" max="5" width="19.1796875" style="4" bestFit="1" customWidth="1"/>
    <col min="6" max="6" width="21" style="4" bestFit="1" customWidth="1"/>
    <col min="7" max="7" width="8" style="4" bestFit="1" customWidth="1"/>
    <col min="8" max="10" width="7.7265625" style="4" bestFit="1" customWidth="1"/>
    <col min="11" max="11" width="6.81640625" style="4" bestFit="1" customWidth="1"/>
    <col min="12" max="12" width="7.453125" style="4" bestFit="1" customWidth="1"/>
    <col min="13" max="13" width="8" style="4" bestFit="1" customWidth="1"/>
    <col min="14" max="16" width="6.81640625" style="4" bestFit="1" customWidth="1"/>
    <col min="17" max="17" width="9.81640625" style="4" bestFit="1" customWidth="1"/>
    <col min="18" max="22" width="9.1796875" style="4" customWidth="1"/>
    <col min="23" max="23" width="8.81640625" style="4" bestFit="1" customWidth="1"/>
    <col min="24" max="16384" width="11.54296875" style="4"/>
  </cols>
  <sheetData>
    <row r="2" spans="2:17" ht="23" x14ac:dyDescent="0.5">
      <c r="B2" s="1" t="s">
        <v>242</v>
      </c>
      <c r="C2" s="2"/>
      <c r="D2" s="3"/>
      <c r="E2" s="3"/>
      <c r="F2" s="3"/>
      <c r="G2" s="3"/>
      <c r="H2" s="3"/>
      <c r="I2" s="3"/>
      <c r="J2" s="3"/>
    </row>
    <row r="4" spans="2:17" ht="17.5" x14ac:dyDescent="0.35">
      <c r="B4" s="5" t="s">
        <v>566</v>
      </c>
      <c r="C4" s="6"/>
      <c r="D4" s="7"/>
      <c r="E4" s="7"/>
      <c r="F4" s="7"/>
      <c r="G4" s="7"/>
      <c r="H4" s="7"/>
      <c r="I4" s="7"/>
      <c r="J4" s="7"/>
    </row>
    <row r="9" spans="2:17" ht="13" x14ac:dyDescent="0.3">
      <c r="B9" s="8" t="s">
        <v>457</v>
      </c>
      <c r="C9" s="9"/>
      <c r="D9" s="10"/>
      <c r="E9" s="10"/>
      <c r="F9" s="10"/>
      <c r="G9" s="10"/>
      <c r="H9" s="10"/>
      <c r="I9" s="10"/>
      <c r="J9" s="10"/>
    </row>
    <row r="11" spans="2:17" ht="13" x14ac:dyDescent="0.3">
      <c r="B11" s="11"/>
      <c r="C11" s="12"/>
      <c r="D11" s="13"/>
      <c r="E11" s="14" t="s">
        <v>458</v>
      </c>
      <c r="F11" s="14" t="s">
        <v>459</v>
      </c>
      <c r="G11" s="14" t="s">
        <v>460</v>
      </c>
      <c r="H11" s="14" t="s">
        <v>461</v>
      </c>
      <c r="I11" s="14" t="s">
        <v>462</v>
      </c>
      <c r="J11" s="14" t="s">
        <v>463</v>
      </c>
      <c r="K11" s="14" t="s">
        <v>464</v>
      </c>
      <c r="L11" s="14" t="s">
        <v>465</v>
      </c>
      <c r="M11" s="14" t="s">
        <v>466</v>
      </c>
      <c r="N11" s="14" t="s">
        <v>467</v>
      </c>
      <c r="O11" s="14" t="s">
        <v>468</v>
      </c>
      <c r="P11" s="15" t="s">
        <v>469</v>
      </c>
      <c r="Q11" s="16" t="s">
        <v>379</v>
      </c>
    </row>
    <row r="12" spans="2:17" ht="17" x14ac:dyDescent="0.3">
      <c r="B12" s="17" t="s">
        <v>470</v>
      </c>
      <c r="C12" s="18" t="s">
        <v>471</v>
      </c>
      <c r="D12" s="19" t="s">
        <v>472</v>
      </c>
      <c r="E12" s="615">
        <v>25732.092200400828</v>
      </c>
      <c r="F12" s="615">
        <v>21600.883544921875</v>
      </c>
      <c r="G12" s="615">
        <v>24949.80679458618</v>
      </c>
      <c r="H12" s="615">
        <v>25555.027196899413</v>
      </c>
      <c r="I12" s="615">
        <v>24741.731652252198</v>
      </c>
      <c r="J12" s="615">
        <v>21001.057360351562</v>
      </c>
      <c r="K12" s="615">
        <v>19416.48355078125</v>
      </c>
      <c r="L12" s="615">
        <v>17196.090228027344</v>
      </c>
      <c r="M12" s="615">
        <v>16995.009465820312</v>
      </c>
      <c r="N12" s="615">
        <v>16603.284247558593</v>
      </c>
      <c r="O12" s="615">
        <v>10294.853541931152</v>
      </c>
      <c r="P12" s="615">
        <v>20434.139489990233</v>
      </c>
      <c r="Q12" s="21">
        <f t="shared" ref="Q12:Q17" si="0">SUM(E12:P12)</f>
        <v>244520.45927352089</v>
      </c>
    </row>
    <row r="13" spans="2:17" ht="17" x14ac:dyDescent="0.3">
      <c r="B13" s="22" t="s">
        <v>473</v>
      </c>
      <c r="C13" s="23" t="s">
        <v>474</v>
      </c>
      <c r="D13" s="24" t="s">
        <v>472</v>
      </c>
      <c r="E13" s="615">
        <v>8.7772977789640425</v>
      </c>
      <c r="F13" s="615">
        <v>0</v>
      </c>
      <c r="G13" s="615">
        <v>53.541809272237124</v>
      </c>
      <c r="H13" s="615">
        <v>9.6127940769195561</v>
      </c>
      <c r="I13" s="615">
        <v>9.3627204240560538</v>
      </c>
      <c r="J13" s="615">
        <v>0</v>
      </c>
      <c r="K13" s="615">
        <v>0</v>
      </c>
      <c r="L13" s="615">
        <v>0</v>
      </c>
      <c r="M13" s="615">
        <v>0</v>
      </c>
      <c r="N13" s="615">
        <v>5.2125336568355563</v>
      </c>
      <c r="O13" s="804">
        <v>226</v>
      </c>
      <c r="P13" s="615">
        <v>43.214728120326996</v>
      </c>
      <c r="Q13" s="21">
        <f t="shared" si="0"/>
        <v>355.72188332933933</v>
      </c>
    </row>
    <row r="14" spans="2:17" ht="17" x14ac:dyDescent="0.3">
      <c r="B14" s="25" t="s">
        <v>475</v>
      </c>
      <c r="C14" s="23" t="s">
        <v>476</v>
      </c>
      <c r="D14" s="24" t="s">
        <v>472</v>
      </c>
      <c r="E14" s="615">
        <f>E15+E16</f>
        <v>3712.7043811088006</v>
      </c>
      <c r="F14" s="615">
        <f t="shared" ref="F14:P14" si="1">F15+F16</f>
        <v>3294.814913491527</v>
      </c>
      <c r="G14" s="615">
        <f t="shared" si="1"/>
        <v>3616.332546922969</v>
      </c>
      <c r="H14" s="615">
        <f t="shared" si="1"/>
        <v>3621.8961931631961</v>
      </c>
      <c r="I14" s="615">
        <f t="shared" si="1"/>
        <v>3586.6682215080059</v>
      </c>
      <c r="J14" s="615">
        <f t="shared" si="1"/>
        <v>3414.3423182588022</v>
      </c>
      <c r="K14" s="615">
        <f t="shared" si="1"/>
        <v>3338.8460452260174</v>
      </c>
      <c r="L14" s="615">
        <f t="shared" si="1"/>
        <v>3245.5684450019994</v>
      </c>
      <c r="M14" s="615">
        <f t="shared" si="1"/>
        <v>3093.8370297429956</v>
      </c>
      <c r="N14" s="615">
        <f t="shared" si="1"/>
        <v>3236.4894195505776</v>
      </c>
      <c r="O14" s="615">
        <f t="shared" si="1"/>
        <v>2175.1666666666665</v>
      </c>
      <c r="P14" s="615">
        <f t="shared" si="1"/>
        <v>3459.6985769722855</v>
      </c>
      <c r="Q14" s="21">
        <f t="shared" si="0"/>
        <v>39796.364757613846</v>
      </c>
    </row>
    <row r="15" spans="2:17" ht="13" x14ac:dyDescent="0.3">
      <c r="B15" s="25" t="s">
        <v>477</v>
      </c>
      <c r="C15" s="23"/>
      <c r="D15" s="24" t="s">
        <v>472</v>
      </c>
      <c r="E15" s="615">
        <v>3458.5377144421341</v>
      </c>
      <c r="F15" s="615">
        <v>3040.6482468248605</v>
      </c>
      <c r="G15" s="615">
        <v>3362.1658802563024</v>
      </c>
      <c r="H15" s="615">
        <v>3367.7295264965296</v>
      </c>
      <c r="I15" s="615">
        <v>3332.5015548413394</v>
      </c>
      <c r="J15" s="615">
        <v>3160.1756515921356</v>
      </c>
      <c r="K15" s="615">
        <v>3084.6793785593509</v>
      </c>
      <c r="L15" s="615">
        <v>2991.4017783353329</v>
      </c>
      <c r="M15" s="615">
        <v>2839.6703630763291</v>
      </c>
      <c r="N15" s="615">
        <v>2982.3227528839111</v>
      </c>
      <c r="O15" s="804">
        <v>1921</v>
      </c>
      <c r="P15" s="615">
        <v>3205.531910305619</v>
      </c>
      <c r="Q15" s="21">
        <f t="shared" si="0"/>
        <v>36746.364757613846</v>
      </c>
    </row>
    <row r="16" spans="2:17" ht="13" x14ac:dyDescent="0.3">
      <c r="B16" s="26" t="s">
        <v>478</v>
      </c>
      <c r="C16" s="27"/>
      <c r="D16" s="24" t="s">
        <v>472</v>
      </c>
      <c r="E16" s="615">
        <v>254.16666666666654</v>
      </c>
      <c r="F16" s="615">
        <v>254.16666666666654</v>
      </c>
      <c r="G16" s="615">
        <v>254.16666666666654</v>
      </c>
      <c r="H16" s="615">
        <v>254.16666666666654</v>
      </c>
      <c r="I16" s="615">
        <v>254.16666666666654</v>
      </c>
      <c r="J16" s="615">
        <v>254.16666666666654</v>
      </c>
      <c r="K16" s="615">
        <v>254.16666666666654</v>
      </c>
      <c r="L16" s="615">
        <v>254.16666666666654</v>
      </c>
      <c r="M16" s="615">
        <v>254.16666666666654</v>
      </c>
      <c r="N16" s="615">
        <v>254.16666666666654</v>
      </c>
      <c r="O16" s="615">
        <v>254.16666666666654</v>
      </c>
      <c r="P16" s="615">
        <v>254.16666666666654</v>
      </c>
      <c r="Q16" s="21">
        <f t="shared" si="0"/>
        <v>3049.9999999999986</v>
      </c>
    </row>
    <row r="17" spans="2:23" ht="13" x14ac:dyDescent="0.3">
      <c r="B17" s="28" t="s">
        <v>328</v>
      </c>
      <c r="C17" s="29"/>
      <c r="D17" s="30" t="s">
        <v>472</v>
      </c>
      <c r="E17" s="30">
        <f t="shared" ref="E17:J17" si="2">+E12+E13-E14</f>
        <v>22028.165117070992</v>
      </c>
      <c r="F17" s="30">
        <f t="shared" si="2"/>
        <v>18306.068631430349</v>
      </c>
      <c r="G17" s="30">
        <f t="shared" si="2"/>
        <v>21387.016056935448</v>
      </c>
      <c r="H17" s="30">
        <f t="shared" si="2"/>
        <v>21942.743797813135</v>
      </c>
      <c r="I17" s="30">
        <f t="shared" si="2"/>
        <v>21164.426151168245</v>
      </c>
      <c r="J17" s="30">
        <f t="shared" si="2"/>
        <v>17586.715042092761</v>
      </c>
      <c r="K17" s="30">
        <f>+K12+K13-K14</f>
        <v>16077.637505555233</v>
      </c>
      <c r="L17" s="30">
        <f t="shared" ref="L17:P17" si="3">+L12+L13-L14</f>
        <v>13950.521783025344</v>
      </c>
      <c r="M17" s="30">
        <f t="shared" si="3"/>
        <v>13901.172436077317</v>
      </c>
      <c r="N17" s="30">
        <f t="shared" si="3"/>
        <v>13372.007361664851</v>
      </c>
      <c r="O17" s="30">
        <f t="shared" si="3"/>
        <v>8345.6868752644859</v>
      </c>
      <c r="P17" s="30">
        <f t="shared" si="3"/>
        <v>17017.655641138277</v>
      </c>
      <c r="Q17" s="31">
        <f t="shared" si="0"/>
        <v>205079.81639923644</v>
      </c>
    </row>
    <row r="18" spans="2:23" x14ac:dyDescent="0.25">
      <c r="B18" s="32"/>
    </row>
    <row r="19" spans="2:23" ht="13" x14ac:dyDescent="0.3">
      <c r="B19" s="11" t="s">
        <v>479</v>
      </c>
      <c r="C19" s="12"/>
      <c r="D19" s="33" t="s">
        <v>480</v>
      </c>
      <c r="E19" s="616">
        <v>0</v>
      </c>
      <c r="F19" s="616">
        <v>0</v>
      </c>
      <c r="G19" s="616">
        <v>14.87</v>
      </c>
      <c r="H19" s="616">
        <v>2.15</v>
      </c>
      <c r="I19" s="616">
        <v>0</v>
      </c>
      <c r="J19" s="616">
        <v>0</v>
      </c>
      <c r="K19" s="616">
        <v>0</v>
      </c>
      <c r="L19" s="616">
        <v>0</v>
      </c>
      <c r="M19" s="616">
        <v>0</v>
      </c>
      <c r="N19" s="616">
        <v>0.85</v>
      </c>
      <c r="O19" s="616">
        <v>302.38</v>
      </c>
      <c r="P19" s="616">
        <v>9.5</v>
      </c>
      <c r="Q19" s="34">
        <f>SUM(E19:P19)</f>
        <v>329.75</v>
      </c>
    </row>
    <row r="20" spans="2:23" ht="13" x14ac:dyDescent="0.3">
      <c r="B20" s="11" t="s">
        <v>481</v>
      </c>
      <c r="C20" s="12"/>
      <c r="D20" s="33" t="s">
        <v>482</v>
      </c>
      <c r="E20" s="35">
        <f t="shared" ref="E20:P20" si="4">E19/24</f>
        <v>0</v>
      </c>
      <c r="F20" s="35">
        <f t="shared" si="4"/>
        <v>0</v>
      </c>
      <c r="G20" s="35">
        <f t="shared" si="4"/>
        <v>0.61958333333333326</v>
      </c>
      <c r="H20" s="35">
        <f t="shared" si="4"/>
        <v>8.9583333333333334E-2</v>
      </c>
      <c r="I20" s="35">
        <f t="shared" si="4"/>
        <v>0</v>
      </c>
      <c r="J20" s="35">
        <f t="shared" si="4"/>
        <v>0</v>
      </c>
      <c r="K20" s="35">
        <f t="shared" si="4"/>
        <v>0</v>
      </c>
      <c r="L20" s="35">
        <f t="shared" si="4"/>
        <v>0</v>
      </c>
      <c r="M20" s="35">
        <f t="shared" si="4"/>
        <v>0</v>
      </c>
      <c r="N20" s="35">
        <f t="shared" si="4"/>
        <v>3.5416666666666666E-2</v>
      </c>
      <c r="O20" s="35">
        <f t="shared" si="4"/>
        <v>12.599166666666667</v>
      </c>
      <c r="P20" s="35">
        <f t="shared" si="4"/>
        <v>0.39583333333333331</v>
      </c>
      <c r="Q20" s="34">
        <f>SUM(E20:P20)</f>
        <v>13.739583333333334</v>
      </c>
    </row>
    <row r="22" spans="2:23" ht="13" x14ac:dyDescent="0.3">
      <c r="B22" s="8" t="s">
        <v>483</v>
      </c>
    </row>
    <row r="24" spans="2:23" ht="13" x14ac:dyDescent="0.3">
      <c r="B24" s="11"/>
      <c r="C24" s="36" t="s">
        <v>484</v>
      </c>
      <c r="D24" s="19"/>
      <c r="E24" s="14" t="s">
        <v>458</v>
      </c>
      <c r="F24" s="14" t="s">
        <v>459</v>
      </c>
      <c r="G24" s="14" t="s">
        <v>460</v>
      </c>
      <c r="H24" s="14" t="s">
        <v>461</v>
      </c>
      <c r="I24" s="14" t="s">
        <v>462</v>
      </c>
      <c r="J24" s="14" t="s">
        <v>463</v>
      </c>
      <c r="K24" s="14" t="s">
        <v>464</v>
      </c>
      <c r="L24" s="14" t="s">
        <v>465</v>
      </c>
      <c r="M24" s="14" t="s">
        <v>466</v>
      </c>
      <c r="N24" s="14" t="s">
        <v>467</v>
      </c>
      <c r="O24" s="14" t="s">
        <v>468</v>
      </c>
      <c r="P24" s="15" t="s">
        <v>469</v>
      </c>
      <c r="Q24" s="16" t="s">
        <v>379</v>
      </c>
    </row>
    <row r="25" spans="2:23" ht="13" x14ac:dyDescent="0.3">
      <c r="B25" s="17" t="s">
        <v>338</v>
      </c>
      <c r="C25" s="37" t="s">
        <v>485</v>
      </c>
      <c r="D25" s="19" t="s">
        <v>486</v>
      </c>
      <c r="E25" s="617">
        <v>120017.20738577843</v>
      </c>
      <c r="F25" s="617">
        <v>101645.32616424561</v>
      </c>
      <c r="G25" s="617">
        <v>119245.11133623123</v>
      </c>
      <c r="H25" s="617">
        <v>121508.97</v>
      </c>
      <c r="I25" s="617">
        <v>119796.31502532959</v>
      </c>
      <c r="J25" s="617">
        <v>101263.33473968506</v>
      </c>
      <c r="K25" s="617">
        <v>96479.80061340332</v>
      </c>
      <c r="L25" s="617">
        <v>89553.516044616699</v>
      </c>
      <c r="M25" s="617">
        <v>89140.510009765625</v>
      </c>
      <c r="N25" s="617">
        <v>92288.934051513672</v>
      </c>
      <c r="O25" s="617">
        <v>52323.322459638206</v>
      </c>
      <c r="P25" s="617">
        <v>99629.506922721863</v>
      </c>
      <c r="Q25" s="38">
        <f>SUM(E25:P25)</f>
        <v>1202891.8547529292</v>
      </c>
    </row>
    <row r="26" spans="2:23" ht="13" x14ac:dyDescent="0.3">
      <c r="B26" s="22" t="s">
        <v>344</v>
      </c>
      <c r="C26" s="39" t="s">
        <v>487</v>
      </c>
      <c r="D26" s="24" t="s">
        <v>486</v>
      </c>
      <c r="E26" s="618">
        <v>14341.872411072254</v>
      </c>
      <c r="F26" s="618">
        <v>12027.166694879532</v>
      </c>
      <c r="G26" s="618">
        <v>14513.873677253723</v>
      </c>
      <c r="H26" s="618">
        <v>16214.7</v>
      </c>
      <c r="I26" s="618">
        <v>18459.682774782181</v>
      </c>
      <c r="J26" s="618">
        <v>17601.544561862946</v>
      </c>
      <c r="K26" s="618">
        <v>20084.686305522919</v>
      </c>
      <c r="L26" s="618">
        <v>20748.836446285248</v>
      </c>
      <c r="M26" s="618">
        <v>17240.249516367912</v>
      </c>
      <c r="N26" s="618">
        <v>15172.98844563961</v>
      </c>
      <c r="O26" s="618">
        <v>8637.992569565773</v>
      </c>
      <c r="P26" s="618">
        <v>12610.802818089724</v>
      </c>
      <c r="Q26" s="21">
        <f t="shared" ref="Q26:Q27" si="5">SUM(E26:P26)</f>
        <v>187654.39622132183</v>
      </c>
    </row>
    <row r="27" spans="2:23" ht="13" x14ac:dyDescent="0.3">
      <c r="B27" s="22" t="s">
        <v>488</v>
      </c>
      <c r="C27" s="39" t="s">
        <v>489</v>
      </c>
      <c r="D27" s="40" t="s">
        <v>486</v>
      </c>
      <c r="E27" s="618">
        <v>8515.5243644714355</v>
      </c>
      <c r="F27" s="618">
        <v>8030.738632440567</v>
      </c>
      <c r="G27" s="618">
        <v>9158.0537374615669</v>
      </c>
      <c r="H27" s="618">
        <v>8725.2800000000007</v>
      </c>
      <c r="I27" s="618">
        <v>10396.640972137451</v>
      </c>
      <c r="J27" s="618">
        <v>9720.1124380677938</v>
      </c>
      <c r="K27" s="618">
        <v>12067.080701291561</v>
      </c>
      <c r="L27" s="618">
        <v>12101.941955566406</v>
      </c>
      <c r="M27" s="618">
        <v>9279.3560663461685</v>
      </c>
      <c r="N27" s="807">
        <v>7044</v>
      </c>
      <c r="O27" s="618">
        <v>3176.4023915529251</v>
      </c>
      <c r="P27" s="618">
        <v>6282.0548825860023</v>
      </c>
      <c r="Q27" s="41">
        <f t="shared" si="5"/>
        <v>104497.18614192188</v>
      </c>
      <c r="R27" s="42"/>
    </row>
    <row r="28" spans="2:23" ht="13" x14ac:dyDescent="0.3">
      <c r="B28" s="12" t="s">
        <v>490</v>
      </c>
      <c r="C28" s="43" t="s">
        <v>491</v>
      </c>
      <c r="D28" s="44"/>
      <c r="E28" s="45"/>
      <c r="F28" s="45"/>
      <c r="G28" s="45"/>
      <c r="H28" s="45"/>
      <c r="I28" s="45"/>
      <c r="J28" s="45"/>
      <c r="K28" s="45"/>
      <c r="L28" s="45"/>
      <c r="M28" s="45"/>
      <c r="N28" s="45"/>
      <c r="O28" s="45"/>
      <c r="P28" s="45"/>
      <c r="Q28" s="45"/>
      <c r="R28" s="46"/>
      <c r="S28" s="46"/>
      <c r="T28" s="46"/>
      <c r="U28" s="46"/>
      <c r="V28" s="46"/>
      <c r="W28" s="44"/>
    </row>
    <row r="29" spans="2:23" ht="13" x14ac:dyDescent="0.3">
      <c r="T29" s="46"/>
      <c r="W29" s="47"/>
    </row>
    <row r="30" spans="2:23" ht="13" x14ac:dyDescent="0.3">
      <c r="B30" s="8" t="s">
        <v>492</v>
      </c>
      <c r="C30" s="9"/>
      <c r="D30" s="10"/>
      <c r="E30" s="10"/>
      <c r="F30" s="10"/>
      <c r="G30" s="10"/>
      <c r="H30" s="10"/>
      <c r="I30" s="10"/>
      <c r="J30" s="10"/>
      <c r="K30" s="10"/>
      <c r="L30" s="10"/>
      <c r="M30" s="10"/>
      <c r="N30" s="10"/>
      <c r="O30" s="10"/>
      <c r="P30" s="10"/>
      <c r="Q30" s="48"/>
      <c r="R30" s="48"/>
      <c r="S30" s="48"/>
      <c r="T30" s="46"/>
    </row>
    <row r="31" spans="2:23" ht="13" x14ac:dyDescent="0.3">
      <c r="K31" s="49"/>
      <c r="L31" s="49"/>
      <c r="M31" s="49"/>
      <c r="N31" s="49"/>
      <c r="O31" s="49"/>
      <c r="P31" s="49"/>
      <c r="T31" s="46"/>
    </row>
    <row r="32" spans="2:23" ht="13" x14ac:dyDescent="0.3">
      <c r="B32" s="11"/>
      <c r="C32" s="12"/>
      <c r="D32" s="50"/>
      <c r="E32" s="14" t="s">
        <v>458</v>
      </c>
      <c r="F32" s="14" t="s">
        <v>459</v>
      </c>
      <c r="G32" s="14" t="s">
        <v>460</v>
      </c>
      <c r="H32" s="14" t="s">
        <v>461</v>
      </c>
      <c r="I32" s="14" t="s">
        <v>462</v>
      </c>
      <c r="J32" s="14" t="s">
        <v>463</v>
      </c>
      <c r="K32" s="14" t="s">
        <v>464</v>
      </c>
      <c r="L32" s="14" t="s">
        <v>465</v>
      </c>
      <c r="M32" s="14" t="s">
        <v>466</v>
      </c>
      <c r="N32" s="14" t="s">
        <v>467</v>
      </c>
      <c r="O32" s="14" t="s">
        <v>468</v>
      </c>
      <c r="P32" s="15" t="s">
        <v>469</v>
      </c>
      <c r="Q32" s="51" t="s">
        <v>379</v>
      </c>
    </row>
    <row r="33" spans="2:23" ht="15" x14ac:dyDescent="0.4">
      <c r="B33" s="52" t="s">
        <v>493</v>
      </c>
      <c r="C33" s="53" t="s">
        <v>494</v>
      </c>
      <c r="D33" s="54" t="s">
        <v>486</v>
      </c>
      <c r="E33" s="650">
        <f>E34+E35</f>
        <v>14009.073300312499</v>
      </c>
      <c r="F33" s="650">
        <f t="shared" ref="F33:O33" si="6">F34+F35</f>
        <v>12262.030382500001</v>
      </c>
      <c r="G33" s="650">
        <f t="shared" si="6"/>
        <v>15683.3625946875</v>
      </c>
      <c r="H33" s="650">
        <f t="shared" si="6"/>
        <v>15589.927165000001</v>
      </c>
      <c r="I33" s="650">
        <f t="shared" si="6"/>
        <v>17171.218024062498</v>
      </c>
      <c r="J33" s="650">
        <f t="shared" si="6"/>
        <v>17337.937335625</v>
      </c>
      <c r="K33" s="650">
        <f t="shared" si="6"/>
        <v>17419.4778171875</v>
      </c>
      <c r="L33" s="650">
        <f t="shared" si="6"/>
        <v>15948.264676249999</v>
      </c>
      <c r="M33" s="650">
        <f t="shared" si="6"/>
        <v>12576.946218750001</v>
      </c>
      <c r="N33" s="650">
        <f t="shared" si="6"/>
        <v>11539.196251875001</v>
      </c>
      <c r="O33" s="650">
        <f t="shared" si="6"/>
        <v>8805.6065981249994</v>
      </c>
      <c r="P33" s="650">
        <f>P34+P35</f>
        <v>10795.313810624999</v>
      </c>
      <c r="Q33" s="21">
        <f>SUM(E33:P33)</f>
        <v>169138.35417499999</v>
      </c>
    </row>
    <row r="34" spans="2:23" ht="13" x14ac:dyDescent="0.3">
      <c r="B34" s="52" t="s">
        <v>495</v>
      </c>
      <c r="C34" s="53"/>
      <c r="D34" s="54"/>
      <c r="E34" s="620">
        <v>2641.5133003125002</v>
      </c>
      <c r="F34" s="620">
        <v>2825.9103824999997</v>
      </c>
      <c r="G34" s="620">
        <v>3545.9925946875001</v>
      </c>
      <c r="H34" s="620">
        <v>2976.585165</v>
      </c>
      <c r="I34" s="620">
        <v>3204.6380240624999</v>
      </c>
      <c r="J34" s="620">
        <v>3150.5883356249997</v>
      </c>
      <c r="K34" s="620">
        <v>3126.2038171875001</v>
      </c>
      <c r="L34" s="620">
        <v>3312.9466762500001</v>
      </c>
      <c r="M34" s="620">
        <v>2762.1042187500002</v>
      </c>
      <c r="N34" s="620">
        <v>2550.2662518749999</v>
      </c>
      <c r="O34" s="620">
        <v>1808.466598125</v>
      </c>
      <c r="P34" s="620">
        <v>1170.932810625</v>
      </c>
      <c r="Q34" s="21">
        <f t="shared" ref="Q34:Q37" si="7">SUM(E34:P34)</f>
        <v>33076.148175000002</v>
      </c>
    </row>
    <row r="35" spans="2:23" ht="13" x14ac:dyDescent="0.3">
      <c r="B35" s="52" t="s">
        <v>496</v>
      </c>
      <c r="C35" s="53"/>
      <c r="D35" s="54"/>
      <c r="E35" s="620">
        <v>11367.56</v>
      </c>
      <c r="F35" s="620">
        <v>9436.1200000000008</v>
      </c>
      <c r="G35" s="620">
        <v>12137.37</v>
      </c>
      <c r="H35" s="620">
        <v>12613.342000000001</v>
      </c>
      <c r="I35" s="620">
        <v>13966.58</v>
      </c>
      <c r="J35" s="620">
        <v>14187.349</v>
      </c>
      <c r="K35" s="620">
        <v>14293.273999999999</v>
      </c>
      <c r="L35" s="620">
        <v>12635.317999999999</v>
      </c>
      <c r="M35" s="620">
        <v>9814.8420000000006</v>
      </c>
      <c r="N35" s="808">
        <v>8988.93</v>
      </c>
      <c r="O35" s="620">
        <v>6997.14</v>
      </c>
      <c r="P35" s="620">
        <v>9624.3809999999994</v>
      </c>
      <c r="Q35" s="21">
        <f t="shared" si="7"/>
        <v>136062.20600000003</v>
      </c>
      <c r="R35" s="49"/>
    </row>
    <row r="36" spans="2:23" ht="15" x14ac:dyDescent="0.4">
      <c r="B36" s="25" t="s">
        <v>497</v>
      </c>
      <c r="C36" s="53" t="s">
        <v>112</v>
      </c>
      <c r="D36" s="54" t="s">
        <v>486</v>
      </c>
      <c r="E36" s="619">
        <v>19069.439999999999</v>
      </c>
      <c r="F36" s="619">
        <v>15179.16</v>
      </c>
      <c r="G36" s="619">
        <v>18823</v>
      </c>
      <c r="H36" s="619">
        <v>17541.89</v>
      </c>
      <c r="I36" s="619">
        <v>16651.48</v>
      </c>
      <c r="J36" s="619">
        <v>14248.458000000001</v>
      </c>
      <c r="K36" s="619">
        <v>15003.561</v>
      </c>
      <c r="L36" s="619">
        <v>27719.853999999999</v>
      </c>
      <c r="M36" s="619">
        <v>25286.422999999999</v>
      </c>
      <c r="N36" s="619">
        <v>14678.21</v>
      </c>
      <c r="O36" s="619">
        <v>11521.458000000001</v>
      </c>
      <c r="P36" s="619">
        <v>15265.874</v>
      </c>
      <c r="Q36" s="21">
        <f t="shared" si="7"/>
        <v>210988.80800000002</v>
      </c>
    </row>
    <row r="37" spans="2:23" ht="15" x14ac:dyDescent="0.4">
      <c r="B37" s="26" t="s">
        <v>498</v>
      </c>
      <c r="C37" s="55" t="s">
        <v>114</v>
      </c>
      <c r="D37" s="56" t="s">
        <v>486</v>
      </c>
      <c r="E37" s="593">
        <v>0</v>
      </c>
      <c r="F37" s="593">
        <v>0</v>
      </c>
      <c r="G37" s="593">
        <v>0</v>
      </c>
      <c r="H37" s="593">
        <v>0</v>
      </c>
      <c r="I37" s="593">
        <v>0</v>
      </c>
      <c r="J37" s="593">
        <v>0</v>
      </c>
      <c r="K37" s="593">
        <v>0</v>
      </c>
      <c r="L37" s="593">
        <v>0</v>
      </c>
      <c r="M37" s="593">
        <v>0</v>
      </c>
      <c r="N37" s="593">
        <v>0</v>
      </c>
      <c r="O37" s="593">
        <v>0</v>
      </c>
      <c r="P37" s="593">
        <v>0</v>
      </c>
      <c r="Q37" s="21">
        <f t="shared" si="7"/>
        <v>0</v>
      </c>
    </row>
    <row r="38" spans="2:23" ht="13" x14ac:dyDescent="0.25">
      <c r="B38" s="58" t="s">
        <v>379</v>
      </c>
      <c r="C38" s="59"/>
      <c r="D38" s="60" t="s">
        <v>486</v>
      </c>
      <c r="E38" s="60">
        <f t="shared" ref="E38:P38" si="8">E33+E36+E37</f>
        <v>33078.513300312494</v>
      </c>
      <c r="F38" s="61">
        <f t="shared" si="8"/>
        <v>27441.190382500001</v>
      </c>
      <c r="G38" s="61">
        <f t="shared" si="8"/>
        <v>34506.362594687496</v>
      </c>
      <c r="H38" s="61">
        <f t="shared" si="8"/>
        <v>33131.817165</v>
      </c>
      <c r="I38" s="61">
        <f t="shared" si="8"/>
        <v>33822.698024062498</v>
      </c>
      <c r="J38" s="61">
        <f t="shared" si="8"/>
        <v>31586.395335624999</v>
      </c>
      <c r="K38" s="61">
        <f t="shared" si="8"/>
        <v>32423.038817187502</v>
      </c>
      <c r="L38" s="61">
        <f t="shared" si="8"/>
        <v>43668.11867625</v>
      </c>
      <c r="M38" s="61">
        <f t="shared" si="8"/>
        <v>37863.369218749998</v>
      </c>
      <c r="N38" s="61">
        <f t="shared" si="8"/>
        <v>26217.406251875</v>
      </c>
      <c r="O38" s="61">
        <f t="shared" si="8"/>
        <v>20327.064598124998</v>
      </c>
      <c r="P38" s="51">
        <f t="shared" si="8"/>
        <v>26061.187810625001</v>
      </c>
      <c r="Q38" s="31">
        <f>SUM(E38:P38)</f>
        <v>380127.162175</v>
      </c>
    </row>
    <row r="39" spans="2:23" ht="13" x14ac:dyDescent="0.25">
      <c r="B39" s="239"/>
      <c r="C39" s="62"/>
      <c r="D39" s="63"/>
      <c r="E39" s="63"/>
      <c r="F39" s="63"/>
      <c r="G39" s="63"/>
      <c r="H39" s="63"/>
      <c r="I39" s="63"/>
      <c r="J39" s="63"/>
      <c r="K39" s="64"/>
      <c r="L39" s="64"/>
      <c r="M39" s="64"/>
      <c r="N39" s="64"/>
      <c r="O39" s="64"/>
      <c r="P39" s="64"/>
      <c r="Q39" s="64"/>
      <c r="R39" s="64"/>
      <c r="S39" s="64"/>
      <c r="T39" s="64"/>
      <c r="U39" s="64"/>
      <c r="V39" s="64"/>
      <c r="W39" s="57"/>
    </row>
    <row r="40" spans="2:23" ht="13" x14ac:dyDescent="0.25">
      <c r="B40" s="239"/>
      <c r="C40" s="62"/>
      <c r="D40" s="63"/>
      <c r="E40" s="63"/>
      <c r="F40" s="63"/>
      <c r="G40" s="63"/>
      <c r="H40" s="63"/>
      <c r="I40" s="63"/>
      <c r="J40" s="63"/>
      <c r="K40" s="64"/>
      <c r="L40" s="64"/>
      <c r="M40" s="64"/>
      <c r="N40" s="64"/>
      <c r="O40" s="64"/>
      <c r="P40" s="64"/>
      <c r="Q40" s="64">
        <v>347015.31400000001</v>
      </c>
      <c r="R40" s="64"/>
      <c r="S40" s="64"/>
      <c r="T40" s="64"/>
      <c r="U40" s="64"/>
      <c r="V40" s="64"/>
      <c r="W40" s="57"/>
    </row>
    <row r="41" spans="2:23" ht="13" x14ac:dyDescent="0.25">
      <c r="B41" s="239"/>
      <c r="C41" s="62"/>
      <c r="D41" s="63"/>
      <c r="E41" s="63"/>
      <c r="F41" s="63"/>
      <c r="G41" s="63"/>
      <c r="H41" s="63"/>
      <c r="I41" s="63"/>
      <c r="J41" s="63"/>
      <c r="K41" s="64"/>
      <c r="L41" s="64"/>
      <c r="M41" s="64"/>
      <c r="N41" s="64"/>
      <c r="O41" s="64"/>
      <c r="P41" s="64"/>
      <c r="Q41" s="64"/>
      <c r="R41" s="64"/>
      <c r="S41" s="64"/>
      <c r="T41" s="64"/>
      <c r="U41" s="64"/>
      <c r="V41" s="64"/>
      <c r="W41" s="57"/>
    </row>
    <row r="43" spans="2:23" ht="13" x14ac:dyDescent="0.3">
      <c r="B43" s="65"/>
      <c r="C43" s="9"/>
      <c r="D43" s="10"/>
      <c r="E43" s="66"/>
      <c r="F43" s="66"/>
      <c r="G43" s="66"/>
      <c r="H43" s="66"/>
      <c r="I43" s="66"/>
      <c r="J43" s="66"/>
      <c r="K43" s="66"/>
      <c r="L43" s="66"/>
      <c r="M43" s="66"/>
      <c r="N43" s="66"/>
      <c r="O43" s="66"/>
      <c r="P43" s="66"/>
      <c r="Q43" s="67"/>
      <c r="R43" s="68"/>
      <c r="S43" s="68"/>
      <c r="T43" s="68"/>
      <c r="U43" s="67"/>
      <c r="V43" s="67"/>
      <c r="W43" s="57"/>
    </row>
    <row r="44" spans="2:23" ht="13" x14ac:dyDescent="0.25">
      <c r="B44" s="69" t="s">
        <v>499</v>
      </c>
      <c r="C44" s="62"/>
      <c r="D44" s="63"/>
      <c r="E44" s="63"/>
      <c r="F44" s="63"/>
      <c r="G44" s="63"/>
      <c r="H44" s="63"/>
      <c r="I44" s="63"/>
      <c r="J44" s="63"/>
      <c r="K44" s="70"/>
      <c r="L44" s="70"/>
      <c r="M44" s="70"/>
      <c r="N44" s="70"/>
      <c r="O44" s="70"/>
      <c r="P44" s="70"/>
      <c r="Q44" s="70"/>
      <c r="R44" s="70"/>
      <c r="S44" s="70"/>
      <c r="T44" s="70"/>
      <c r="U44" s="70"/>
      <c r="V44" s="70"/>
      <c r="W44" s="71"/>
    </row>
    <row r="45" spans="2:23" ht="13" x14ac:dyDescent="0.3">
      <c r="B45" s="72"/>
      <c r="C45" s="58"/>
      <c r="D45" s="59"/>
      <c r="E45" s="14" t="s">
        <v>458</v>
      </c>
      <c r="F45" s="14" t="s">
        <v>459</v>
      </c>
      <c r="G45" s="14" t="s">
        <v>460</v>
      </c>
      <c r="H45" s="14" t="s">
        <v>461</v>
      </c>
      <c r="I45" s="14" t="s">
        <v>462</v>
      </c>
      <c r="J45" s="14" t="s">
        <v>463</v>
      </c>
      <c r="K45" s="14" t="s">
        <v>464</v>
      </c>
      <c r="L45" s="14" t="s">
        <v>465</v>
      </c>
      <c r="M45" s="14" t="s">
        <v>466</v>
      </c>
      <c r="N45" s="14" t="s">
        <v>467</v>
      </c>
      <c r="O45" s="14" t="s">
        <v>468</v>
      </c>
      <c r="P45" s="15" t="s">
        <v>469</v>
      </c>
      <c r="Q45" s="51" t="s">
        <v>379</v>
      </c>
    </row>
    <row r="46" spans="2:23" ht="13" x14ac:dyDescent="0.3">
      <c r="B46" s="73" t="s">
        <v>500</v>
      </c>
      <c r="C46" s="22"/>
      <c r="D46" s="74" t="s">
        <v>107</v>
      </c>
      <c r="E46" s="621">
        <v>0.399421507443951</v>
      </c>
      <c r="F46" s="621">
        <v>0.37869571077094416</v>
      </c>
      <c r="G46" s="621">
        <v>0.37804248847201394</v>
      </c>
      <c r="H46" s="621">
        <v>0.39082005807058567</v>
      </c>
      <c r="I46" s="621">
        <v>0.43243689607505315</v>
      </c>
      <c r="J46" s="621">
        <v>0.44568414351850633</v>
      </c>
      <c r="K46" s="621">
        <v>0.46846019481447571</v>
      </c>
      <c r="L46" s="621">
        <v>0.44301738140629271</v>
      </c>
      <c r="M46" s="621">
        <v>0.38402518288974852</v>
      </c>
      <c r="N46" s="621">
        <v>0.36554490327510381</v>
      </c>
      <c r="O46" s="772">
        <v>0.37328298805581078</v>
      </c>
      <c r="P46" s="621">
        <v>0.40524386279004315</v>
      </c>
      <c r="Q46" s="76">
        <f>AVERAGE(E46:P46)</f>
        <v>0.4053896097985441</v>
      </c>
    </row>
    <row r="47" spans="2:23" ht="13" x14ac:dyDescent="0.3">
      <c r="B47" s="73"/>
      <c r="C47" s="22"/>
      <c r="D47" s="74"/>
      <c r="E47" s="75">
        <f>E46</f>
        <v>0.399421507443951</v>
      </c>
      <c r="F47" s="75">
        <f t="shared" ref="F47:N47" si="9">F46</f>
        <v>0.37869571077094416</v>
      </c>
      <c r="G47" s="75">
        <f t="shared" si="9"/>
        <v>0.37804248847201394</v>
      </c>
      <c r="H47" s="75">
        <f t="shared" si="9"/>
        <v>0.39082005807058567</v>
      </c>
      <c r="I47" s="75">
        <f t="shared" si="9"/>
        <v>0.43243689607505315</v>
      </c>
      <c r="J47" s="75">
        <f t="shared" si="9"/>
        <v>0.44568414351850633</v>
      </c>
      <c r="K47" s="75">
        <f t="shared" si="9"/>
        <v>0.46846019481447571</v>
      </c>
      <c r="L47" s="75">
        <f t="shared" si="9"/>
        <v>0.44301738140629271</v>
      </c>
      <c r="M47" s="75">
        <f t="shared" si="9"/>
        <v>0.38402518288974852</v>
      </c>
      <c r="N47" s="75">
        <f t="shared" si="9"/>
        <v>0.36554490327510381</v>
      </c>
      <c r="O47" s="75">
        <f>O46*1.015</f>
        <v>0.37888223287664791</v>
      </c>
      <c r="P47" s="75">
        <f>P46</f>
        <v>0.40524386279004315</v>
      </c>
      <c r="Q47" s="76">
        <f>AVERAGE(E47:P47)</f>
        <v>0.40585621353361384</v>
      </c>
      <c r="R47" s="4" t="s">
        <v>666</v>
      </c>
    </row>
    <row r="48" spans="2:23" ht="13" x14ac:dyDescent="0.3">
      <c r="B48" s="73" t="s">
        <v>501</v>
      </c>
      <c r="C48" s="22"/>
      <c r="D48" s="74" t="s">
        <v>107</v>
      </c>
      <c r="E48" s="621">
        <v>0.40055989892728888</v>
      </c>
      <c r="F48" s="621">
        <v>0.43479076193939581</v>
      </c>
      <c r="G48" s="621">
        <v>0.4340964008925251</v>
      </c>
      <c r="H48" s="621">
        <v>0.45152450864758586</v>
      </c>
      <c r="I48" s="621">
        <v>0.50503523914991344</v>
      </c>
      <c r="J48" s="621">
        <v>0.56432574602809649</v>
      </c>
      <c r="K48" s="621">
        <v>0.62177663641984715</v>
      </c>
      <c r="L48" s="621">
        <v>0.56703493706712893</v>
      </c>
      <c r="M48" s="621">
        <v>0.50447843458523178</v>
      </c>
      <c r="N48" s="621">
        <v>0.46084565181994264</v>
      </c>
      <c r="O48" s="772">
        <v>0.42619022948310881</v>
      </c>
      <c r="P48" s="621">
        <v>0.35045957605833772</v>
      </c>
      <c r="Q48" s="809">
        <f>AVERAGE(E48:P48)</f>
        <v>0.47675983508486691</v>
      </c>
    </row>
    <row r="49" spans="2:23" ht="13" x14ac:dyDescent="0.3">
      <c r="B49" s="73"/>
      <c r="C49" s="22"/>
      <c r="D49" s="74"/>
      <c r="E49" s="75">
        <f>E48</f>
        <v>0.40055989892728888</v>
      </c>
      <c r="F49" s="75">
        <f t="shared" ref="F49:N49" si="10">F48</f>
        <v>0.43479076193939581</v>
      </c>
      <c r="G49" s="75">
        <f t="shared" si="10"/>
        <v>0.4340964008925251</v>
      </c>
      <c r="H49" s="75">
        <f t="shared" si="10"/>
        <v>0.45152450864758586</v>
      </c>
      <c r="I49" s="75">
        <f t="shared" si="10"/>
        <v>0.50503523914991344</v>
      </c>
      <c r="J49" s="75">
        <f t="shared" si="10"/>
        <v>0.56432574602809649</v>
      </c>
      <c r="K49" s="75">
        <f t="shared" si="10"/>
        <v>0.62177663641984715</v>
      </c>
      <c r="L49" s="75">
        <f t="shared" si="10"/>
        <v>0.56703493706712893</v>
      </c>
      <c r="M49" s="75">
        <f t="shared" si="10"/>
        <v>0.50447843458523178</v>
      </c>
      <c r="N49" s="75">
        <f t="shared" si="10"/>
        <v>0.46084565181994264</v>
      </c>
      <c r="O49" s="75">
        <f>O48*1.015</f>
        <v>0.43258308292535541</v>
      </c>
      <c r="P49" s="621">
        <f>P48</f>
        <v>0.35045957605833772</v>
      </c>
      <c r="Q49" s="809">
        <f>AVERAGE(E49:P49)</f>
        <v>0.47729257287172078</v>
      </c>
      <c r="R49" s="4" t="s">
        <v>667</v>
      </c>
    </row>
    <row r="50" spans="2:23" ht="13" x14ac:dyDescent="0.3">
      <c r="B50" s="78" t="s">
        <v>502</v>
      </c>
      <c r="C50" s="79"/>
      <c r="D50" s="80" t="s">
        <v>107</v>
      </c>
      <c r="E50" s="81" t="s">
        <v>243</v>
      </c>
      <c r="F50" s="81" t="s">
        <v>243</v>
      </c>
      <c r="G50" s="81" t="s">
        <v>243</v>
      </c>
      <c r="H50" s="81" t="s">
        <v>243</v>
      </c>
      <c r="I50" s="81" t="s">
        <v>243</v>
      </c>
      <c r="J50" s="81" t="s">
        <v>243</v>
      </c>
      <c r="K50" s="82" t="s">
        <v>243</v>
      </c>
      <c r="L50" s="82" t="s">
        <v>243</v>
      </c>
      <c r="M50" s="82" t="s">
        <v>243</v>
      </c>
      <c r="N50" s="82" t="s">
        <v>243</v>
      </c>
      <c r="O50" s="82" t="s">
        <v>243</v>
      </c>
      <c r="P50" s="82" t="s">
        <v>243</v>
      </c>
      <c r="Q50" s="83" t="str">
        <f>IFERROR(AVERAGE(E50:P50),"-")</f>
        <v>-</v>
      </c>
    </row>
    <row r="51" spans="2:23" ht="13" x14ac:dyDescent="0.3">
      <c r="B51" s="239" t="s">
        <v>665</v>
      </c>
      <c r="C51" s="46"/>
      <c r="D51" s="84"/>
      <c r="E51" s="84"/>
      <c r="F51" s="84"/>
      <c r="G51" s="84"/>
      <c r="H51" s="84"/>
      <c r="I51" s="84"/>
      <c r="J51" s="84"/>
      <c r="K51" s="85"/>
      <c r="L51" s="85"/>
      <c r="M51" s="85"/>
      <c r="N51" s="85"/>
      <c r="O51" s="85"/>
      <c r="P51" s="85"/>
      <c r="Q51" s="85"/>
      <c r="R51" s="85"/>
      <c r="S51" s="85"/>
      <c r="T51" s="85"/>
      <c r="U51" s="85"/>
      <c r="V51" s="85"/>
      <c r="W51" s="86"/>
    </row>
    <row r="52" spans="2:23" ht="13" x14ac:dyDescent="0.3">
      <c r="B52" s="239" t="s">
        <v>664</v>
      </c>
      <c r="K52" s="65"/>
      <c r="L52" s="65"/>
      <c r="M52" s="65"/>
    </row>
    <row r="53" spans="2:23" ht="13" x14ac:dyDescent="0.3">
      <c r="B53" s="239"/>
      <c r="K53" s="65"/>
      <c r="L53" s="65"/>
      <c r="M53" s="65"/>
    </row>
    <row r="54" spans="2:23" ht="13" x14ac:dyDescent="0.3">
      <c r="B54" s="239"/>
      <c r="K54" s="65"/>
      <c r="L54" s="65"/>
      <c r="M54" s="65"/>
    </row>
    <row r="55" spans="2:23" ht="13" x14ac:dyDescent="0.3">
      <c r="B55" s="87" t="s">
        <v>503</v>
      </c>
      <c r="M55" s="88"/>
      <c r="N55" s="88"/>
      <c r="U55" s="44"/>
      <c r="W55" s="46"/>
    </row>
    <row r="56" spans="2:23" ht="50.9" customHeight="1" x14ac:dyDescent="0.3">
      <c r="B56" s="87"/>
      <c r="E56" s="89" t="s">
        <v>504</v>
      </c>
      <c r="F56" s="90" t="s">
        <v>505</v>
      </c>
      <c r="G56" s="90" t="s">
        <v>560</v>
      </c>
      <c r="M56" s="44"/>
      <c r="O56" s="91"/>
      <c r="Q56" s="46"/>
    </row>
    <row r="57" spans="2:23" ht="14.25" customHeight="1" x14ac:dyDescent="0.4">
      <c r="B57" s="92" t="s">
        <v>506</v>
      </c>
      <c r="C57" s="93" t="s">
        <v>507</v>
      </c>
      <c r="D57" s="94" t="s">
        <v>508</v>
      </c>
      <c r="E57" s="622">
        <v>4167.67</v>
      </c>
      <c r="F57" s="623">
        <v>4404.88</v>
      </c>
      <c r="G57" s="610"/>
      <c r="H57" s="49"/>
      <c r="M57" s="44"/>
      <c r="Q57" s="46"/>
    </row>
    <row r="58" spans="2:23" ht="12.75" customHeight="1" x14ac:dyDescent="0.3">
      <c r="B58" s="78"/>
      <c r="C58" s="95"/>
      <c r="D58" s="80" t="s">
        <v>261</v>
      </c>
      <c r="E58" s="96">
        <f>E57*4.18*1000/1000000</f>
        <v>17.420860600000001</v>
      </c>
      <c r="F58" s="96">
        <f>F57*4.18*1000/1000000</f>
        <v>18.412398399999997</v>
      </c>
      <c r="G58" s="611">
        <f>AVERAGE(E58:F58)</f>
        <v>17.916629499999999</v>
      </c>
      <c r="H58" s="49"/>
      <c r="I58" s="46"/>
      <c r="J58" s="49"/>
      <c r="K58" s="49"/>
      <c r="L58" s="49"/>
      <c r="Q58" s="46"/>
    </row>
    <row r="59" spans="2:23" ht="14.25" customHeight="1" x14ac:dyDescent="0.4">
      <c r="B59" s="92" t="s">
        <v>509</v>
      </c>
      <c r="C59" s="93" t="s">
        <v>510</v>
      </c>
      <c r="D59" s="94" t="s">
        <v>508</v>
      </c>
      <c r="E59" s="622">
        <v>4280</v>
      </c>
      <c r="F59" s="623">
        <v>4364.41</v>
      </c>
      <c r="G59" s="610">
        <f>AVERAGE(E59:F59)</f>
        <v>4322.2049999999999</v>
      </c>
      <c r="I59" s="49"/>
      <c r="J59" s="49"/>
      <c r="K59" s="49"/>
      <c r="L59" s="49"/>
      <c r="M59" s="44"/>
      <c r="Q59" s="46"/>
    </row>
    <row r="60" spans="2:23" ht="12.75" customHeight="1" x14ac:dyDescent="0.3">
      <c r="B60" s="78"/>
      <c r="C60" s="95"/>
      <c r="D60" s="80" t="s">
        <v>261</v>
      </c>
      <c r="E60" s="96">
        <f>E59*4.18*1000/1000000</f>
        <v>17.890399999999996</v>
      </c>
      <c r="F60" s="96">
        <f>F59*4.18*1000/1000000</f>
        <v>18.243233799999999</v>
      </c>
      <c r="G60" s="611">
        <f>AVERAGE(E60:F60)</f>
        <v>18.066816899999999</v>
      </c>
      <c r="H60" s="49"/>
      <c r="I60" s="49"/>
      <c r="J60" s="49"/>
      <c r="K60" s="49"/>
      <c r="L60" s="49"/>
      <c r="M60" s="44"/>
      <c r="Q60" s="46"/>
    </row>
    <row r="61" spans="2:23" ht="14.25" customHeight="1" x14ac:dyDescent="0.4">
      <c r="B61" s="73" t="s">
        <v>511</v>
      </c>
      <c r="C61" s="97" t="s">
        <v>512</v>
      </c>
      <c r="D61" s="74" t="s">
        <v>508</v>
      </c>
      <c r="E61" s="98" t="s">
        <v>243</v>
      </c>
      <c r="F61" s="21" t="s">
        <v>243</v>
      </c>
      <c r="G61" s="34"/>
      <c r="I61" s="46"/>
      <c r="J61" s="49"/>
      <c r="K61" s="49"/>
      <c r="L61" s="49"/>
      <c r="M61" s="44"/>
      <c r="Q61" s="46"/>
    </row>
    <row r="62" spans="2:23" ht="13" x14ac:dyDescent="0.3">
      <c r="B62" s="78"/>
      <c r="C62" s="95"/>
      <c r="D62" s="80" t="s">
        <v>261</v>
      </c>
      <c r="E62" s="96">
        <f>+IFERROR(E61*4.18*1000/1000000,0)</f>
        <v>0</v>
      </c>
      <c r="F62" s="96">
        <f>+IFERROR(F61*4.18*1000/1000000,0)</f>
        <v>0</v>
      </c>
      <c r="G62" s="611"/>
      <c r="M62" s="44"/>
      <c r="Q62" s="46"/>
    </row>
    <row r="64" spans="2:23" ht="13" x14ac:dyDescent="0.3">
      <c r="B64" s="9" t="s">
        <v>513</v>
      </c>
      <c r="C64" s="9"/>
      <c r="D64" s="10"/>
      <c r="E64" s="10"/>
      <c r="F64" s="10"/>
      <c r="H64" s="10"/>
      <c r="I64" s="10"/>
      <c r="J64" s="10"/>
      <c r="K64" s="99"/>
    </row>
    <row r="66" spans="2:20" ht="13" x14ac:dyDescent="0.3">
      <c r="B66" s="100"/>
      <c r="C66" s="93"/>
      <c r="D66" s="101"/>
      <c r="E66" s="14" t="s">
        <v>458</v>
      </c>
      <c r="F66" s="14" t="s">
        <v>459</v>
      </c>
      <c r="G66" s="14" t="s">
        <v>460</v>
      </c>
      <c r="H66" s="14" t="s">
        <v>461</v>
      </c>
      <c r="I66" s="14" t="s">
        <v>462</v>
      </c>
      <c r="J66" s="14" t="s">
        <v>463</v>
      </c>
      <c r="K66" s="14" t="s">
        <v>464</v>
      </c>
      <c r="L66" s="14" t="s">
        <v>465</v>
      </c>
      <c r="M66" s="14" t="s">
        <v>466</v>
      </c>
      <c r="N66" s="14" t="s">
        <v>467</v>
      </c>
      <c r="O66" s="14" t="s">
        <v>468</v>
      </c>
      <c r="P66" s="15" t="s">
        <v>469</v>
      </c>
      <c r="Q66" s="102" t="s">
        <v>379</v>
      </c>
    </row>
    <row r="67" spans="2:20" ht="15" x14ac:dyDescent="0.3">
      <c r="B67" s="92" t="s">
        <v>514</v>
      </c>
      <c r="C67" s="18" t="s">
        <v>421</v>
      </c>
      <c r="D67" s="94" t="s">
        <v>683</v>
      </c>
      <c r="E67" s="103">
        <f t="shared" ref="E67:P67" si="11">E36+E35</f>
        <v>30437</v>
      </c>
      <c r="F67" s="103">
        <f t="shared" si="11"/>
        <v>24615.279999999999</v>
      </c>
      <c r="G67" s="103">
        <f>G36+G35</f>
        <v>30960.370000000003</v>
      </c>
      <c r="H67" s="103">
        <f t="shared" si="11"/>
        <v>30155.232</v>
      </c>
      <c r="I67" s="103">
        <f t="shared" si="11"/>
        <v>30618.059999999998</v>
      </c>
      <c r="J67" s="103">
        <f t="shared" si="11"/>
        <v>28435.807000000001</v>
      </c>
      <c r="K67" s="103">
        <f t="shared" si="11"/>
        <v>29296.834999999999</v>
      </c>
      <c r="L67" s="103">
        <f t="shared" si="11"/>
        <v>40355.171999999999</v>
      </c>
      <c r="M67" s="103">
        <f t="shared" si="11"/>
        <v>35101.264999999999</v>
      </c>
      <c r="N67" s="103">
        <f t="shared" si="11"/>
        <v>23667.14</v>
      </c>
      <c r="O67" s="103">
        <f t="shared" si="11"/>
        <v>18518.598000000002</v>
      </c>
      <c r="P67" s="103">
        <f t="shared" si="11"/>
        <v>24890.254999999997</v>
      </c>
      <c r="Q67" s="38">
        <f>SUM(E67:P67)</f>
        <v>347051.01399999997</v>
      </c>
    </row>
    <row r="68" spans="2:20" ht="13" x14ac:dyDescent="0.3">
      <c r="B68" s="73"/>
      <c r="C68" s="23"/>
      <c r="D68" s="94"/>
      <c r="E68" s="624"/>
      <c r="F68" s="624"/>
      <c r="G68" s="624"/>
      <c r="H68" s="624"/>
      <c r="I68" s="624"/>
      <c r="J68" s="624"/>
      <c r="K68" s="624"/>
      <c r="L68" s="624"/>
      <c r="M68" s="624"/>
      <c r="N68" s="624"/>
      <c r="O68" s="624"/>
      <c r="P68" s="624"/>
      <c r="Q68" s="732"/>
    </row>
    <row r="69" spans="2:20" ht="13" x14ac:dyDescent="0.3">
      <c r="B69" s="73" t="s">
        <v>515</v>
      </c>
      <c r="C69" s="23" t="s">
        <v>516</v>
      </c>
      <c r="D69" s="74" t="s">
        <v>684</v>
      </c>
      <c r="E69" s="104"/>
      <c r="F69" s="104"/>
      <c r="G69" s="104"/>
      <c r="H69" s="104"/>
      <c r="I69" s="104"/>
      <c r="J69" s="104"/>
      <c r="L69" s="57"/>
      <c r="M69" s="57"/>
      <c r="N69" s="57"/>
      <c r="O69" s="57"/>
      <c r="P69" s="105"/>
      <c r="Q69" s="38">
        <f>SUM(E69:P69)</f>
        <v>0</v>
      </c>
    </row>
    <row r="70" spans="2:20" ht="15" x14ac:dyDescent="0.4">
      <c r="B70" s="106" t="s">
        <v>517</v>
      </c>
      <c r="C70" s="27" t="s">
        <v>518</v>
      </c>
      <c r="D70" s="80" t="s">
        <v>519</v>
      </c>
      <c r="E70" s="107">
        <v>129</v>
      </c>
      <c r="F70" s="107">
        <v>129</v>
      </c>
      <c r="G70" s="107">
        <v>129</v>
      </c>
      <c r="H70" s="107">
        <v>129</v>
      </c>
      <c r="I70" s="107">
        <v>129</v>
      </c>
      <c r="J70" s="107">
        <v>129</v>
      </c>
      <c r="K70" s="107">
        <v>129</v>
      </c>
      <c r="L70" s="107">
        <v>129</v>
      </c>
      <c r="M70" s="107">
        <v>129</v>
      </c>
      <c r="N70" s="107">
        <v>129</v>
      </c>
      <c r="O70" s="107">
        <v>129</v>
      </c>
      <c r="P70" s="108">
        <v>129</v>
      </c>
      <c r="Q70" s="40">
        <v>129</v>
      </c>
    </row>
    <row r="72" spans="2:20" ht="13" x14ac:dyDescent="0.3">
      <c r="T72" s="46"/>
    </row>
    <row r="73" spans="2:20" ht="13" x14ac:dyDescent="0.3">
      <c r="B73" s="9" t="s">
        <v>520</v>
      </c>
      <c r="C73" s="9"/>
      <c r="D73" s="10"/>
      <c r="E73" s="10"/>
      <c r="F73" s="10"/>
      <c r="G73" s="10"/>
      <c r="H73" s="10"/>
      <c r="I73" s="10"/>
      <c r="J73" s="10"/>
      <c r="T73" s="46"/>
    </row>
    <row r="74" spans="2:20" ht="13" x14ac:dyDescent="0.3">
      <c r="T74" s="46"/>
    </row>
    <row r="75" spans="2:20" ht="13" x14ac:dyDescent="0.3">
      <c r="B75" s="46" t="s">
        <v>521</v>
      </c>
      <c r="T75" s="46"/>
    </row>
    <row r="76" spans="2:20" ht="13" x14ac:dyDescent="0.3">
      <c r="B76" s="11"/>
      <c r="C76" s="109"/>
      <c r="D76" s="110"/>
      <c r="E76" s="14" t="s">
        <v>522</v>
      </c>
      <c r="F76" s="14" t="s">
        <v>459</v>
      </c>
      <c r="G76" s="14" t="s">
        <v>460</v>
      </c>
      <c r="H76" s="14" t="s">
        <v>523</v>
      </c>
      <c r="I76" s="14" t="s">
        <v>462</v>
      </c>
      <c r="J76" s="14" t="s">
        <v>463</v>
      </c>
      <c r="K76" s="14" t="s">
        <v>464</v>
      </c>
      <c r="L76" s="14" t="s">
        <v>465</v>
      </c>
      <c r="M76" s="14" t="s">
        <v>466</v>
      </c>
      <c r="N76" s="14" t="s">
        <v>467</v>
      </c>
      <c r="O76" s="14" t="s">
        <v>468</v>
      </c>
      <c r="P76" s="15" t="s">
        <v>469</v>
      </c>
      <c r="Q76" s="111" t="s">
        <v>379</v>
      </c>
    </row>
    <row r="77" spans="2:20" ht="17" x14ac:dyDescent="0.45">
      <c r="B77" s="100" t="s">
        <v>26</v>
      </c>
      <c r="C77" s="112" t="s">
        <v>524</v>
      </c>
      <c r="D77" s="113" t="s">
        <v>525</v>
      </c>
      <c r="E77" s="625">
        <v>0</v>
      </c>
      <c r="F77" s="626">
        <v>0</v>
      </c>
      <c r="G77" s="626">
        <v>2500.4529357047577</v>
      </c>
      <c r="H77" s="626">
        <v>0</v>
      </c>
      <c r="I77" s="626">
        <v>8845.8168475337516</v>
      </c>
      <c r="J77" s="626">
        <v>1632.6898448751376</v>
      </c>
      <c r="K77" s="626">
        <v>1924.5864704587243</v>
      </c>
      <c r="L77" s="649">
        <v>0</v>
      </c>
      <c r="M77" s="626">
        <v>5957.0973914782753</v>
      </c>
      <c r="N77" s="626">
        <v>167.08158513860599</v>
      </c>
      <c r="O77" s="626">
        <v>66145.771203626384</v>
      </c>
      <c r="P77" s="628">
        <v>26.781271045935775</v>
      </c>
      <c r="Q77" s="114">
        <f>SUM(E77:P77)</f>
        <v>87200.277549861581</v>
      </c>
    </row>
    <row r="78" spans="2:20" ht="17" x14ac:dyDescent="0.45">
      <c r="B78" s="115" t="s">
        <v>310</v>
      </c>
      <c r="C78" s="53" t="s">
        <v>524</v>
      </c>
      <c r="D78" s="113" t="s">
        <v>486</v>
      </c>
      <c r="E78" s="629">
        <v>0</v>
      </c>
      <c r="F78" s="624">
        <v>0</v>
      </c>
      <c r="G78" s="624">
        <v>0</v>
      </c>
      <c r="H78" s="624">
        <v>0</v>
      </c>
      <c r="I78" s="624">
        <v>0</v>
      </c>
      <c r="J78" s="624">
        <v>0</v>
      </c>
      <c r="K78" s="624">
        <v>0</v>
      </c>
      <c r="L78" s="624">
        <v>0</v>
      </c>
      <c r="M78" s="624">
        <v>0</v>
      </c>
      <c r="N78" s="624">
        <v>0</v>
      </c>
      <c r="O78" s="624">
        <v>0</v>
      </c>
      <c r="P78" s="630">
        <v>0</v>
      </c>
      <c r="Q78" s="116">
        <f>SUM(E78:P78)</f>
        <v>0</v>
      </c>
    </row>
    <row r="79" spans="2:20" ht="17" x14ac:dyDescent="0.45">
      <c r="B79" s="117" t="s">
        <v>526</v>
      </c>
      <c r="C79" s="55" t="s">
        <v>524</v>
      </c>
      <c r="D79" s="118" t="s">
        <v>525</v>
      </c>
      <c r="E79" s="119">
        <f>+E77/625</f>
        <v>0</v>
      </c>
      <c r="F79" s="120">
        <f>+F77/625</f>
        <v>0</v>
      </c>
      <c r="G79" s="120">
        <f t="shared" ref="G79:P79" si="12">+G77/625</f>
        <v>4.0007246971276125</v>
      </c>
      <c r="H79" s="120">
        <f t="shared" si="12"/>
        <v>0</v>
      </c>
      <c r="I79" s="120">
        <f>+I77/625</f>
        <v>14.153306956054003</v>
      </c>
      <c r="J79" s="120">
        <f t="shared" si="12"/>
        <v>2.6123037518002201</v>
      </c>
      <c r="K79" s="120">
        <f t="shared" si="12"/>
        <v>3.0793383527339588</v>
      </c>
      <c r="L79" s="120">
        <f t="shared" si="12"/>
        <v>0</v>
      </c>
      <c r="M79" s="120">
        <f t="shared" si="12"/>
        <v>9.5313558263652407</v>
      </c>
      <c r="N79" s="120">
        <f t="shared" si="12"/>
        <v>0.26733053622176955</v>
      </c>
      <c r="O79" s="121">
        <f>+O77/625</f>
        <v>105.83323392580222</v>
      </c>
      <c r="P79" s="121">
        <f t="shared" si="12"/>
        <v>4.285003367349724E-2</v>
      </c>
      <c r="Q79" s="122">
        <f>SUM(E79:P79)</f>
        <v>139.52044407977851</v>
      </c>
    </row>
    <row r="80" spans="2:20" ht="13" x14ac:dyDescent="0.3">
      <c r="T80" s="46"/>
    </row>
    <row r="81" spans="2:23" ht="13" hidden="1" x14ac:dyDescent="0.3">
      <c r="T81" s="46"/>
    </row>
    <row r="82" spans="2:23" ht="13" hidden="1" x14ac:dyDescent="0.3">
      <c r="B82" s="46" t="s">
        <v>527</v>
      </c>
      <c r="T82" s="46"/>
    </row>
    <row r="83" spans="2:23" ht="13" hidden="1" x14ac:dyDescent="0.3">
      <c r="B83" s="11"/>
      <c r="C83" s="123"/>
      <c r="D83" s="93"/>
      <c r="E83" s="93"/>
      <c r="F83" s="93"/>
      <c r="G83" s="93"/>
      <c r="H83" s="93"/>
      <c r="I83" s="93"/>
      <c r="J83" s="93"/>
      <c r="K83" s="30" t="s">
        <v>458</v>
      </c>
      <c r="L83" s="30" t="s">
        <v>459</v>
      </c>
      <c r="M83" s="30" t="s">
        <v>460</v>
      </c>
      <c r="N83" s="30" t="s">
        <v>461</v>
      </c>
      <c r="O83" s="30" t="s">
        <v>462</v>
      </c>
      <c r="P83" s="30" t="s">
        <v>463</v>
      </c>
      <c r="Q83" s="30" t="s">
        <v>464</v>
      </c>
      <c r="R83" s="30" t="s">
        <v>528</v>
      </c>
      <c r="S83" s="30" t="s">
        <v>466</v>
      </c>
      <c r="T83" s="30" t="s">
        <v>467</v>
      </c>
      <c r="U83" s="30" t="s">
        <v>468</v>
      </c>
      <c r="V83" s="30" t="s">
        <v>529</v>
      </c>
      <c r="W83" s="111" t="s">
        <v>379</v>
      </c>
    </row>
    <row r="84" spans="2:23" ht="17" hidden="1" x14ac:dyDescent="0.45">
      <c r="B84" s="100" t="s">
        <v>26</v>
      </c>
      <c r="C84" s="45"/>
      <c r="D84" s="112" t="s">
        <v>530</v>
      </c>
      <c r="E84" s="112"/>
      <c r="F84" s="112"/>
      <c r="G84" s="112"/>
      <c r="H84" s="112"/>
      <c r="I84" s="112"/>
      <c r="J84" s="112"/>
      <c r="K84" s="38"/>
      <c r="L84" s="38"/>
      <c r="M84" s="38"/>
      <c r="N84" s="38"/>
      <c r="O84" s="38"/>
      <c r="P84" s="38"/>
      <c r="Q84" s="38"/>
      <c r="R84" s="38"/>
      <c r="S84" s="38"/>
      <c r="T84" s="38"/>
      <c r="U84" s="38"/>
      <c r="V84" s="38"/>
      <c r="W84" s="114"/>
    </row>
    <row r="85" spans="2:23" ht="17" hidden="1" x14ac:dyDescent="0.45">
      <c r="B85" s="115" t="s">
        <v>310</v>
      </c>
      <c r="C85" s="46"/>
      <c r="D85" s="53" t="s">
        <v>530</v>
      </c>
      <c r="E85" s="53"/>
      <c r="F85" s="53"/>
      <c r="G85" s="53"/>
      <c r="H85" s="53"/>
      <c r="I85" s="53"/>
      <c r="J85" s="53"/>
      <c r="K85" s="21"/>
      <c r="L85" s="21"/>
      <c r="M85" s="21"/>
      <c r="N85" s="21"/>
      <c r="O85" s="21"/>
      <c r="P85" s="21"/>
      <c r="Q85" s="21"/>
      <c r="R85" s="21"/>
      <c r="S85" s="21"/>
      <c r="T85" s="21"/>
      <c r="U85" s="21"/>
      <c r="V85" s="21"/>
      <c r="W85" s="116"/>
    </row>
    <row r="86" spans="2:23" ht="17" hidden="1" x14ac:dyDescent="0.45">
      <c r="B86" s="117" t="s">
        <v>531</v>
      </c>
      <c r="C86" s="124"/>
      <c r="D86" s="55" t="s">
        <v>530</v>
      </c>
      <c r="E86" s="55"/>
      <c r="F86" s="55"/>
      <c r="G86" s="55"/>
      <c r="H86" s="55"/>
      <c r="I86" s="55"/>
      <c r="J86" s="55"/>
      <c r="K86" s="41"/>
      <c r="L86" s="41"/>
      <c r="M86" s="41"/>
      <c r="N86" s="41"/>
      <c r="O86" s="41"/>
      <c r="P86" s="41"/>
      <c r="Q86" s="41"/>
      <c r="R86" s="41"/>
      <c r="S86" s="41"/>
      <c r="T86" s="41"/>
      <c r="U86" s="41"/>
      <c r="V86" s="41"/>
      <c r="W86" s="122"/>
    </row>
    <row r="87" spans="2:23" ht="13" hidden="1" x14ac:dyDescent="0.3">
      <c r="T87" s="46"/>
    </row>
    <row r="88" spans="2:23" ht="13" hidden="1" x14ac:dyDescent="0.3">
      <c r="T88" s="46"/>
    </row>
    <row r="89" spans="2:23" ht="13" hidden="1" x14ac:dyDescent="0.3">
      <c r="B89" s="46" t="s">
        <v>532</v>
      </c>
      <c r="T89" s="46"/>
    </row>
    <row r="90" spans="2:23" ht="13" hidden="1" x14ac:dyDescent="0.3">
      <c r="B90" s="11"/>
      <c r="C90" s="123"/>
      <c r="D90" s="93"/>
      <c r="E90" s="93"/>
      <c r="F90" s="93"/>
      <c r="G90" s="93"/>
      <c r="H90" s="93"/>
      <c r="I90" s="93"/>
      <c r="J90" s="93"/>
      <c r="K90" s="30" t="s">
        <v>458</v>
      </c>
      <c r="L90" s="30" t="s">
        <v>459</v>
      </c>
      <c r="M90" s="30" t="s">
        <v>460</v>
      </c>
      <c r="N90" s="30" t="s">
        <v>461</v>
      </c>
      <c r="O90" s="30" t="s">
        <v>462</v>
      </c>
      <c r="P90" s="30" t="s">
        <v>463</v>
      </c>
      <c r="Q90" s="30" t="s">
        <v>464</v>
      </c>
      <c r="R90" s="30" t="s">
        <v>528</v>
      </c>
      <c r="S90" s="30" t="s">
        <v>466</v>
      </c>
      <c r="T90" s="30" t="s">
        <v>467</v>
      </c>
      <c r="U90" s="30" t="s">
        <v>468</v>
      </c>
      <c r="V90" s="30" t="s">
        <v>529</v>
      </c>
      <c r="W90" s="16" t="s">
        <v>379</v>
      </c>
    </row>
    <row r="91" spans="2:23" ht="17" hidden="1" x14ac:dyDescent="0.45">
      <c r="B91" s="100" t="s">
        <v>26</v>
      </c>
      <c r="C91" s="45"/>
      <c r="D91" s="112" t="s">
        <v>533</v>
      </c>
      <c r="E91" s="112"/>
      <c r="F91" s="112"/>
      <c r="G91" s="112"/>
      <c r="H91" s="112"/>
      <c r="I91" s="112"/>
      <c r="J91" s="112"/>
      <c r="K91" s="125"/>
      <c r="L91" s="126"/>
      <c r="M91" s="125"/>
      <c r="N91" s="126"/>
      <c r="O91" s="125"/>
      <c r="P91" s="126"/>
      <c r="Q91" s="125"/>
      <c r="R91" s="126"/>
      <c r="S91" s="125"/>
      <c r="T91" s="126"/>
      <c r="U91" s="125"/>
      <c r="V91" s="127"/>
      <c r="W91" s="114">
        <v>0</v>
      </c>
    </row>
    <row r="92" spans="2:23" ht="17" hidden="1" x14ac:dyDescent="0.45">
      <c r="B92" s="115" t="s">
        <v>310</v>
      </c>
      <c r="C92" s="46"/>
      <c r="D92" s="53" t="s">
        <v>533</v>
      </c>
      <c r="E92" s="53"/>
      <c r="F92" s="53"/>
      <c r="G92" s="53"/>
      <c r="H92" s="53"/>
      <c r="I92" s="53"/>
      <c r="J92" s="53"/>
      <c r="K92" s="128"/>
      <c r="L92" s="126"/>
      <c r="M92" s="128"/>
      <c r="N92" s="126"/>
      <c r="O92" s="128"/>
      <c r="P92" s="126"/>
      <c r="Q92" s="128"/>
      <c r="R92" s="126"/>
      <c r="S92" s="128"/>
      <c r="T92" s="126"/>
      <c r="U92" s="128"/>
      <c r="V92" s="127"/>
      <c r="W92" s="116">
        <v>0</v>
      </c>
    </row>
    <row r="93" spans="2:23" ht="17" hidden="1" x14ac:dyDescent="0.45">
      <c r="B93" s="117" t="s">
        <v>531</v>
      </c>
      <c r="C93" s="124"/>
      <c r="D93" s="55" t="s">
        <v>534</v>
      </c>
      <c r="E93" s="55"/>
      <c r="F93" s="55"/>
      <c r="G93" s="55"/>
      <c r="H93" s="55"/>
      <c r="I93" s="55"/>
      <c r="J93" s="55"/>
      <c r="K93" s="129"/>
      <c r="L93" s="130"/>
      <c r="M93" s="129"/>
      <c r="N93" s="130"/>
      <c r="O93" s="129"/>
      <c r="P93" s="130"/>
      <c r="Q93" s="129"/>
      <c r="R93" s="130"/>
      <c r="S93" s="129"/>
      <c r="T93" s="130"/>
      <c r="U93" s="129"/>
      <c r="V93" s="131"/>
      <c r="W93" s="122">
        <v>0</v>
      </c>
    </row>
    <row r="94" spans="2:23" hidden="1" x14ac:dyDescent="0.25"/>
    <row r="95" spans="2:23" ht="13" hidden="1" x14ac:dyDescent="0.3">
      <c r="B95" s="46" t="s">
        <v>535</v>
      </c>
    </row>
    <row r="96" spans="2:23" ht="13" hidden="1" x14ac:dyDescent="0.3">
      <c r="B96" s="132"/>
      <c r="C96" s="123"/>
      <c r="D96" s="93"/>
      <c r="E96" s="93"/>
      <c r="F96" s="93"/>
      <c r="G96" s="93"/>
      <c r="H96" s="93"/>
      <c r="I96" s="93"/>
      <c r="J96" s="93"/>
      <c r="K96" s="16" t="s">
        <v>536</v>
      </c>
      <c r="L96" s="17"/>
      <c r="M96" s="16" t="s">
        <v>537</v>
      </c>
    </row>
    <row r="97" spans="2:23" ht="15" hidden="1" x14ac:dyDescent="0.4">
      <c r="B97" s="100" t="s">
        <v>26</v>
      </c>
      <c r="C97" s="45"/>
      <c r="D97" s="17" t="s">
        <v>538</v>
      </c>
      <c r="E97" s="17"/>
      <c r="F97" s="17"/>
      <c r="G97" s="17"/>
      <c r="H97" s="17"/>
      <c r="I97" s="17"/>
      <c r="J97" s="17"/>
      <c r="K97" s="133"/>
      <c r="L97" s="134" t="s">
        <v>308</v>
      </c>
      <c r="M97" s="133"/>
    </row>
    <row r="98" spans="2:23" ht="15" hidden="1" x14ac:dyDescent="0.4">
      <c r="B98" s="115" t="s">
        <v>310</v>
      </c>
      <c r="C98" s="46"/>
      <c r="D98" s="22" t="s">
        <v>539</v>
      </c>
      <c r="E98" s="22"/>
      <c r="F98" s="22"/>
      <c r="G98" s="22"/>
      <c r="H98" s="22"/>
      <c r="I98" s="22"/>
      <c r="J98" s="22"/>
      <c r="K98" s="135"/>
      <c r="L98" s="24" t="s">
        <v>308</v>
      </c>
      <c r="M98" s="136"/>
    </row>
    <row r="99" spans="2:23" ht="16.5" hidden="1" x14ac:dyDescent="0.4">
      <c r="B99" s="117" t="s">
        <v>540</v>
      </c>
      <c r="C99" s="124"/>
      <c r="D99" s="79" t="s">
        <v>541</v>
      </c>
      <c r="E99" s="79"/>
      <c r="F99" s="79"/>
      <c r="G99" s="79"/>
      <c r="H99" s="79"/>
      <c r="I99" s="79"/>
      <c r="J99" s="79"/>
      <c r="K99" s="137"/>
      <c r="L99" s="40" t="s">
        <v>542</v>
      </c>
      <c r="M99" s="138"/>
    </row>
    <row r="100" spans="2:23" hidden="1" x14ac:dyDescent="0.25"/>
    <row r="101" spans="2:23" ht="13" hidden="1" x14ac:dyDescent="0.3">
      <c r="B101" s="11" t="s">
        <v>543</v>
      </c>
      <c r="C101" s="123"/>
      <c r="D101" s="93"/>
      <c r="E101" s="93"/>
      <c r="F101" s="93"/>
      <c r="G101" s="93"/>
      <c r="H101" s="93"/>
      <c r="I101" s="93"/>
      <c r="J101" s="93"/>
      <c r="K101" s="16" t="s">
        <v>536</v>
      </c>
      <c r="L101" s="17"/>
      <c r="M101" s="16" t="s">
        <v>537</v>
      </c>
    </row>
    <row r="102" spans="2:23" ht="13" hidden="1" x14ac:dyDescent="0.3">
      <c r="B102" s="139" t="s">
        <v>26</v>
      </c>
      <c r="C102" s="140"/>
      <c r="D102" s="141"/>
      <c r="E102" s="141"/>
      <c r="F102" s="141"/>
      <c r="G102" s="141"/>
      <c r="H102" s="141"/>
      <c r="I102" s="141"/>
      <c r="J102" s="141"/>
      <c r="K102" s="142">
        <v>43.3</v>
      </c>
      <c r="L102" s="143" t="s">
        <v>308</v>
      </c>
      <c r="M102" s="142">
        <v>0.84</v>
      </c>
    </row>
    <row r="103" spans="2:23" ht="13" hidden="1" x14ac:dyDescent="0.3">
      <c r="B103" s="144" t="s">
        <v>310</v>
      </c>
      <c r="C103" s="145"/>
      <c r="D103" s="146"/>
      <c r="E103" s="146"/>
      <c r="F103" s="146"/>
      <c r="G103" s="146"/>
      <c r="H103" s="146"/>
      <c r="I103" s="146"/>
      <c r="J103" s="146"/>
      <c r="K103" s="147">
        <v>41.7</v>
      </c>
      <c r="L103" s="148" t="s">
        <v>308</v>
      </c>
      <c r="M103" s="147">
        <v>0.98</v>
      </c>
    </row>
    <row r="104" spans="2:23" ht="15.5" hidden="1" x14ac:dyDescent="0.3">
      <c r="B104" s="149" t="s">
        <v>544</v>
      </c>
      <c r="C104" s="150"/>
      <c r="D104" s="151"/>
      <c r="E104" s="151"/>
      <c r="F104" s="151"/>
      <c r="G104" s="151"/>
      <c r="H104" s="151"/>
      <c r="I104" s="151"/>
      <c r="J104" s="151"/>
      <c r="K104" s="152">
        <v>52.2</v>
      </c>
      <c r="L104" s="153" t="s">
        <v>542</v>
      </c>
      <c r="M104" s="152">
        <v>0.55000000000000004</v>
      </c>
    </row>
    <row r="105" spans="2:23" ht="13" hidden="1" x14ac:dyDescent="0.3">
      <c r="B105" s="87"/>
    </row>
    <row r="106" spans="2:23" ht="13" x14ac:dyDescent="0.3">
      <c r="B106" s="154" t="s">
        <v>545</v>
      </c>
      <c r="C106" s="155"/>
      <c r="D106" s="155"/>
      <c r="E106" s="155"/>
      <c r="F106" s="155"/>
      <c r="G106" s="155"/>
      <c r="H106" s="155"/>
      <c r="I106" s="155"/>
      <c r="J106" s="155"/>
      <c r="K106" s="155"/>
      <c r="L106" s="155"/>
      <c r="M106" s="155"/>
      <c r="N106" s="155"/>
      <c r="O106" s="155"/>
      <c r="P106" s="155"/>
      <c r="Q106" s="155"/>
      <c r="R106" s="155"/>
      <c r="S106" s="155"/>
      <c r="T106" s="154"/>
      <c r="U106" s="155"/>
      <c r="V106" s="155"/>
      <c r="W106" s="155"/>
    </row>
    <row r="107" spans="2:23" ht="13" x14ac:dyDescent="0.3">
      <c r="B107" s="156"/>
      <c r="C107" s="157"/>
      <c r="D107" s="158"/>
      <c r="E107" s="14" t="s">
        <v>458</v>
      </c>
      <c r="F107" s="14" t="s">
        <v>459</v>
      </c>
      <c r="G107" s="14" t="s">
        <v>460</v>
      </c>
      <c r="H107" s="14" t="s">
        <v>461</v>
      </c>
      <c r="I107" s="14" t="s">
        <v>462</v>
      </c>
      <c r="J107" s="14" t="s">
        <v>463</v>
      </c>
      <c r="K107" s="14" t="s">
        <v>464</v>
      </c>
      <c r="L107" s="14" t="s">
        <v>465</v>
      </c>
      <c r="M107" s="14" t="s">
        <v>466</v>
      </c>
      <c r="N107" s="14" t="s">
        <v>467</v>
      </c>
      <c r="O107" s="14" t="s">
        <v>468</v>
      </c>
      <c r="P107" s="15" t="s">
        <v>469</v>
      </c>
      <c r="Q107" s="159" t="s">
        <v>379</v>
      </c>
    </row>
    <row r="108" spans="2:23" ht="17" x14ac:dyDescent="0.45">
      <c r="B108" s="160" t="s">
        <v>26</v>
      </c>
      <c r="C108" s="161" t="s">
        <v>530</v>
      </c>
      <c r="D108" s="162" t="s">
        <v>525</v>
      </c>
      <c r="E108" s="631">
        <v>4737</v>
      </c>
      <c r="F108" s="627">
        <v>4723</v>
      </c>
      <c r="G108" s="627">
        <v>6185</v>
      </c>
      <c r="H108" s="627">
        <v>5861</v>
      </c>
      <c r="I108" s="627">
        <v>5253</v>
      </c>
      <c r="J108" s="627">
        <v>4905</v>
      </c>
      <c r="K108" s="627">
        <v>5263</v>
      </c>
      <c r="L108" s="627">
        <v>6413</v>
      </c>
      <c r="M108" s="627">
        <v>7042</v>
      </c>
      <c r="N108" s="627">
        <v>5458</v>
      </c>
      <c r="O108" s="627">
        <v>6126</v>
      </c>
      <c r="P108" s="632">
        <v>5237</v>
      </c>
      <c r="Q108" s="163">
        <f>SUM(E108:P108)</f>
        <v>67203</v>
      </c>
    </row>
    <row r="109" spans="2:23" ht="17" x14ac:dyDescent="0.45">
      <c r="B109" s="164" t="s">
        <v>310</v>
      </c>
      <c r="C109" s="165" t="s">
        <v>530</v>
      </c>
      <c r="D109" s="162" t="s">
        <v>486</v>
      </c>
      <c r="E109" s="633">
        <v>0</v>
      </c>
      <c r="F109" s="634">
        <v>0</v>
      </c>
      <c r="G109" s="634">
        <v>0</v>
      </c>
      <c r="H109" s="634">
        <v>0</v>
      </c>
      <c r="I109" s="634">
        <v>0</v>
      </c>
      <c r="J109" s="634">
        <v>0</v>
      </c>
      <c r="K109" s="634">
        <v>0</v>
      </c>
      <c r="L109" s="634">
        <v>0</v>
      </c>
      <c r="M109" s="634">
        <v>0</v>
      </c>
      <c r="N109" s="634">
        <v>0</v>
      </c>
      <c r="O109" s="634">
        <v>0</v>
      </c>
      <c r="P109" s="635">
        <v>0</v>
      </c>
      <c r="Q109" s="166">
        <f>SUM(E109:P109)</f>
        <v>0</v>
      </c>
    </row>
    <row r="110" spans="2:23" ht="17" x14ac:dyDescent="0.45">
      <c r="B110" s="167" t="s">
        <v>546</v>
      </c>
      <c r="C110" s="168" t="s">
        <v>530</v>
      </c>
      <c r="D110" s="169" t="s">
        <v>525</v>
      </c>
      <c r="E110" s="636">
        <v>0</v>
      </c>
      <c r="F110" s="637">
        <v>0</v>
      </c>
      <c r="G110" s="637">
        <v>0</v>
      </c>
      <c r="H110" s="637">
        <v>0</v>
      </c>
      <c r="I110" s="637">
        <v>0</v>
      </c>
      <c r="J110" s="637">
        <v>0</v>
      </c>
      <c r="K110" s="637">
        <v>0</v>
      </c>
      <c r="L110" s="637">
        <v>0</v>
      </c>
      <c r="M110" s="637">
        <v>0</v>
      </c>
      <c r="N110" s="637">
        <v>0</v>
      </c>
      <c r="O110" s="637">
        <v>0</v>
      </c>
      <c r="P110" s="638">
        <v>0</v>
      </c>
      <c r="Q110" s="170">
        <f>SUM(E110:P110)</f>
        <v>0</v>
      </c>
    </row>
    <row r="111" spans="2:23" ht="13" x14ac:dyDescent="0.3">
      <c r="B111" s="155"/>
      <c r="C111" s="155"/>
      <c r="D111" s="155"/>
      <c r="E111" s="155"/>
      <c r="F111" s="155"/>
      <c r="G111" s="155"/>
      <c r="H111" s="155"/>
      <c r="I111" s="155"/>
      <c r="J111" s="155"/>
      <c r="K111" s="155"/>
      <c r="L111" s="155"/>
      <c r="M111" s="155"/>
      <c r="N111" s="155"/>
      <c r="O111" s="155"/>
      <c r="P111" s="155"/>
      <c r="Q111" s="155"/>
      <c r="R111" s="155"/>
      <c r="S111" s="155"/>
      <c r="T111" s="154"/>
      <c r="U111" s="155"/>
      <c r="V111" s="155"/>
      <c r="W111" s="155"/>
    </row>
    <row r="112" spans="2:23" ht="13" x14ac:dyDescent="0.3">
      <c r="B112" s="171" t="s">
        <v>547</v>
      </c>
      <c r="C112" s="155"/>
      <c r="D112" s="155"/>
      <c r="E112" s="155"/>
      <c r="F112" s="155"/>
      <c r="G112" s="155"/>
      <c r="H112" s="155"/>
      <c r="I112" s="155"/>
      <c r="J112" s="155"/>
      <c r="K112" s="155"/>
      <c r="L112" s="155"/>
      <c r="M112" s="155"/>
      <c r="N112" s="155"/>
      <c r="O112" s="155"/>
      <c r="P112" s="155"/>
      <c r="Q112" s="155"/>
      <c r="R112" s="155"/>
      <c r="S112" s="155"/>
      <c r="T112" s="154"/>
      <c r="U112" s="155"/>
      <c r="V112" s="155"/>
      <c r="W112" s="155"/>
    </row>
    <row r="113" spans="2:23" ht="13" x14ac:dyDescent="0.3">
      <c r="B113" s="156" t="s">
        <v>548</v>
      </c>
      <c r="C113" s="172"/>
      <c r="D113" s="173"/>
      <c r="E113" s="174" t="s">
        <v>536</v>
      </c>
      <c r="F113" s="175"/>
      <c r="G113" s="174" t="s">
        <v>537</v>
      </c>
    </row>
    <row r="114" spans="2:23" ht="13" x14ac:dyDescent="0.3">
      <c r="B114" s="176" t="s">
        <v>26</v>
      </c>
      <c r="C114" s="177"/>
      <c r="D114" s="178" t="s">
        <v>549</v>
      </c>
      <c r="E114" s="179">
        <v>43.3</v>
      </c>
      <c r="F114" s="178" t="s">
        <v>308</v>
      </c>
      <c r="G114" s="179">
        <v>0.84</v>
      </c>
    </row>
    <row r="115" spans="2:23" ht="13" x14ac:dyDescent="0.3">
      <c r="B115" s="180" t="s">
        <v>310</v>
      </c>
      <c r="C115" s="181"/>
      <c r="D115" s="182" t="s">
        <v>549</v>
      </c>
      <c r="E115" s="183">
        <v>41.7</v>
      </c>
      <c r="F115" s="182" t="s">
        <v>308</v>
      </c>
      <c r="G115" s="183">
        <v>0.98</v>
      </c>
    </row>
    <row r="116" spans="2:23" ht="15.5" x14ac:dyDescent="0.3">
      <c r="B116" s="184" t="s">
        <v>544</v>
      </c>
      <c r="C116" s="185"/>
      <c r="D116" s="186" t="s">
        <v>549</v>
      </c>
      <c r="E116" s="187">
        <v>52.2</v>
      </c>
      <c r="F116" s="186" t="s">
        <v>542</v>
      </c>
      <c r="G116" s="187">
        <v>0.55000000000000004</v>
      </c>
    </row>
    <row r="117" spans="2:23" ht="13" x14ac:dyDescent="0.3">
      <c r="D117" s="46"/>
      <c r="E117" s="46"/>
      <c r="F117" s="46"/>
      <c r="G117" s="46"/>
      <c r="H117" s="46"/>
      <c r="I117" s="46"/>
      <c r="J117" s="46"/>
    </row>
    <row r="118" spans="2:23" ht="13" x14ac:dyDescent="0.3">
      <c r="B118" s="188" t="s">
        <v>550</v>
      </c>
      <c r="C118" s="155"/>
      <c r="D118" s="155"/>
      <c r="E118" s="155"/>
      <c r="F118" s="155"/>
      <c r="G118" s="155"/>
      <c r="H118" s="155"/>
      <c r="I118" s="155"/>
      <c r="J118" s="155"/>
      <c r="K118" s="155"/>
      <c r="L118" s="155"/>
      <c r="M118" s="155"/>
      <c r="N118" s="155"/>
      <c r="O118" s="155"/>
      <c r="P118" s="155"/>
      <c r="Q118" s="155"/>
      <c r="R118" s="155"/>
      <c r="S118" s="155"/>
      <c r="T118" s="154"/>
      <c r="U118" s="155"/>
      <c r="V118" s="155"/>
      <c r="W118" s="155"/>
    </row>
    <row r="119" spans="2:23" ht="13" x14ac:dyDescent="0.3">
      <c r="B119" s="156"/>
      <c r="C119" s="157"/>
      <c r="D119" s="158"/>
      <c r="E119" s="189" t="s">
        <v>458</v>
      </c>
      <c r="F119" s="189" t="s">
        <v>459</v>
      </c>
      <c r="G119" s="189" t="s">
        <v>460</v>
      </c>
      <c r="H119" s="189" t="s">
        <v>461</v>
      </c>
      <c r="I119" s="189" t="s">
        <v>462</v>
      </c>
      <c r="J119" s="189" t="s">
        <v>463</v>
      </c>
      <c r="K119" s="189" t="s">
        <v>464</v>
      </c>
      <c r="L119" s="189" t="s">
        <v>465</v>
      </c>
      <c r="M119" s="189" t="s">
        <v>466</v>
      </c>
      <c r="N119" s="189" t="s">
        <v>467</v>
      </c>
      <c r="O119" s="189" t="s">
        <v>468</v>
      </c>
      <c r="P119" s="190" t="s">
        <v>469</v>
      </c>
      <c r="Q119" s="174" t="s">
        <v>379</v>
      </c>
    </row>
    <row r="120" spans="2:23" ht="17" x14ac:dyDescent="0.45">
      <c r="B120" s="160" t="s">
        <v>26</v>
      </c>
      <c r="C120" s="161" t="s">
        <v>533</v>
      </c>
      <c r="D120" s="191" t="s">
        <v>525</v>
      </c>
      <c r="E120" s="639">
        <v>0</v>
      </c>
      <c r="F120" s="640">
        <v>0</v>
      </c>
      <c r="G120" s="640">
        <v>0</v>
      </c>
      <c r="H120" s="640">
        <v>0</v>
      </c>
      <c r="I120" s="640">
        <v>0</v>
      </c>
      <c r="J120" s="640">
        <v>0</v>
      </c>
      <c r="K120" s="640">
        <v>0</v>
      </c>
      <c r="L120" s="640">
        <v>0</v>
      </c>
      <c r="M120" s="640">
        <v>0</v>
      </c>
      <c r="N120" s="640">
        <v>0</v>
      </c>
      <c r="O120" s="640">
        <v>0</v>
      </c>
      <c r="P120" s="641">
        <v>0</v>
      </c>
      <c r="Q120" s="163">
        <f>+SUM(E120:P120)</f>
        <v>0</v>
      </c>
    </row>
    <row r="121" spans="2:23" ht="17" x14ac:dyDescent="0.45">
      <c r="B121" s="164" t="s">
        <v>310</v>
      </c>
      <c r="C121" s="165" t="s">
        <v>533</v>
      </c>
      <c r="D121" s="191" t="s">
        <v>486</v>
      </c>
      <c r="E121" s="642">
        <v>0</v>
      </c>
      <c r="F121" s="643">
        <v>0</v>
      </c>
      <c r="G121" s="643">
        <v>0</v>
      </c>
      <c r="H121" s="643">
        <v>0</v>
      </c>
      <c r="I121" s="643">
        <v>0</v>
      </c>
      <c r="J121" s="643">
        <v>0</v>
      </c>
      <c r="K121" s="643">
        <v>0</v>
      </c>
      <c r="L121" s="643">
        <v>0</v>
      </c>
      <c r="M121" s="643">
        <v>0</v>
      </c>
      <c r="N121" s="643">
        <v>0</v>
      </c>
      <c r="O121" s="643">
        <v>0</v>
      </c>
      <c r="P121" s="644">
        <v>0</v>
      </c>
      <c r="Q121" s="166">
        <f t="shared" ref="Q121:Q122" si="13">+SUM(E121:P121)</f>
        <v>0</v>
      </c>
    </row>
    <row r="122" spans="2:23" ht="17" x14ac:dyDescent="0.45">
      <c r="B122" s="167" t="s">
        <v>546</v>
      </c>
      <c r="C122" s="168" t="s">
        <v>534</v>
      </c>
      <c r="D122" s="192" t="s">
        <v>525</v>
      </c>
      <c r="E122" s="645">
        <v>0</v>
      </c>
      <c r="F122" s="646">
        <v>0</v>
      </c>
      <c r="G122" s="646">
        <v>0</v>
      </c>
      <c r="H122" s="646">
        <v>0</v>
      </c>
      <c r="I122" s="646">
        <v>0</v>
      </c>
      <c r="J122" s="646">
        <v>0</v>
      </c>
      <c r="K122" s="646">
        <v>0</v>
      </c>
      <c r="L122" s="646">
        <v>0</v>
      </c>
      <c r="M122" s="646">
        <v>0</v>
      </c>
      <c r="N122" s="646">
        <v>0</v>
      </c>
      <c r="O122" s="646">
        <v>0</v>
      </c>
      <c r="P122" s="647">
        <v>0</v>
      </c>
      <c r="Q122" s="170">
        <f t="shared" si="13"/>
        <v>0</v>
      </c>
    </row>
    <row r="123" spans="2:23" ht="13" x14ac:dyDescent="0.3">
      <c r="D123" s="46"/>
      <c r="E123" s="46"/>
      <c r="F123" s="46"/>
      <c r="G123" s="46"/>
      <c r="H123" s="46"/>
      <c r="I123" s="46"/>
      <c r="J123" s="46"/>
      <c r="N123" s="155"/>
      <c r="O123" s="155"/>
      <c r="P123" s="155"/>
      <c r="Q123" s="155"/>
      <c r="R123" s="155"/>
      <c r="S123" s="155"/>
      <c r="T123" s="155"/>
      <c r="U123" s="155"/>
      <c r="V123" s="155"/>
      <c r="W123" s="155"/>
    </row>
    <row r="124" spans="2:23" ht="13" x14ac:dyDescent="0.3">
      <c r="D124" s="46"/>
      <c r="E124" s="46"/>
      <c r="F124" s="46"/>
      <c r="G124" s="46"/>
      <c r="H124" s="46"/>
      <c r="I124" s="46"/>
      <c r="J124" s="46"/>
      <c r="N124" s="155"/>
      <c r="O124" s="155"/>
      <c r="P124" s="155"/>
      <c r="Q124" s="155"/>
      <c r="R124" s="155"/>
      <c r="S124" s="155"/>
      <c r="T124" s="155"/>
      <c r="U124" s="155"/>
      <c r="V124" s="155"/>
      <c r="W124" s="155"/>
    </row>
  </sheetData>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W120"/>
  <sheetViews>
    <sheetView topLeftCell="B1" zoomScale="70" zoomScaleNormal="70" workbookViewId="0">
      <selection activeCell="Q15" sqref="Q15:Q16"/>
    </sheetView>
  </sheetViews>
  <sheetFormatPr baseColWidth="10" defaultColWidth="11.54296875" defaultRowHeight="12.5" x14ac:dyDescent="0.25"/>
  <cols>
    <col min="1" max="1" width="2.1796875" style="4" customWidth="1"/>
    <col min="2" max="2" width="83.54296875" style="4" customWidth="1"/>
    <col min="3" max="3" width="24.1796875" style="4" bestFit="1" customWidth="1"/>
    <col min="4" max="4" width="17.81640625" style="4" bestFit="1" customWidth="1"/>
    <col min="5" max="5" width="19.1796875" style="4" bestFit="1" customWidth="1"/>
    <col min="6" max="6" width="21" style="4" bestFit="1" customWidth="1"/>
    <col min="7" max="7" width="9.54296875" style="4" bestFit="1" customWidth="1"/>
    <col min="8" max="10" width="8.54296875" style="4" bestFit="1" customWidth="1"/>
    <col min="11" max="11" width="8.1796875" style="4" bestFit="1" customWidth="1"/>
    <col min="12" max="12" width="8.54296875" style="4" bestFit="1" customWidth="1"/>
    <col min="13" max="13" width="9.54296875" style="4" bestFit="1" customWidth="1"/>
    <col min="14" max="14" width="8.1796875" style="4" bestFit="1" customWidth="1"/>
    <col min="15" max="16" width="8.54296875" style="4" bestFit="1" customWidth="1"/>
    <col min="17" max="17" width="9.81640625" style="4" bestFit="1" customWidth="1"/>
    <col min="18" max="22" width="9.1796875" style="4" customWidth="1"/>
    <col min="23" max="23" width="8.81640625" style="4" bestFit="1" customWidth="1"/>
    <col min="24" max="16384" width="11.54296875" style="4"/>
  </cols>
  <sheetData>
    <row r="2" spans="2:17" ht="23" x14ac:dyDescent="0.5">
      <c r="B2" s="1" t="s">
        <v>242</v>
      </c>
      <c r="C2" s="2"/>
      <c r="D2" s="3"/>
      <c r="E2" s="3"/>
      <c r="F2" s="3"/>
      <c r="G2" s="3"/>
      <c r="H2" s="3"/>
      <c r="I2" s="3"/>
      <c r="J2" s="3"/>
    </row>
    <row r="4" spans="2:17" ht="17.5" x14ac:dyDescent="0.35">
      <c r="B4" s="5" t="s">
        <v>565</v>
      </c>
      <c r="C4" s="6"/>
      <c r="D4" s="7"/>
      <c r="E4" s="193"/>
      <c r="F4" s="193"/>
      <c r="G4" s="193"/>
      <c r="H4" s="193"/>
      <c r="I4" s="193"/>
      <c r="J4" s="193"/>
      <c r="K4" s="194"/>
      <c r="L4" s="194"/>
      <c r="M4" s="194"/>
      <c r="N4" s="194"/>
      <c r="O4" s="194"/>
    </row>
    <row r="5" spans="2:17" x14ac:dyDescent="0.25">
      <c r="E5" s="194"/>
      <c r="F5" s="194"/>
      <c r="G5" s="194"/>
      <c r="H5" s="194"/>
      <c r="I5" s="194"/>
      <c r="J5" s="194"/>
      <c r="K5" s="194"/>
      <c r="L5" s="194"/>
      <c r="M5" s="194"/>
      <c r="N5" s="194"/>
      <c r="O5" s="194"/>
    </row>
    <row r="7" spans="2:17" x14ac:dyDescent="0.25">
      <c r="E7" s="49"/>
      <c r="F7" s="49"/>
      <c r="G7" s="49"/>
      <c r="H7" s="49"/>
      <c r="I7" s="49"/>
      <c r="J7" s="49"/>
      <c r="K7" s="49"/>
      <c r="L7" s="49"/>
      <c r="M7" s="49"/>
      <c r="N7" s="49"/>
      <c r="O7" s="49"/>
      <c r="P7" s="49"/>
    </row>
    <row r="9" spans="2:17" ht="13" x14ac:dyDescent="0.3">
      <c r="B9" s="8" t="s">
        <v>457</v>
      </c>
      <c r="C9" s="9"/>
      <c r="D9" s="10"/>
      <c r="E9" s="10"/>
      <c r="F9" s="10"/>
      <c r="G9" s="10"/>
      <c r="H9" s="10"/>
      <c r="I9" s="10"/>
      <c r="J9" s="10"/>
    </row>
    <row r="11" spans="2:17" ht="13" x14ac:dyDescent="0.3">
      <c r="B11" s="11"/>
      <c r="C11" s="12"/>
      <c r="D11" s="13"/>
      <c r="E11" s="14" t="s">
        <v>458</v>
      </c>
      <c r="F11" s="14" t="s">
        <v>459</v>
      </c>
      <c r="G11" s="14" t="s">
        <v>460</v>
      </c>
      <c r="H11" s="14" t="s">
        <v>461</v>
      </c>
      <c r="I11" s="14" t="s">
        <v>462</v>
      </c>
      <c r="J11" s="14" t="s">
        <v>463</v>
      </c>
      <c r="K11" s="14" t="s">
        <v>464</v>
      </c>
      <c r="L11" s="14" t="s">
        <v>465</v>
      </c>
      <c r="M11" s="14" t="s">
        <v>466</v>
      </c>
      <c r="N11" s="14" t="s">
        <v>467</v>
      </c>
      <c r="O11" s="14" t="s">
        <v>468</v>
      </c>
      <c r="P11" s="15" t="s">
        <v>469</v>
      </c>
      <c r="Q11" s="16" t="s">
        <v>379</v>
      </c>
    </row>
    <row r="12" spans="2:17" ht="17" x14ac:dyDescent="0.3">
      <c r="B12" s="17" t="s">
        <v>470</v>
      </c>
      <c r="C12" s="18" t="s">
        <v>471</v>
      </c>
      <c r="D12" s="19" t="s">
        <v>472</v>
      </c>
      <c r="E12" s="615">
        <v>26084.019884277342</v>
      </c>
      <c r="F12" s="615">
        <v>25631.810683624266</v>
      </c>
      <c r="G12" s="615">
        <v>28977.873397949217</v>
      </c>
      <c r="H12" s="615">
        <v>25638.344282958984</v>
      </c>
      <c r="I12" s="615">
        <v>22991.043206787108</v>
      </c>
      <c r="J12" s="615">
        <v>21451.34530078125</v>
      </c>
      <c r="K12" s="615">
        <v>22403.738315185547</v>
      </c>
      <c r="L12" s="615">
        <v>24713.691289137842</v>
      </c>
      <c r="M12" s="615">
        <v>21952.590073730469</v>
      </c>
      <c r="N12" s="615">
        <v>22327.598669326781</v>
      </c>
      <c r="O12" s="615">
        <v>15072.341961868286</v>
      </c>
      <c r="P12" s="615">
        <v>26297.072686035157</v>
      </c>
      <c r="Q12" s="21">
        <f t="shared" ref="Q12:Q17" si="0">SUM(E12:P12)</f>
        <v>283541.46975166223</v>
      </c>
    </row>
    <row r="13" spans="2:17" ht="17" x14ac:dyDescent="0.3">
      <c r="B13" s="22" t="s">
        <v>473</v>
      </c>
      <c r="C13" s="23" t="s">
        <v>474</v>
      </c>
      <c r="D13" s="24" t="s">
        <v>472</v>
      </c>
      <c r="E13" s="615">
        <v>0</v>
      </c>
      <c r="F13" s="615">
        <v>12.737263105392456</v>
      </c>
      <c r="G13" s="615">
        <v>0</v>
      </c>
      <c r="H13" s="615">
        <v>8.6044928588867187</v>
      </c>
      <c r="I13" s="615">
        <v>5.4494988731145861</v>
      </c>
      <c r="J13" s="615">
        <v>0</v>
      </c>
      <c r="K13" s="615">
        <v>0</v>
      </c>
      <c r="L13" s="615">
        <v>23.490390820963309</v>
      </c>
      <c r="M13" s="615">
        <v>0.3697302288413048</v>
      </c>
      <c r="N13" s="615">
        <v>42.438189752757552</v>
      </c>
      <c r="O13" s="615">
        <v>108</v>
      </c>
      <c r="P13" s="615">
        <v>0</v>
      </c>
      <c r="Q13" s="806">
        <f>SUM(E13:P13)</f>
        <v>201.08956563995594</v>
      </c>
    </row>
    <row r="14" spans="2:17" ht="17" x14ac:dyDescent="0.3">
      <c r="B14" s="25" t="s">
        <v>475</v>
      </c>
      <c r="C14" s="23" t="s">
        <v>476</v>
      </c>
      <c r="D14" s="24" t="s">
        <v>472</v>
      </c>
      <c r="E14" s="20">
        <f>E15+E16</f>
        <v>3698.4031238884131</v>
      </c>
      <c r="F14" s="20">
        <f t="shared" ref="F14:P14" si="1">F15+F16</f>
        <v>3389.8407877688805</v>
      </c>
      <c r="G14" s="20">
        <f t="shared" si="1"/>
        <v>3820.5584798667828</v>
      </c>
      <c r="H14" s="20">
        <f t="shared" si="1"/>
        <v>3556.0900308565597</v>
      </c>
      <c r="I14" s="20">
        <f t="shared" si="1"/>
        <v>3465.0019788434902</v>
      </c>
      <c r="J14" s="20">
        <f t="shared" si="1"/>
        <v>3365.469213332216</v>
      </c>
      <c r="K14" s="20">
        <f t="shared" si="1"/>
        <v>3431.9258905512488</v>
      </c>
      <c r="L14" s="20">
        <f t="shared" si="1"/>
        <v>3546.0873697196639</v>
      </c>
      <c r="M14" s="20">
        <f t="shared" si="1"/>
        <v>3413.9761951506534</v>
      </c>
      <c r="N14" s="20">
        <f t="shared" si="1"/>
        <v>3438.6330903718567</v>
      </c>
      <c r="O14" s="20">
        <f t="shared" si="1"/>
        <v>2499.8368162759493</v>
      </c>
      <c r="P14" s="20">
        <f t="shared" si="1"/>
        <v>3757.5726177238621</v>
      </c>
      <c r="Q14" s="21">
        <f t="shared" si="0"/>
        <v>41383.395594349575</v>
      </c>
    </row>
    <row r="15" spans="2:17" ht="13" x14ac:dyDescent="0.3">
      <c r="B15" s="25" t="s">
        <v>477</v>
      </c>
      <c r="C15" s="23"/>
      <c r="D15" s="24" t="s">
        <v>472</v>
      </c>
      <c r="E15" s="615">
        <v>3444.2364572217466</v>
      </c>
      <c r="F15" s="615">
        <v>3135.674121102214</v>
      </c>
      <c r="G15" s="615">
        <v>3566.3918132001163</v>
      </c>
      <c r="H15" s="615">
        <v>3301.9233641898932</v>
      </c>
      <c r="I15" s="615">
        <v>3210.8353121768237</v>
      </c>
      <c r="J15" s="615">
        <v>3111.3025466655495</v>
      </c>
      <c r="K15" s="615">
        <v>3177.7592238845823</v>
      </c>
      <c r="L15" s="615">
        <v>3291.9207030529974</v>
      </c>
      <c r="M15" s="615">
        <v>3159.8095284839869</v>
      </c>
      <c r="N15" s="615">
        <v>3184.4664237051902</v>
      </c>
      <c r="O15" s="615">
        <v>2245.6701496092828</v>
      </c>
      <c r="P15" s="615">
        <v>3503.4059510571956</v>
      </c>
      <c r="Q15" s="21">
        <f t="shared" si="0"/>
        <v>38333.395594349582</v>
      </c>
    </row>
    <row r="16" spans="2:17" ht="13" x14ac:dyDescent="0.3">
      <c r="B16" s="26" t="s">
        <v>478</v>
      </c>
      <c r="C16" s="27"/>
      <c r="D16" s="24" t="s">
        <v>472</v>
      </c>
      <c r="E16" s="615">
        <v>254.16666666666654</v>
      </c>
      <c r="F16" s="615">
        <v>254.16666666666654</v>
      </c>
      <c r="G16" s="615">
        <v>254.16666666666654</v>
      </c>
      <c r="H16" s="615">
        <v>254.16666666666654</v>
      </c>
      <c r="I16" s="615">
        <v>254.16666666666654</v>
      </c>
      <c r="J16" s="615">
        <v>254.16666666666654</v>
      </c>
      <c r="K16" s="615">
        <v>254.16666666666654</v>
      </c>
      <c r="L16" s="615">
        <v>254.16666666666654</v>
      </c>
      <c r="M16" s="615">
        <v>254.16666666666654</v>
      </c>
      <c r="N16" s="615">
        <v>254.16666666666654</v>
      </c>
      <c r="O16" s="615">
        <v>254.16666666666654</v>
      </c>
      <c r="P16" s="615">
        <v>254.16666666666654</v>
      </c>
      <c r="Q16" s="21">
        <f t="shared" si="0"/>
        <v>3049.9999999999986</v>
      </c>
    </row>
    <row r="17" spans="2:23" ht="13" x14ac:dyDescent="0.3">
      <c r="B17" s="28" t="s">
        <v>328</v>
      </c>
      <c r="C17" s="29"/>
      <c r="D17" s="30" t="s">
        <v>472</v>
      </c>
      <c r="E17" s="30">
        <f t="shared" ref="E17:P17" si="2">+E12+E13-E14</f>
        <v>22385.61676038893</v>
      </c>
      <c r="F17" s="30">
        <f t="shared" si="2"/>
        <v>22254.707158960777</v>
      </c>
      <c r="G17" s="30">
        <f t="shared" si="2"/>
        <v>25157.314918082433</v>
      </c>
      <c r="H17" s="30">
        <f t="shared" si="2"/>
        <v>22090.858744961311</v>
      </c>
      <c r="I17" s="30">
        <f t="shared" si="2"/>
        <v>19531.49072681673</v>
      </c>
      <c r="J17" s="30">
        <f t="shared" si="2"/>
        <v>18085.876087449033</v>
      </c>
      <c r="K17" s="30">
        <f t="shared" si="2"/>
        <v>18971.8124246343</v>
      </c>
      <c r="L17" s="30">
        <f t="shared" si="2"/>
        <v>21191.094310239139</v>
      </c>
      <c r="M17" s="30">
        <f t="shared" si="2"/>
        <v>18538.983608808659</v>
      </c>
      <c r="N17" s="30">
        <f t="shared" si="2"/>
        <v>18931.403768707682</v>
      </c>
      <c r="O17" s="30">
        <f t="shared" si="2"/>
        <v>12680.505145592337</v>
      </c>
      <c r="P17" s="30">
        <f t="shared" si="2"/>
        <v>22539.500068311296</v>
      </c>
      <c r="Q17" s="31">
        <f t="shared" si="0"/>
        <v>242359.16372295259</v>
      </c>
    </row>
    <row r="18" spans="2:23" x14ac:dyDescent="0.25">
      <c r="B18" s="32"/>
    </row>
    <row r="19" spans="2:23" ht="13" x14ac:dyDescent="0.3">
      <c r="B19" s="11" t="s">
        <v>479</v>
      </c>
      <c r="C19" s="12"/>
      <c r="D19" s="33" t="s">
        <v>480</v>
      </c>
      <c r="E19" s="616"/>
      <c r="F19" s="616">
        <v>0.72</v>
      </c>
      <c r="G19" s="616"/>
      <c r="H19" s="616"/>
      <c r="I19" s="616"/>
      <c r="J19" s="616"/>
      <c r="K19" s="616"/>
      <c r="L19" s="616">
        <v>5.7</v>
      </c>
      <c r="M19" s="616"/>
      <c r="N19" s="616"/>
      <c r="O19" s="616">
        <v>264</v>
      </c>
      <c r="P19" s="616"/>
      <c r="Q19" s="34">
        <f>SUM(E19:P19)</f>
        <v>270.42</v>
      </c>
    </row>
    <row r="20" spans="2:23" ht="13" x14ac:dyDescent="0.3">
      <c r="B20" s="11" t="s">
        <v>481</v>
      </c>
      <c r="C20" s="12"/>
      <c r="D20" s="33" t="s">
        <v>482</v>
      </c>
      <c r="E20" s="35">
        <f>E19/24</f>
        <v>0</v>
      </c>
      <c r="F20" s="35">
        <f t="shared" ref="F20:P20" si="3">F19/24</f>
        <v>0.03</v>
      </c>
      <c r="G20" s="35">
        <f t="shared" si="3"/>
        <v>0</v>
      </c>
      <c r="H20" s="35">
        <f t="shared" si="3"/>
        <v>0</v>
      </c>
      <c r="I20" s="35">
        <f t="shared" si="3"/>
        <v>0</v>
      </c>
      <c r="J20" s="35">
        <f t="shared" si="3"/>
        <v>0</v>
      </c>
      <c r="K20" s="35">
        <f t="shared" si="3"/>
        <v>0</v>
      </c>
      <c r="L20" s="35">
        <f t="shared" si="3"/>
        <v>0.23750000000000002</v>
      </c>
      <c r="M20" s="35">
        <f t="shared" si="3"/>
        <v>0</v>
      </c>
      <c r="N20" s="35">
        <f t="shared" si="3"/>
        <v>0</v>
      </c>
      <c r="O20" s="35">
        <f t="shared" si="3"/>
        <v>11</v>
      </c>
      <c r="P20" s="35">
        <f t="shared" si="3"/>
        <v>0</v>
      </c>
      <c r="Q20" s="34">
        <f>SUM(E20:P20)</f>
        <v>11.2675</v>
      </c>
    </row>
    <row r="22" spans="2:23" ht="13" x14ac:dyDescent="0.3">
      <c r="B22" s="8" t="s">
        <v>483</v>
      </c>
    </row>
    <row r="24" spans="2:23" ht="13" x14ac:dyDescent="0.3">
      <c r="B24" s="11"/>
      <c r="C24" s="36" t="s">
        <v>484</v>
      </c>
      <c r="D24" s="19"/>
      <c r="E24" s="14" t="s">
        <v>458</v>
      </c>
      <c r="F24" s="14" t="s">
        <v>459</v>
      </c>
      <c r="G24" s="14" t="s">
        <v>460</v>
      </c>
      <c r="H24" s="14" t="s">
        <v>461</v>
      </c>
      <c r="I24" s="14" t="s">
        <v>462</v>
      </c>
      <c r="J24" s="14" t="s">
        <v>463</v>
      </c>
      <c r="K24" s="14" t="s">
        <v>464</v>
      </c>
      <c r="L24" s="14" t="s">
        <v>465</v>
      </c>
      <c r="M24" s="14" t="s">
        <v>466</v>
      </c>
      <c r="N24" s="14" t="s">
        <v>467</v>
      </c>
      <c r="O24" s="14" t="s">
        <v>468</v>
      </c>
      <c r="P24" s="15" t="s">
        <v>469</v>
      </c>
      <c r="Q24" s="16" t="s">
        <v>379</v>
      </c>
    </row>
    <row r="25" spans="2:23" ht="13" x14ac:dyDescent="0.3">
      <c r="B25" s="17" t="s">
        <v>338</v>
      </c>
      <c r="C25" s="37" t="s">
        <v>485</v>
      </c>
      <c r="D25" s="19" t="s">
        <v>486</v>
      </c>
      <c r="E25" s="617">
        <v>122337.54405975342</v>
      </c>
      <c r="F25" s="617">
        <v>121522.85041809082</v>
      </c>
      <c r="G25" s="617">
        <v>146539.83589172363</v>
      </c>
      <c r="H25" s="617">
        <v>121592.57214355469</v>
      </c>
      <c r="I25" s="617">
        <v>111527.5345993042</v>
      </c>
      <c r="J25" s="617">
        <v>108700.57727813721</v>
      </c>
      <c r="K25" s="617">
        <v>114593.29496765137</v>
      </c>
      <c r="L25" s="617">
        <v>126116.61788368225</v>
      </c>
      <c r="M25" s="617">
        <v>113606.23223876953</v>
      </c>
      <c r="N25" s="617">
        <v>115288.03847265244</v>
      </c>
      <c r="O25" s="617">
        <v>74464.983786582947</v>
      </c>
      <c r="P25" s="617">
        <v>123913.04276275635</v>
      </c>
      <c r="Q25" s="38">
        <f>SUM(E25:P25)</f>
        <v>1400203.1245026588</v>
      </c>
    </row>
    <row r="26" spans="2:23" ht="13" x14ac:dyDescent="0.3">
      <c r="B26" s="22" t="s">
        <v>344</v>
      </c>
      <c r="C26" s="39" t="s">
        <v>487</v>
      </c>
      <c r="D26" s="24" t="s">
        <v>486</v>
      </c>
      <c r="E26" s="618">
        <v>15871.553604841232</v>
      </c>
      <c r="F26" s="618">
        <v>13372.995879650116</v>
      </c>
      <c r="G26" s="618">
        <v>17690.859502792358</v>
      </c>
      <c r="H26" s="618">
        <v>15592.38197851181</v>
      </c>
      <c r="I26" s="618">
        <v>18025.813273191452</v>
      </c>
      <c r="J26" s="618">
        <v>15675.797966897488</v>
      </c>
      <c r="K26" s="618">
        <v>16833.86711281538</v>
      </c>
      <c r="L26" s="618">
        <v>16191.786420017481</v>
      </c>
      <c r="M26" s="618">
        <v>15522.082631289959</v>
      </c>
      <c r="N26" s="618">
        <v>16434.662808418274</v>
      </c>
      <c r="O26" s="618">
        <v>12228.126325637102</v>
      </c>
      <c r="P26" s="618">
        <v>17065.776350080967</v>
      </c>
      <c r="Q26" s="21">
        <f>SUM(E26:P26)</f>
        <v>190505.70385414362</v>
      </c>
    </row>
    <row r="27" spans="2:23" ht="14.5" x14ac:dyDescent="0.35">
      <c r="B27" s="22" t="s">
        <v>488</v>
      </c>
      <c r="C27" s="39" t="s">
        <v>489</v>
      </c>
      <c r="D27" s="40" t="s">
        <v>486</v>
      </c>
      <c r="E27" s="775">
        <v>7420.88</v>
      </c>
      <c r="F27" s="618">
        <v>8383.7759169340134</v>
      </c>
      <c r="G27" s="618">
        <v>9775.2875950336456</v>
      </c>
      <c r="H27" s="618">
        <v>8823.6865193843842</v>
      </c>
      <c r="I27" s="618">
        <v>8855.5997929871082</v>
      </c>
      <c r="J27" s="618">
        <v>9356.1043417453766</v>
      </c>
      <c r="K27" s="618">
        <v>9134.3280508518219</v>
      </c>
      <c r="L27" s="618">
        <v>9636.0553507804871</v>
      </c>
      <c r="M27" s="618">
        <v>8703.4844444990158</v>
      </c>
      <c r="N27" s="618">
        <v>7860.2163938879967</v>
      </c>
      <c r="O27" s="618">
        <v>2811.9478650093079</v>
      </c>
      <c r="P27" s="618">
        <v>9560.1655083298683</v>
      </c>
      <c r="Q27" s="41">
        <f>SUM(E27:P27)</f>
        <v>100321.53177944303</v>
      </c>
      <c r="R27" s="42"/>
    </row>
    <row r="28" spans="2:23" ht="13" x14ac:dyDescent="0.3">
      <c r="B28" s="12" t="s">
        <v>490</v>
      </c>
      <c r="C28" s="43" t="s">
        <v>491</v>
      </c>
      <c r="D28" s="44"/>
      <c r="E28" s="45"/>
      <c r="F28" s="45"/>
      <c r="G28" s="45"/>
      <c r="H28" s="45"/>
      <c r="I28" s="45"/>
      <c r="J28" s="45"/>
      <c r="K28" s="45"/>
      <c r="L28" s="45"/>
      <c r="M28" s="45"/>
      <c r="N28" s="45"/>
      <c r="O28" s="45"/>
      <c r="P28" s="45"/>
      <c r="Q28" s="45"/>
      <c r="R28" s="46"/>
      <c r="S28" s="46"/>
      <c r="T28" s="46"/>
      <c r="U28" s="46"/>
      <c r="V28" s="46"/>
      <c r="W28" s="44"/>
    </row>
    <row r="29" spans="2:23" ht="13" x14ac:dyDescent="0.3">
      <c r="T29" s="46"/>
      <c r="W29" s="47"/>
    </row>
    <row r="30" spans="2:23" ht="13" x14ac:dyDescent="0.3">
      <c r="B30" s="8" t="s">
        <v>492</v>
      </c>
      <c r="C30" s="9"/>
      <c r="D30" s="10"/>
      <c r="E30" s="10"/>
      <c r="F30" s="10"/>
      <c r="G30" s="10"/>
      <c r="H30" s="10"/>
      <c r="I30" s="10"/>
      <c r="J30" s="10"/>
      <c r="K30" s="10"/>
      <c r="L30" s="10"/>
      <c r="M30" s="10"/>
      <c r="N30" s="10"/>
      <c r="O30" s="10"/>
      <c r="P30" s="10"/>
      <c r="Q30" s="48"/>
      <c r="R30" s="48"/>
      <c r="S30" s="48"/>
      <c r="T30" s="46"/>
    </row>
    <row r="31" spans="2:23" ht="13" x14ac:dyDescent="0.3">
      <c r="K31" s="49"/>
      <c r="L31" s="49"/>
      <c r="M31" s="49"/>
      <c r="N31" s="49"/>
      <c r="O31" s="49"/>
      <c r="P31" s="49"/>
      <c r="T31" s="46"/>
    </row>
    <row r="32" spans="2:23" ht="13" x14ac:dyDescent="0.3">
      <c r="B32" s="11"/>
      <c r="C32" s="12"/>
      <c r="D32" s="50"/>
      <c r="E32" s="14" t="s">
        <v>458</v>
      </c>
      <c r="F32" s="14" t="s">
        <v>459</v>
      </c>
      <c r="G32" s="14" t="s">
        <v>460</v>
      </c>
      <c r="H32" s="14" t="s">
        <v>461</v>
      </c>
      <c r="I32" s="14" t="s">
        <v>462</v>
      </c>
      <c r="J32" s="14" t="s">
        <v>463</v>
      </c>
      <c r="K32" s="14" t="s">
        <v>464</v>
      </c>
      <c r="L32" s="14" t="s">
        <v>465</v>
      </c>
      <c r="M32" s="14" t="s">
        <v>466</v>
      </c>
      <c r="N32" s="14" t="s">
        <v>467</v>
      </c>
      <c r="O32" s="14" t="s">
        <v>468</v>
      </c>
      <c r="P32" s="15" t="s">
        <v>469</v>
      </c>
      <c r="Q32" s="51" t="s">
        <v>379</v>
      </c>
    </row>
    <row r="33" spans="2:23" ht="15" x14ac:dyDescent="0.4">
      <c r="B33" s="52" t="s">
        <v>493</v>
      </c>
      <c r="C33" s="53" t="s">
        <v>494</v>
      </c>
      <c r="D33" s="54" t="s">
        <v>486</v>
      </c>
      <c r="E33" s="650">
        <v>13436.1413421875</v>
      </c>
      <c r="F33" s="650">
        <v>13733.588084375</v>
      </c>
      <c r="G33" s="650">
        <v>17129.157033437499</v>
      </c>
      <c r="H33" s="650">
        <v>16354.187760312499</v>
      </c>
      <c r="I33" s="650">
        <v>15817.220311250001</v>
      </c>
      <c r="J33" s="650">
        <v>16264.9276603125</v>
      </c>
      <c r="K33" s="650">
        <v>17223.252240625003</v>
      </c>
      <c r="L33" s="650">
        <v>16126.706715</v>
      </c>
      <c r="M33" s="650">
        <v>15429.2459678125</v>
      </c>
      <c r="N33" s="650">
        <v>14842.992437187499</v>
      </c>
      <c r="O33" s="650">
        <v>15462.325598437499</v>
      </c>
      <c r="P33" s="650">
        <v>14805.82476625</v>
      </c>
      <c r="Q33" s="21">
        <f t="shared" ref="Q33:Q38" si="4">SUM(E33:P33)</f>
        <v>186625.56991718747</v>
      </c>
    </row>
    <row r="34" spans="2:23" ht="13" x14ac:dyDescent="0.3">
      <c r="B34" s="52" t="s">
        <v>495</v>
      </c>
      <c r="C34" s="53"/>
      <c r="D34" s="54"/>
      <c r="E34" s="620">
        <v>2828.3013421875003</v>
      </c>
      <c r="F34" s="620">
        <v>2746.8180843750001</v>
      </c>
      <c r="G34" s="620">
        <v>3974.8070334374997</v>
      </c>
      <c r="H34" s="620">
        <v>3067.4377603124999</v>
      </c>
      <c r="I34" s="620">
        <v>2995.4403112499999</v>
      </c>
      <c r="J34" s="620">
        <v>2958.2416603124998</v>
      </c>
      <c r="K34" s="620">
        <v>3344.1922406250001</v>
      </c>
      <c r="L34" s="620">
        <v>3115.4097149999998</v>
      </c>
      <c r="M34" s="620">
        <v>2860.5859678124998</v>
      </c>
      <c r="N34" s="620">
        <v>2999.6024371874996</v>
      </c>
      <c r="O34" s="620">
        <v>2940.9255984375004</v>
      </c>
      <c r="P34" s="620">
        <v>3104.7947662500001</v>
      </c>
      <c r="Q34" s="21">
        <f t="shared" si="4"/>
        <v>36936.556917187496</v>
      </c>
    </row>
    <row r="35" spans="2:23" ht="13" x14ac:dyDescent="0.3">
      <c r="B35" s="52" t="s">
        <v>496</v>
      </c>
      <c r="C35" s="53"/>
      <c r="D35" s="54"/>
      <c r="E35" s="620">
        <v>10607.84</v>
      </c>
      <c r="F35" s="620">
        <v>10986.77</v>
      </c>
      <c r="G35" s="620">
        <v>13154.349999999999</v>
      </c>
      <c r="H35" s="620">
        <v>13286.75</v>
      </c>
      <c r="I35" s="620">
        <v>12821.78</v>
      </c>
      <c r="J35" s="620">
        <v>13306.686</v>
      </c>
      <c r="K35" s="620">
        <v>13879.060000000001</v>
      </c>
      <c r="L35" s="620">
        <v>13011.297</v>
      </c>
      <c r="M35" s="620">
        <v>12568.66</v>
      </c>
      <c r="N35" s="620">
        <v>11843.39</v>
      </c>
      <c r="O35" s="620">
        <v>12521.4</v>
      </c>
      <c r="P35" s="620">
        <v>11701.03</v>
      </c>
      <c r="Q35" s="21">
        <f t="shared" si="4"/>
        <v>149689.01300000001</v>
      </c>
      <c r="R35" s="49"/>
    </row>
    <row r="36" spans="2:23" ht="15" x14ac:dyDescent="0.4">
      <c r="B36" s="25" t="s">
        <v>497</v>
      </c>
      <c r="C36" s="53" t="s">
        <v>112</v>
      </c>
      <c r="D36" s="54" t="s">
        <v>486</v>
      </c>
      <c r="E36" s="771">
        <v>22093.06</v>
      </c>
      <c r="F36" s="771">
        <v>28336.723000000002</v>
      </c>
      <c r="G36" s="771">
        <v>26089.024000000001</v>
      </c>
      <c r="H36" s="771">
        <v>21499.795829999999</v>
      </c>
      <c r="I36" s="771">
        <v>22806.35</v>
      </c>
      <c r="J36" s="771">
        <v>20622.359</v>
      </c>
      <c r="K36" s="771">
        <v>24369.51</v>
      </c>
      <c r="L36" s="771">
        <v>23401.1</v>
      </c>
      <c r="M36" s="771">
        <v>23298.32</v>
      </c>
      <c r="N36" s="771">
        <v>24466.626</v>
      </c>
      <c r="O36" s="771">
        <v>23882.079000000002</v>
      </c>
      <c r="P36" s="771">
        <v>17923.900000000001</v>
      </c>
      <c r="Q36" s="21">
        <f t="shared" si="4"/>
        <v>278788.84682999999</v>
      </c>
    </row>
    <row r="37" spans="2:23" ht="15" x14ac:dyDescent="0.4">
      <c r="B37" s="26" t="s">
        <v>498</v>
      </c>
      <c r="C37" s="55" t="s">
        <v>114</v>
      </c>
      <c r="D37" s="56" t="s">
        <v>486</v>
      </c>
      <c r="E37" s="593">
        <v>0</v>
      </c>
      <c r="F37" s="593">
        <v>0</v>
      </c>
      <c r="G37" s="593">
        <v>0</v>
      </c>
      <c r="H37" s="593">
        <v>0</v>
      </c>
      <c r="I37" s="593">
        <v>0</v>
      </c>
      <c r="J37" s="593">
        <v>0</v>
      </c>
      <c r="K37" s="593">
        <v>0</v>
      </c>
      <c r="L37" s="593">
        <v>0</v>
      </c>
      <c r="M37" s="593">
        <v>0</v>
      </c>
      <c r="N37" s="593">
        <v>0</v>
      </c>
      <c r="O37" s="593">
        <v>0</v>
      </c>
      <c r="P37" s="593">
        <v>0</v>
      </c>
      <c r="Q37" s="21">
        <f t="shared" si="4"/>
        <v>0</v>
      </c>
    </row>
    <row r="38" spans="2:23" ht="13" x14ac:dyDescent="0.25">
      <c r="B38" s="58" t="s">
        <v>379</v>
      </c>
      <c r="C38" s="59"/>
      <c r="D38" s="60" t="s">
        <v>486</v>
      </c>
      <c r="E38" s="60">
        <f>E33+E36+E37</f>
        <v>35529.201342187502</v>
      </c>
      <c r="F38" s="61">
        <f t="shared" ref="F38:P38" si="5">F33+F36+F37</f>
        <v>42070.311084375004</v>
      </c>
      <c r="G38" s="61">
        <f t="shared" si="5"/>
        <v>43218.181033437504</v>
      </c>
      <c r="H38" s="61">
        <f t="shared" si="5"/>
        <v>37853.983590312499</v>
      </c>
      <c r="I38" s="61">
        <f t="shared" si="5"/>
        <v>38623.570311249998</v>
      </c>
      <c r="J38" s="61">
        <f t="shared" si="5"/>
        <v>36887.2866603125</v>
      </c>
      <c r="K38" s="61">
        <f t="shared" si="5"/>
        <v>41592.762240625001</v>
      </c>
      <c r="L38" s="61">
        <f t="shared" si="5"/>
        <v>39527.806714999999</v>
      </c>
      <c r="M38" s="61">
        <f t="shared" si="5"/>
        <v>38727.565967812501</v>
      </c>
      <c r="N38" s="61">
        <f t="shared" si="5"/>
        <v>39309.618437187499</v>
      </c>
      <c r="O38" s="61">
        <f t="shared" si="5"/>
        <v>39344.404598437497</v>
      </c>
      <c r="P38" s="51">
        <f t="shared" si="5"/>
        <v>32729.724766250001</v>
      </c>
      <c r="Q38" s="31">
        <f t="shared" si="4"/>
        <v>465414.4167471875</v>
      </c>
    </row>
    <row r="39" spans="2:23" ht="13" x14ac:dyDescent="0.25">
      <c r="B39" s="62"/>
      <c r="C39" s="62"/>
      <c r="D39" s="63"/>
      <c r="E39" s="63"/>
      <c r="F39" s="63"/>
      <c r="G39" s="63"/>
      <c r="H39" s="63"/>
      <c r="I39" s="63"/>
      <c r="J39" s="63"/>
      <c r="K39" s="64"/>
      <c r="L39" s="64"/>
      <c r="M39" s="64"/>
      <c r="N39" s="64"/>
      <c r="O39" s="64"/>
      <c r="P39" s="64"/>
      <c r="Q39" s="64"/>
      <c r="R39" s="64"/>
      <c r="S39" s="64"/>
      <c r="T39" s="64"/>
      <c r="U39" s="64"/>
      <c r="V39" s="64"/>
      <c r="W39" s="57"/>
    </row>
    <row r="40" spans="2:23" x14ac:dyDescent="0.25">
      <c r="Q40" s="4">
        <v>428477.85982999997</v>
      </c>
    </row>
    <row r="41" spans="2:23" ht="13" x14ac:dyDescent="0.3">
      <c r="B41" s="65"/>
      <c r="C41" s="9"/>
      <c r="D41" s="10"/>
      <c r="E41" s="66"/>
      <c r="F41" s="66"/>
      <c r="G41" s="66"/>
      <c r="H41" s="66"/>
      <c r="I41" s="66"/>
      <c r="J41" s="66"/>
      <c r="K41" s="66"/>
      <c r="L41" s="66"/>
      <c r="M41" s="66"/>
      <c r="N41" s="66"/>
      <c r="O41" s="66"/>
      <c r="P41" s="66"/>
      <c r="Q41" s="67"/>
      <c r="R41" s="68"/>
      <c r="S41" s="68"/>
      <c r="T41" s="68"/>
      <c r="U41" s="67"/>
      <c r="V41" s="67"/>
      <c r="W41" s="57"/>
    </row>
    <row r="42" spans="2:23" ht="13" x14ac:dyDescent="0.25">
      <c r="B42" s="69" t="s">
        <v>499</v>
      </c>
      <c r="C42" s="62"/>
      <c r="D42" s="63"/>
      <c r="E42" s="63"/>
      <c r="F42" s="63"/>
      <c r="G42" s="63"/>
      <c r="H42" s="63"/>
      <c r="I42" s="63"/>
      <c r="J42" s="63"/>
      <c r="K42" s="70"/>
      <c r="L42" s="70"/>
      <c r="M42" s="70"/>
      <c r="N42" s="70"/>
      <c r="O42" s="70"/>
      <c r="P42" s="70"/>
      <c r="Q42" s="70"/>
      <c r="R42" s="70"/>
      <c r="S42" s="70"/>
      <c r="T42" s="70"/>
      <c r="U42" s="70"/>
      <c r="V42" s="70"/>
      <c r="W42" s="71"/>
    </row>
    <row r="43" spans="2:23" ht="13" x14ac:dyDescent="0.3">
      <c r="B43" s="72"/>
      <c r="C43" s="58"/>
      <c r="D43" s="59"/>
      <c r="E43" s="14" t="s">
        <v>458</v>
      </c>
      <c r="F43" s="14" t="s">
        <v>459</v>
      </c>
      <c r="G43" s="14" t="s">
        <v>460</v>
      </c>
      <c r="H43" s="14" t="s">
        <v>461</v>
      </c>
      <c r="I43" s="14" t="s">
        <v>462</v>
      </c>
      <c r="J43" s="14" t="s">
        <v>463</v>
      </c>
      <c r="K43" s="14" t="s">
        <v>464</v>
      </c>
      <c r="L43" s="14" t="s">
        <v>465</v>
      </c>
      <c r="M43" s="14" t="s">
        <v>466</v>
      </c>
      <c r="N43" s="14" t="s">
        <v>467</v>
      </c>
      <c r="O43" s="14" t="s">
        <v>468</v>
      </c>
      <c r="P43" s="15" t="s">
        <v>469</v>
      </c>
      <c r="Q43" s="51" t="s">
        <v>379</v>
      </c>
    </row>
    <row r="44" spans="2:23" ht="13" x14ac:dyDescent="0.3">
      <c r="B44" s="73" t="s">
        <v>500</v>
      </c>
      <c r="C44" s="22"/>
      <c r="D44" s="74" t="s">
        <v>107</v>
      </c>
      <c r="E44" s="621">
        <v>0.38717084504468058</v>
      </c>
      <c r="F44" s="621">
        <v>0.40747480807865993</v>
      </c>
      <c r="G44" s="621">
        <v>0.38366772712885705</v>
      </c>
      <c r="H44" s="621">
        <v>0.41285250490027825</v>
      </c>
      <c r="I44" s="621">
        <v>0.43833098280559829</v>
      </c>
      <c r="J44" s="621">
        <v>0.43460560492323702</v>
      </c>
      <c r="K44" s="621">
        <v>0.42583816042010902</v>
      </c>
      <c r="L44" s="621">
        <v>0.44687818067620355</v>
      </c>
      <c r="M44" s="621">
        <v>0.4305110995748142</v>
      </c>
      <c r="N44" s="621">
        <v>0.39891610516320591</v>
      </c>
      <c r="O44" s="772">
        <v>0.39523147808110021</v>
      </c>
      <c r="P44" s="621">
        <v>0.39261670260321463</v>
      </c>
      <c r="Q44" s="76">
        <f>AVERAGE(E44:P44)</f>
        <v>0.41284118328332992</v>
      </c>
    </row>
    <row r="45" spans="2:23" ht="13" x14ac:dyDescent="0.3">
      <c r="B45" s="73" t="s">
        <v>501</v>
      </c>
      <c r="C45" s="22"/>
      <c r="D45" s="74" t="s">
        <v>107</v>
      </c>
      <c r="E45" s="621">
        <v>0.41981784149747031</v>
      </c>
      <c r="F45" s="621">
        <v>0.47146641061814848</v>
      </c>
      <c r="G45" s="621">
        <v>0.44817161416112228</v>
      </c>
      <c r="H45" s="621">
        <v>0.44716717340763251</v>
      </c>
      <c r="I45" s="621">
        <v>0.53384392992104079</v>
      </c>
      <c r="J45" s="621">
        <v>0.54118018778355392</v>
      </c>
      <c r="K45" s="621">
        <v>0.52304447797349918</v>
      </c>
      <c r="L45" s="621">
        <v>0.54216807522854549</v>
      </c>
      <c r="M45" s="621">
        <v>0.53834090001595269</v>
      </c>
      <c r="N45" s="621">
        <v>0.45532395721828617</v>
      </c>
      <c r="O45" s="772">
        <v>0.41639176631942998</v>
      </c>
      <c r="P45" s="621">
        <v>0.42225958694808829</v>
      </c>
      <c r="Q45" s="77">
        <f>AVERAGE(E45:P45)</f>
        <v>0.47993132675773076</v>
      </c>
    </row>
    <row r="46" spans="2:23" ht="13" x14ac:dyDescent="0.3">
      <c r="B46" s="78" t="s">
        <v>502</v>
      </c>
      <c r="C46" s="79"/>
      <c r="D46" s="80" t="s">
        <v>107</v>
      </c>
      <c r="E46" s="81" t="s">
        <v>243</v>
      </c>
      <c r="F46" s="81" t="s">
        <v>243</v>
      </c>
      <c r="G46" s="81" t="s">
        <v>243</v>
      </c>
      <c r="H46" s="81" t="s">
        <v>243</v>
      </c>
      <c r="I46" s="81" t="s">
        <v>243</v>
      </c>
      <c r="J46" s="81" t="s">
        <v>243</v>
      </c>
      <c r="K46" s="82" t="s">
        <v>243</v>
      </c>
      <c r="L46" s="82" t="s">
        <v>243</v>
      </c>
      <c r="M46" s="82" t="s">
        <v>243</v>
      </c>
      <c r="N46" s="82" t="s">
        <v>243</v>
      </c>
      <c r="O46" s="82" t="s">
        <v>243</v>
      </c>
      <c r="P46" s="82" t="s">
        <v>243</v>
      </c>
      <c r="Q46" s="83" t="str">
        <f>IFERROR(AVERAGE(E46:P46),"-")</f>
        <v>-</v>
      </c>
    </row>
    <row r="47" spans="2:23" ht="13" x14ac:dyDescent="0.3">
      <c r="B47" s="239" t="s">
        <v>665</v>
      </c>
      <c r="C47" s="46"/>
      <c r="D47" s="84"/>
      <c r="E47" s="84"/>
      <c r="F47" s="84"/>
      <c r="G47" s="84"/>
      <c r="H47" s="84"/>
      <c r="I47" s="84"/>
      <c r="J47" s="84"/>
      <c r="K47" s="85"/>
      <c r="L47" s="85"/>
      <c r="M47" s="85"/>
      <c r="N47" s="85"/>
      <c r="O47" s="85"/>
      <c r="P47" s="85"/>
      <c r="Q47" s="85"/>
      <c r="R47" s="85"/>
      <c r="S47" s="85"/>
      <c r="T47" s="85"/>
      <c r="U47" s="85"/>
      <c r="V47" s="85"/>
      <c r="W47" s="86"/>
    </row>
    <row r="48" spans="2:23" ht="13" x14ac:dyDescent="0.3">
      <c r="B48" s="239" t="s">
        <v>664</v>
      </c>
      <c r="K48" s="65"/>
      <c r="L48" s="65"/>
      <c r="M48" s="65"/>
    </row>
    <row r="49" spans="2:23" ht="13" x14ac:dyDescent="0.3">
      <c r="B49" s="239"/>
      <c r="K49" s="65"/>
      <c r="L49" s="65"/>
      <c r="M49" s="65"/>
    </row>
    <row r="50" spans="2:23" ht="13" x14ac:dyDescent="0.3">
      <c r="B50" s="239"/>
      <c r="K50" s="65"/>
      <c r="L50" s="65"/>
      <c r="M50" s="65"/>
    </row>
    <row r="51" spans="2:23" ht="13" x14ac:dyDescent="0.3">
      <c r="B51" s="87" t="s">
        <v>503</v>
      </c>
      <c r="M51" s="88"/>
      <c r="N51" s="88"/>
      <c r="U51" s="44"/>
      <c r="W51" s="46"/>
    </row>
    <row r="52" spans="2:23" ht="50.9" customHeight="1" x14ac:dyDescent="0.3">
      <c r="B52" s="87"/>
      <c r="E52" s="89" t="s">
        <v>504</v>
      </c>
      <c r="F52" s="90" t="s">
        <v>505</v>
      </c>
      <c r="G52" s="90" t="s">
        <v>560</v>
      </c>
      <c r="M52" s="44"/>
      <c r="O52" s="91"/>
      <c r="Q52" s="46"/>
    </row>
    <row r="53" spans="2:23" ht="22.75" customHeight="1" x14ac:dyDescent="0.4">
      <c r="B53" s="92" t="s">
        <v>506</v>
      </c>
      <c r="C53" s="93" t="s">
        <v>507</v>
      </c>
      <c r="D53" s="94" t="s">
        <v>508</v>
      </c>
      <c r="E53" s="622">
        <v>4455.1499999999996</v>
      </c>
      <c r="F53" s="623">
        <v>4576.5200000000004</v>
      </c>
      <c r="G53" s="610">
        <f>AVERAGE(E53:F53)</f>
        <v>4515.835</v>
      </c>
      <c r="H53" s="49"/>
      <c r="M53" s="44"/>
      <c r="Q53" s="46"/>
    </row>
    <row r="54" spans="2:23" ht="22.75" customHeight="1" x14ac:dyDescent="0.3">
      <c r="B54" s="78"/>
      <c r="C54" s="95"/>
      <c r="D54" s="80" t="s">
        <v>261</v>
      </c>
      <c r="E54" s="96">
        <f>E53*4.18*1000/1000000</f>
        <v>18.622527000000002</v>
      </c>
      <c r="F54" s="96">
        <f>F53*4.18*1000/1000000</f>
        <v>19.129853600000001</v>
      </c>
      <c r="G54" s="611">
        <f>AVERAGE(E54:F54)</f>
        <v>18.876190300000001</v>
      </c>
      <c r="H54" s="49"/>
      <c r="I54" s="46"/>
      <c r="J54" s="49"/>
      <c r="K54" s="49"/>
      <c r="L54" s="49"/>
      <c r="Q54" s="46"/>
    </row>
    <row r="55" spans="2:23" ht="22.75" customHeight="1" x14ac:dyDescent="0.4">
      <c r="B55" s="92" t="s">
        <v>509</v>
      </c>
      <c r="C55" s="93" t="s">
        <v>510</v>
      </c>
      <c r="D55" s="94" t="s">
        <v>508</v>
      </c>
      <c r="E55" s="622">
        <v>4412.45</v>
      </c>
      <c r="F55" s="623">
        <v>4578.8</v>
      </c>
      <c r="G55" s="610">
        <f>AVERAGE(E55:F55)</f>
        <v>4495.625</v>
      </c>
      <c r="I55" s="49"/>
      <c r="J55" s="49"/>
      <c r="K55" s="49"/>
      <c r="L55" s="49"/>
      <c r="M55" s="44"/>
      <c r="Q55" s="46"/>
    </row>
    <row r="56" spans="2:23" ht="22.75" customHeight="1" x14ac:dyDescent="0.3">
      <c r="B56" s="78"/>
      <c r="C56" s="95"/>
      <c r="D56" s="80" t="s">
        <v>261</v>
      </c>
      <c r="E56" s="96">
        <f>E55*4.18*1000/1000000</f>
        <v>18.444040999999995</v>
      </c>
      <c r="F56" s="96">
        <f>F55*4.18*1000/1000000</f>
        <v>19.139384</v>
      </c>
      <c r="G56" s="611">
        <f t="shared" ref="G56" si="6">AVERAGE(E56:F56)</f>
        <v>18.791712499999996</v>
      </c>
      <c r="H56" s="49"/>
      <c r="I56" s="49"/>
      <c r="J56" s="49"/>
      <c r="K56" s="49"/>
      <c r="L56" s="49"/>
      <c r="M56" s="44"/>
      <c r="Q56" s="46"/>
    </row>
    <row r="57" spans="2:23" ht="22.75" customHeight="1" x14ac:dyDescent="0.4">
      <c r="B57" s="73" t="s">
        <v>511</v>
      </c>
      <c r="C57" s="97" t="s">
        <v>512</v>
      </c>
      <c r="D57" s="74" t="s">
        <v>508</v>
      </c>
      <c r="E57" s="98" t="s">
        <v>243</v>
      </c>
      <c r="F57" s="21" t="s">
        <v>243</v>
      </c>
      <c r="G57" s="34"/>
      <c r="I57" s="46"/>
      <c r="J57" s="49"/>
      <c r="K57" s="49"/>
      <c r="L57" s="49"/>
      <c r="M57" s="44"/>
      <c r="Q57" s="46"/>
    </row>
    <row r="58" spans="2:23" ht="22.75" customHeight="1" x14ac:dyDescent="0.3">
      <c r="B58" s="78"/>
      <c r="C58" s="95"/>
      <c r="D58" s="80" t="s">
        <v>261</v>
      </c>
      <c r="E58" s="96">
        <f>+IFERROR(E57*4.18*1000/1000000,0)</f>
        <v>0</v>
      </c>
      <c r="F58" s="96">
        <f>+IFERROR(F57*4.18*1000/1000000,0)</f>
        <v>0</v>
      </c>
      <c r="G58" s="611"/>
      <c r="M58" s="44"/>
      <c r="Q58" s="46"/>
    </row>
    <row r="60" spans="2:23" ht="13" x14ac:dyDescent="0.3">
      <c r="B60" s="9" t="s">
        <v>513</v>
      </c>
      <c r="C60" s="9"/>
      <c r="D60" s="10"/>
      <c r="E60" s="10"/>
      <c r="F60" s="10"/>
      <c r="H60" s="10"/>
      <c r="I60" s="10"/>
      <c r="J60" s="10"/>
      <c r="K60" s="99"/>
    </row>
    <row r="62" spans="2:23" ht="13" x14ac:dyDescent="0.3">
      <c r="B62" s="100"/>
      <c r="C62" s="93"/>
      <c r="D62" s="101"/>
      <c r="E62" s="14" t="s">
        <v>458</v>
      </c>
      <c r="F62" s="14" t="s">
        <v>459</v>
      </c>
      <c r="G62" s="14" t="s">
        <v>460</v>
      </c>
      <c r="H62" s="14" t="s">
        <v>461</v>
      </c>
      <c r="I62" s="14" t="s">
        <v>462</v>
      </c>
      <c r="J62" s="14" t="s">
        <v>463</v>
      </c>
      <c r="K62" s="14" t="s">
        <v>464</v>
      </c>
      <c r="L62" s="14" t="s">
        <v>465</v>
      </c>
      <c r="M62" s="14" t="s">
        <v>466</v>
      </c>
      <c r="N62" s="14" t="s">
        <v>467</v>
      </c>
      <c r="O62" s="14" t="s">
        <v>468</v>
      </c>
      <c r="P62" s="15" t="s">
        <v>469</v>
      </c>
      <c r="Q62" s="102" t="s">
        <v>379</v>
      </c>
    </row>
    <row r="63" spans="2:23" ht="15" x14ac:dyDescent="0.3">
      <c r="B63" s="92" t="s">
        <v>514</v>
      </c>
      <c r="C63" s="18" t="s">
        <v>421</v>
      </c>
      <c r="D63" s="94" t="s">
        <v>683</v>
      </c>
      <c r="E63" s="103">
        <f t="shared" ref="E63:P63" si="7">E36+E35</f>
        <v>32700.9</v>
      </c>
      <c r="F63" s="103">
        <f t="shared" si="7"/>
        <v>39323.493000000002</v>
      </c>
      <c r="G63" s="103">
        <f t="shared" si="7"/>
        <v>39243.373999999996</v>
      </c>
      <c r="H63" s="103">
        <f t="shared" si="7"/>
        <v>34786.545830000003</v>
      </c>
      <c r="I63" s="103">
        <f t="shared" si="7"/>
        <v>35628.129999999997</v>
      </c>
      <c r="J63" s="103">
        <f t="shared" si="7"/>
        <v>33929.044999999998</v>
      </c>
      <c r="K63" s="103">
        <f t="shared" si="7"/>
        <v>38248.57</v>
      </c>
      <c r="L63" s="103">
        <f t="shared" si="7"/>
        <v>36412.396999999997</v>
      </c>
      <c r="M63" s="103">
        <f t="shared" si="7"/>
        <v>35866.979999999996</v>
      </c>
      <c r="N63" s="103">
        <f t="shared" si="7"/>
        <v>36310.016000000003</v>
      </c>
      <c r="O63" s="103">
        <f t="shared" si="7"/>
        <v>36403.478999999999</v>
      </c>
      <c r="P63" s="103">
        <f t="shared" si="7"/>
        <v>29624.93</v>
      </c>
      <c r="Q63" s="38">
        <f>SUM(E63:P63)</f>
        <v>428477.85982999997</v>
      </c>
    </row>
    <row r="64" spans="2:23" ht="13" x14ac:dyDescent="0.3">
      <c r="B64" s="73"/>
      <c r="C64" s="23"/>
      <c r="D64" s="74"/>
      <c r="E64" s="624"/>
      <c r="F64" s="624"/>
      <c r="G64" s="624"/>
      <c r="H64" s="624"/>
      <c r="I64" s="624"/>
      <c r="J64" s="624"/>
      <c r="K64" s="624"/>
      <c r="L64" s="624"/>
      <c r="M64" s="624"/>
      <c r="N64" s="624"/>
      <c r="O64" s="624"/>
      <c r="P64" s="624"/>
      <c r="Q64" s="732"/>
    </row>
    <row r="65" spans="2:23" ht="13" x14ac:dyDescent="0.3">
      <c r="B65" s="73" t="s">
        <v>515</v>
      </c>
      <c r="C65" s="23" t="s">
        <v>516</v>
      </c>
      <c r="D65" s="74" t="s">
        <v>684</v>
      </c>
      <c r="E65" s="104"/>
      <c r="F65" s="104"/>
      <c r="G65" s="104"/>
      <c r="H65" s="104"/>
      <c r="I65" s="104"/>
      <c r="J65" s="104"/>
      <c r="L65" s="57"/>
      <c r="M65" s="57"/>
      <c r="N65" s="57"/>
      <c r="O65" s="57"/>
      <c r="P65" s="105"/>
      <c r="Q65" s="21"/>
    </row>
    <row r="66" spans="2:23" ht="15" x14ac:dyDescent="0.4">
      <c r="B66" s="106" t="s">
        <v>517</v>
      </c>
      <c r="C66" s="27" t="s">
        <v>518</v>
      </c>
      <c r="D66" s="80" t="s">
        <v>519</v>
      </c>
      <c r="E66" s="107">
        <v>129</v>
      </c>
      <c r="F66" s="107">
        <v>129</v>
      </c>
      <c r="G66" s="107">
        <v>129</v>
      </c>
      <c r="H66" s="107">
        <v>129</v>
      </c>
      <c r="I66" s="107">
        <v>129</v>
      </c>
      <c r="J66" s="107">
        <v>129</v>
      </c>
      <c r="K66" s="107">
        <v>129</v>
      </c>
      <c r="L66" s="107">
        <v>129</v>
      </c>
      <c r="M66" s="107">
        <v>129</v>
      </c>
      <c r="N66" s="107">
        <v>129</v>
      </c>
      <c r="O66" s="107">
        <v>129</v>
      </c>
      <c r="P66" s="108">
        <v>129</v>
      </c>
      <c r="Q66" s="40">
        <v>129</v>
      </c>
    </row>
    <row r="68" spans="2:23" ht="13" x14ac:dyDescent="0.3">
      <c r="T68" s="46"/>
    </row>
    <row r="69" spans="2:23" ht="13" x14ac:dyDescent="0.3">
      <c r="B69" s="9" t="s">
        <v>520</v>
      </c>
      <c r="C69" s="9"/>
      <c r="D69" s="10"/>
      <c r="E69" s="10"/>
      <c r="F69" s="10"/>
      <c r="G69" s="10"/>
      <c r="H69" s="10"/>
      <c r="I69" s="10"/>
      <c r="J69" s="10"/>
      <c r="T69" s="46"/>
    </row>
    <row r="70" spans="2:23" ht="13" x14ac:dyDescent="0.3">
      <c r="T70" s="46"/>
    </row>
    <row r="71" spans="2:23" ht="13" x14ac:dyDescent="0.3">
      <c r="B71" s="46" t="s">
        <v>521</v>
      </c>
      <c r="T71" s="46"/>
    </row>
    <row r="72" spans="2:23" ht="13" x14ac:dyDescent="0.3">
      <c r="B72" s="11"/>
      <c r="C72" s="109"/>
      <c r="D72" s="110"/>
      <c r="E72" s="14" t="s">
        <v>522</v>
      </c>
      <c r="F72" s="14" t="s">
        <v>459</v>
      </c>
      <c r="G72" s="14" t="s">
        <v>460</v>
      </c>
      <c r="H72" s="14" t="s">
        <v>523</v>
      </c>
      <c r="I72" s="14" t="s">
        <v>462</v>
      </c>
      <c r="J72" s="14" t="s">
        <v>463</v>
      </c>
      <c r="K72" s="14" t="s">
        <v>464</v>
      </c>
      <c r="L72" s="14" t="s">
        <v>465</v>
      </c>
      <c r="M72" s="14" t="s">
        <v>466</v>
      </c>
      <c r="N72" s="14" t="s">
        <v>467</v>
      </c>
      <c r="O72" s="14" t="s">
        <v>468</v>
      </c>
      <c r="P72" s="15" t="s">
        <v>469</v>
      </c>
      <c r="Q72" s="111" t="s">
        <v>379</v>
      </c>
    </row>
    <row r="73" spans="2:23" ht="17" x14ac:dyDescent="0.45">
      <c r="B73" s="100" t="s">
        <v>26</v>
      </c>
      <c r="C73" s="112" t="s">
        <v>524</v>
      </c>
      <c r="D73" s="113" t="s">
        <v>525</v>
      </c>
      <c r="E73" s="625">
        <v>0</v>
      </c>
      <c r="F73" s="626">
        <v>87.392910715931563</v>
      </c>
      <c r="G73" s="626">
        <v>0</v>
      </c>
      <c r="H73" s="626">
        <v>0</v>
      </c>
      <c r="I73" s="626">
        <v>0</v>
      </c>
      <c r="J73" s="626">
        <v>0</v>
      </c>
      <c r="K73" s="626">
        <v>0</v>
      </c>
      <c r="L73" s="627">
        <v>0</v>
      </c>
      <c r="M73" s="626">
        <v>0</v>
      </c>
      <c r="N73" s="626">
        <v>0</v>
      </c>
      <c r="O73" s="626">
        <v>44777.94651312261</v>
      </c>
      <c r="P73" s="628">
        <v>0</v>
      </c>
      <c r="Q73" s="114">
        <f>SUM(E73:P73)</f>
        <v>44865.339423838544</v>
      </c>
    </row>
    <row r="74" spans="2:23" ht="17" x14ac:dyDescent="0.45">
      <c r="B74" s="115" t="s">
        <v>310</v>
      </c>
      <c r="C74" s="53" t="s">
        <v>524</v>
      </c>
      <c r="D74" s="113" t="s">
        <v>486</v>
      </c>
      <c r="E74" s="629">
        <v>0</v>
      </c>
      <c r="F74" s="624">
        <v>0</v>
      </c>
      <c r="G74" s="624">
        <v>0</v>
      </c>
      <c r="H74" s="624">
        <v>0</v>
      </c>
      <c r="I74" s="624">
        <v>0</v>
      </c>
      <c r="J74" s="624">
        <v>0</v>
      </c>
      <c r="K74" s="624">
        <v>0</v>
      </c>
      <c r="L74" s="624">
        <v>0</v>
      </c>
      <c r="M74" s="624">
        <v>0</v>
      </c>
      <c r="N74" s="624">
        <v>0</v>
      </c>
      <c r="O74" s="624">
        <v>0</v>
      </c>
      <c r="P74" s="630">
        <v>0</v>
      </c>
      <c r="Q74" s="116">
        <f>SUM(E74:P74)</f>
        <v>0</v>
      </c>
    </row>
    <row r="75" spans="2:23" ht="17" x14ac:dyDescent="0.45">
      <c r="B75" s="117" t="s">
        <v>526</v>
      </c>
      <c r="C75" s="55" t="s">
        <v>524</v>
      </c>
      <c r="D75" s="118" t="s">
        <v>525</v>
      </c>
      <c r="E75" s="119">
        <f>+E73/625</f>
        <v>0</v>
      </c>
      <c r="F75" s="120">
        <f>+F73/625</f>
        <v>0.1398286571454905</v>
      </c>
      <c r="G75" s="120">
        <f t="shared" ref="G75:P75" si="8">+G73/625</f>
        <v>0</v>
      </c>
      <c r="H75" s="120">
        <f t="shared" si="8"/>
        <v>0</v>
      </c>
      <c r="I75" s="120">
        <f t="shared" si="8"/>
        <v>0</v>
      </c>
      <c r="J75" s="120">
        <f t="shared" si="8"/>
        <v>0</v>
      </c>
      <c r="K75" s="120">
        <f t="shared" si="8"/>
        <v>0</v>
      </c>
      <c r="L75" s="120">
        <f t="shared" si="8"/>
        <v>0</v>
      </c>
      <c r="M75" s="120">
        <f t="shared" si="8"/>
        <v>0</v>
      </c>
      <c r="N75" s="120">
        <f t="shared" si="8"/>
        <v>0</v>
      </c>
      <c r="O75" s="121">
        <f>+O73/625</f>
        <v>71.644714420996181</v>
      </c>
      <c r="P75" s="121">
        <f t="shared" si="8"/>
        <v>0</v>
      </c>
      <c r="Q75" s="122">
        <f>SUM(E75:P75)</f>
        <v>71.784543078141667</v>
      </c>
    </row>
    <row r="76" spans="2:23" ht="13" x14ac:dyDescent="0.3">
      <c r="T76" s="46"/>
    </row>
    <row r="77" spans="2:23" ht="13" hidden="1" x14ac:dyDescent="0.3">
      <c r="T77" s="46"/>
    </row>
    <row r="78" spans="2:23" ht="13" hidden="1" x14ac:dyDescent="0.3">
      <c r="B78" s="46" t="s">
        <v>527</v>
      </c>
      <c r="T78" s="46"/>
    </row>
    <row r="79" spans="2:23" ht="13" hidden="1" x14ac:dyDescent="0.3">
      <c r="B79" s="11"/>
      <c r="C79" s="123"/>
      <c r="D79" s="93"/>
      <c r="E79" s="93"/>
      <c r="F79" s="93"/>
      <c r="G79" s="93"/>
      <c r="H79" s="93"/>
      <c r="I79" s="93"/>
      <c r="J79" s="93"/>
      <c r="K79" s="30" t="s">
        <v>458</v>
      </c>
      <c r="L79" s="30" t="s">
        <v>459</v>
      </c>
      <c r="M79" s="30" t="s">
        <v>460</v>
      </c>
      <c r="N79" s="30" t="s">
        <v>461</v>
      </c>
      <c r="O79" s="30" t="s">
        <v>462</v>
      </c>
      <c r="P79" s="30" t="s">
        <v>463</v>
      </c>
      <c r="Q79" s="30" t="s">
        <v>464</v>
      </c>
      <c r="R79" s="30" t="s">
        <v>528</v>
      </c>
      <c r="S79" s="30" t="s">
        <v>466</v>
      </c>
      <c r="T79" s="30" t="s">
        <v>467</v>
      </c>
      <c r="U79" s="30" t="s">
        <v>468</v>
      </c>
      <c r="V79" s="30" t="s">
        <v>529</v>
      </c>
      <c r="W79" s="111" t="s">
        <v>379</v>
      </c>
    </row>
    <row r="80" spans="2:23" ht="17" hidden="1" x14ac:dyDescent="0.45">
      <c r="B80" s="100" t="s">
        <v>26</v>
      </c>
      <c r="C80" s="45"/>
      <c r="D80" s="112" t="s">
        <v>530</v>
      </c>
      <c r="E80" s="112"/>
      <c r="F80" s="112"/>
      <c r="G80" s="112"/>
      <c r="H80" s="112"/>
      <c r="I80" s="112"/>
      <c r="J80" s="112"/>
      <c r="K80" s="38"/>
      <c r="L80" s="38"/>
      <c r="M80" s="38"/>
      <c r="N80" s="38"/>
      <c r="O80" s="38"/>
      <c r="P80" s="38"/>
      <c r="Q80" s="38"/>
      <c r="R80" s="38"/>
      <c r="S80" s="38"/>
      <c r="T80" s="38"/>
      <c r="U80" s="38"/>
      <c r="V80" s="38"/>
      <c r="W80" s="114"/>
    </row>
    <row r="81" spans="2:23" ht="17" hidden="1" x14ac:dyDescent="0.45">
      <c r="B81" s="115" t="s">
        <v>310</v>
      </c>
      <c r="C81" s="46"/>
      <c r="D81" s="53" t="s">
        <v>530</v>
      </c>
      <c r="E81" s="53"/>
      <c r="F81" s="53"/>
      <c r="G81" s="53"/>
      <c r="H81" s="53"/>
      <c r="I81" s="53"/>
      <c r="J81" s="53"/>
      <c r="K81" s="21"/>
      <c r="L81" s="21"/>
      <c r="M81" s="21"/>
      <c r="N81" s="21"/>
      <c r="O81" s="21"/>
      <c r="P81" s="21"/>
      <c r="Q81" s="21"/>
      <c r="R81" s="21"/>
      <c r="S81" s="21"/>
      <c r="T81" s="21"/>
      <c r="U81" s="21"/>
      <c r="V81" s="21"/>
      <c r="W81" s="116"/>
    </row>
    <row r="82" spans="2:23" ht="17" hidden="1" x14ac:dyDescent="0.45">
      <c r="B82" s="117" t="s">
        <v>531</v>
      </c>
      <c r="C82" s="124"/>
      <c r="D82" s="55" t="s">
        <v>530</v>
      </c>
      <c r="E82" s="55"/>
      <c r="F82" s="55"/>
      <c r="G82" s="55"/>
      <c r="H82" s="55"/>
      <c r="I82" s="55"/>
      <c r="J82" s="55"/>
      <c r="K82" s="41"/>
      <c r="L82" s="41"/>
      <c r="M82" s="41"/>
      <c r="N82" s="41"/>
      <c r="O82" s="41"/>
      <c r="P82" s="41"/>
      <c r="Q82" s="41"/>
      <c r="R82" s="41"/>
      <c r="S82" s="41"/>
      <c r="T82" s="41"/>
      <c r="U82" s="41"/>
      <c r="V82" s="41"/>
      <c r="W82" s="122"/>
    </row>
    <row r="83" spans="2:23" ht="13" hidden="1" x14ac:dyDescent="0.3">
      <c r="T83" s="46"/>
    </row>
    <row r="84" spans="2:23" ht="13" hidden="1" x14ac:dyDescent="0.3">
      <c r="T84" s="46"/>
    </row>
    <row r="85" spans="2:23" ht="13" hidden="1" x14ac:dyDescent="0.3">
      <c r="B85" s="46" t="s">
        <v>532</v>
      </c>
      <c r="T85" s="46"/>
    </row>
    <row r="86" spans="2:23" ht="13" hidden="1" x14ac:dyDescent="0.3">
      <c r="B86" s="11"/>
      <c r="C86" s="123"/>
      <c r="D86" s="93"/>
      <c r="E86" s="93"/>
      <c r="F86" s="93"/>
      <c r="G86" s="93"/>
      <c r="H86" s="93"/>
      <c r="I86" s="93"/>
      <c r="J86" s="93"/>
      <c r="K86" s="30" t="s">
        <v>458</v>
      </c>
      <c r="L86" s="30" t="s">
        <v>459</v>
      </c>
      <c r="M86" s="30" t="s">
        <v>460</v>
      </c>
      <c r="N86" s="30" t="s">
        <v>461</v>
      </c>
      <c r="O86" s="30" t="s">
        <v>462</v>
      </c>
      <c r="P86" s="30" t="s">
        <v>463</v>
      </c>
      <c r="Q86" s="30" t="s">
        <v>464</v>
      </c>
      <c r="R86" s="30" t="s">
        <v>528</v>
      </c>
      <c r="S86" s="30" t="s">
        <v>466</v>
      </c>
      <c r="T86" s="30" t="s">
        <v>467</v>
      </c>
      <c r="U86" s="30" t="s">
        <v>468</v>
      </c>
      <c r="V86" s="30" t="s">
        <v>529</v>
      </c>
      <c r="W86" s="16" t="s">
        <v>379</v>
      </c>
    </row>
    <row r="87" spans="2:23" ht="17" hidden="1" x14ac:dyDescent="0.45">
      <c r="B87" s="100" t="s">
        <v>26</v>
      </c>
      <c r="C87" s="45"/>
      <c r="D87" s="112" t="s">
        <v>533</v>
      </c>
      <c r="E87" s="112"/>
      <c r="F87" s="112"/>
      <c r="G87" s="112"/>
      <c r="H87" s="112"/>
      <c r="I87" s="112"/>
      <c r="J87" s="112"/>
      <c r="K87" s="125"/>
      <c r="L87" s="126"/>
      <c r="M87" s="125"/>
      <c r="N87" s="126"/>
      <c r="O87" s="125"/>
      <c r="P87" s="126"/>
      <c r="Q87" s="125"/>
      <c r="R87" s="126"/>
      <c r="S87" s="125"/>
      <c r="T87" s="126"/>
      <c r="U87" s="125"/>
      <c r="V87" s="127"/>
      <c r="W87" s="114">
        <v>0</v>
      </c>
    </row>
    <row r="88" spans="2:23" ht="17" hidden="1" x14ac:dyDescent="0.45">
      <c r="B88" s="115" t="s">
        <v>310</v>
      </c>
      <c r="C88" s="46"/>
      <c r="D88" s="53" t="s">
        <v>533</v>
      </c>
      <c r="E88" s="53"/>
      <c r="F88" s="53"/>
      <c r="G88" s="53"/>
      <c r="H88" s="53"/>
      <c r="I88" s="53"/>
      <c r="J88" s="53"/>
      <c r="K88" s="128"/>
      <c r="L88" s="126"/>
      <c r="M88" s="128"/>
      <c r="N88" s="126"/>
      <c r="O88" s="128"/>
      <c r="P88" s="126"/>
      <c r="Q88" s="128"/>
      <c r="R88" s="126"/>
      <c r="S88" s="128"/>
      <c r="T88" s="126"/>
      <c r="U88" s="128"/>
      <c r="V88" s="127"/>
      <c r="W88" s="116">
        <v>0</v>
      </c>
    </row>
    <row r="89" spans="2:23" ht="17" hidden="1" x14ac:dyDescent="0.45">
      <c r="B89" s="117" t="s">
        <v>531</v>
      </c>
      <c r="C89" s="124"/>
      <c r="D89" s="55" t="s">
        <v>534</v>
      </c>
      <c r="E89" s="55"/>
      <c r="F89" s="55"/>
      <c r="G89" s="55"/>
      <c r="H89" s="55"/>
      <c r="I89" s="55"/>
      <c r="J89" s="55"/>
      <c r="K89" s="129"/>
      <c r="L89" s="130"/>
      <c r="M89" s="129"/>
      <c r="N89" s="130"/>
      <c r="O89" s="129"/>
      <c r="P89" s="130"/>
      <c r="Q89" s="129"/>
      <c r="R89" s="130"/>
      <c r="S89" s="129"/>
      <c r="T89" s="130"/>
      <c r="U89" s="129"/>
      <c r="V89" s="131"/>
      <c r="W89" s="122">
        <v>0</v>
      </c>
    </row>
    <row r="90" spans="2:23" hidden="1" x14ac:dyDescent="0.25"/>
    <row r="91" spans="2:23" ht="13" hidden="1" x14ac:dyDescent="0.3">
      <c r="B91" s="46" t="s">
        <v>535</v>
      </c>
    </row>
    <row r="92" spans="2:23" ht="13" hidden="1" x14ac:dyDescent="0.3">
      <c r="B92" s="132"/>
      <c r="C92" s="123"/>
      <c r="D92" s="93"/>
      <c r="E92" s="93"/>
      <c r="F92" s="93"/>
      <c r="G92" s="93"/>
      <c r="H92" s="93"/>
      <c r="I92" s="93"/>
      <c r="J92" s="93"/>
      <c r="K92" s="16" t="s">
        <v>536</v>
      </c>
      <c r="L92" s="17"/>
      <c r="M92" s="16" t="s">
        <v>537</v>
      </c>
    </row>
    <row r="93" spans="2:23" ht="15" hidden="1" x14ac:dyDescent="0.4">
      <c r="B93" s="100" t="s">
        <v>26</v>
      </c>
      <c r="C93" s="45"/>
      <c r="D93" s="17" t="s">
        <v>538</v>
      </c>
      <c r="E93" s="17"/>
      <c r="F93" s="17"/>
      <c r="G93" s="17"/>
      <c r="H93" s="17"/>
      <c r="I93" s="17"/>
      <c r="J93" s="17"/>
      <c r="K93" s="133"/>
      <c r="L93" s="134" t="s">
        <v>308</v>
      </c>
      <c r="M93" s="133"/>
    </row>
    <row r="94" spans="2:23" ht="15" hidden="1" x14ac:dyDescent="0.4">
      <c r="B94" s="115" t="s">
        <v>310</v>
      </c>
      <c r="C94" s="46"/>
      <c r="D94" s="22" t="s">
        <v>539</v>
      </c>
      <c r="E94" s="22"/>
      <c r="F94" s="22"/>
      <c r="G94" s="22"/>
      <c r="H94" s="22"/>
      <c r="I94" s="22"/>
      <c r="J94" s="22"/>
      <c r="K94" s="135"/>
      <c r="L94" s="24" t="s">
        <v>308</v>
      </c>
      <c r="M94" s="136"/>
    </row>
    <row r="95" spans="2:23" ht="16.5" hidden="1" x14ac:dyDescent="0.4">
      <c r="B95" s="117" t="s">
        <v>540</v>
      </c>
      <c r="C95" s="124"/>
      <c r="D95" s="79" t="s">
        <v>541</v>
      </c>
      <c r="E95" s="79"/>
      <c r="F95" s="79"/>
      <c r="G95" s="79"/>
      <c r="H95" s="79"/>
      <c r="I95" s="79"/>
      <c r="J95" s="79"/>
      <c r="K95" s="137"/>
      <c r="L95" s="40" t="s">
        <v>542</v>
      </c>
      <c r="M95" s="138"/>
    </row>
    <row r="96" spans="2:23" hidden="1" x14ac:dyDescent="0.25"/>
    <row r="97" spans="2:23" ht="13" hidden="1" x14ac:dyDescent="0.3">
      <c r="B97" s="11" t="s">
        <v>543</v>
      </c>
      <c r="C97" s="123"/>
      <c r="D97" s="93"/>
      <c r="E97" s="93"/>
      <c r="F97" s="93"/>
      <c r="G97" s="93"/>
      <c r="H97" s="93"/>
      <c r="I97" s="93"/>
      <c r="J97" s="93"/>
      <c r="K97" s="16" t="s">
        <v>536</v>
      </c>
      <c r="L97" s="17"/>
      <c r="M97" s="16" t="s">
        <v>537</v>
      </c>
    </row>
    <row r="98" spans="2:23" ht="13" hidden="1" x14ac:dyDescent="0.3">
      <c r="B98" s="139" t="s">
        <v>26</v>
      </c>
      <c r="C98" s="140"/>
      <c r="D98" s="141"/>
      <c r="E98" s="141"/>
      <c r="F98" s="141"/>
      <c r="G98" s="141"/>
      <c r="H98" s="141"/>
      <c r="I98" s="141"/>
      <c r="J98" s="141"/>
      <c r="K98" s="142">
        <v>43.3</v>
      </c>
      <c r="L98" s="143" t="s">
        <v>308</v>
      </c>
      <c r="M98" s="142">
        <v>0.84</v>
      </c>
    </row>
    <row r="99" spans="2:23" ht="13" hidden="1" x14ac:dyDescent="0.3">
      <c r="B99" s="144" t="s">
        <v>310</v>
      </c>
      <c r="C99" s="145"/>
      <c r="D99" s="146"/>
      <c r="E99" s="146"/>
      <c r="F99" s="146"/>
      <c r="G99" s="146"/>
      <c r="H99" s="146"/>
      <c r="I99" s="146"/>
      <c r="J99" s="146"/>
      <c r="K99" s="147">
        <v>41.7</v>
      </c>
      <c r="L99" s="148" t="s">
        <v>308</v>
      </c>
      <c r="M99" s="147">
        <v>0.98</v>
      </c>
    </row>
    <row r="100" spans="2:23" ht="15.5" hidden="1" x14ac:dyDescent="0.3">
      <c r="B100" s="149" t="s">
        <v>544</v>
      </c>
      <c r="C100" s="150"/>
      <c r="D100" s="151"/>
      <c r="E100" s="151"/>
      <c r="F100" s="151"/>
      <c r="G100" s="151"/>
      <c r="H100" s="151"/>
      <c r="I100" s="151"/>
      <c r="J100" s="151"/>
      <c r="K100" s="152">
        <v>52.2</v>
      </c>
      <c r="L100" s="153" t="s">
        <v>542</v>
      </c>
      <c r="M100" s="152">
        <v>0.55000000000000004</v>
      </c>
    </row>
    <row r="101" spans="2:23" ht="13" hidden="1" x14ac:dyDescent="0.3">
      <c r="B101" s="87"/>
    </row>
    <row r="102" spans="2:23" ht="13" x14ac:dyDescent="0.3">
      <c r="B102" s="154" t="s">
        <v>545</v>
      </c>
      <c r="C102" s="155"/>
      <c r="D102" s="155"/>
      <c r="E102" s="155"/>
      <c r="F102" s="155"/>
      <c r="G102" s="155"/>
      <c r="H102" s="155"/>
      <c r="I102" s="155"/>
      <c r="J102" s="155"/>
      <c r="K102" s="155"/>
      <c r="L102" s="155"/>
      <c r="M102" s="155"/>
      <c r="N102" s="155"/>
      <c r="O102" s="155"/>
      <c r="P102" s="155"/>
      <c r="Q102" s="155"/>
      <c r="R102" s="155"/>
      <c r="S102" s="155"/>
      <c r="T102" s="154"/>
      <c r="U102" s="155"/>
      <c r="V102" s="155"/>
      <c r="W102" s="155"/>
    </row>
    <row r="103" spans="2:23" ht="13" x14ac:dyDescent="0.3">
      <c r="B103" s="156"/>
      <c r="C103" s="157"/>
      <c r="D103" s="158"/>
      <c r="E103" s="14" t="s">
        <v>458</v>
      </c>
      <c r="F103" s="14" t="s">
        <v>459</v>
      </c>
      <c r="G103" s="14" t="s">
        <v>460</v>
      </c>
      <c r="H103" s="14" t="s">
        <v>461</v>
      </c>
      <c r="I103" s="14" t="s">
        <v>462</v>
      </c>
      <c r="J103" s="14" t="s">
        <v>463</v>
      </c>
      <c r="K103" s="14" t="s">
        <v>464</v>
      </c>
      <c r="L103" s="14" t="s">
        <v>465</v>
      </c>
      <c r="M103" s="14" t="s">
        <v>466</v>
      </c>
      <c r="N103" s="14" t="s">
        <v>467</v>
      </c>
      <c r="O103" s="14" t="s">
        <v>468</v>
      </c>
      <c r="P103" s="15" t="s">
        <v>469</v>
      </c>
      <c r="Q103" s="159" t="s">
        <v>379</v>
      </c>
    </row>
    <row r="104" spans="2:23" ht="17" x14ac:dyDescent="0.45">
      <c r="B104" s="160" t="s">
        <v>26</v>
      </c>
      <c r="C104" s="161" t="s">
        <v>530</v>
      </c>
      <c r="D104" s="162" t="s">
        <v>525</v>
      </c>
      <c r="E104" s="631">
        <v>5322</v>
      </c>
      <c r="F104" s="627">
        <v>5746</v>
      </c>
      <c r="G104" s="627">
        <v>5722</v>
      </c>
      <c r="H104" s="627">
        <v>5429</v>
      </c>
      <c r="I104" s="627">
        <v>6764</v>
      </c>
      <c r="J104" s="627">
        <v>6607</v>
      </c>
      <c r="K104" s="627">
        <v>5570</v>
      </c>
      <c r="L104" s="627">
        <v>5815</v>
      </c>
      <c r="M104" s="627">
        <v>5859</v>
      </c>
      <c r="N104" s="627">
        <v>5597</v>
      </c>
      <c r="O104" s="627">
        <v>7592</v>
      </c>
      <c r="P104" s="632">
        <v>6209</v>
      </c>
      <c r="Q104" s="163">
        <f>SUM(E104:P104)</f>
        <v>72232</v>
      </c>
    </row>
    <row r="105" spans="2:23" ht="17" x14ac:dyDescent="0.45">
      <c r="B105" s="164" t="s">
        <v>310</v>
      </c>
      <c r="C105" s="165" t="s">
        <v>530</v>
      </c>
      <c r="D105" s="162" t="s">
        <v>486</v>
      </c>
      <c r="E105" s="633">
        <v>0</v>
      </c>
      <c r="F105" s="634">
        <v>0</v>
      </c>
      <c r="G105" s="634">
        <v>0</v>
      </c>
      <c r="H105" s="634">
        <v>0</v>
      </c>
      <c r="I105" s="634">
        <v>0</v>
      </c>
      <c r="J105" s="634">
        <v>0</v>
      </c>
      <c r="K105" s="634">
        <v>0</v>
      </c>
      <c r="L105" s="634">
        <v>0</v>
      </c>
      <c r="M105" s="634">
        <v>0</v>
      </c>
      <c r="N105" s="634">
        <v>0</v>
      </c>
      <c r="O105" s="634">
        <v>0</v>
      </c>
      <c r="P105" s="635">
        <v>0</v>
      </c>
      <c r="Q105" s="166">
        <f>SUM(E105:P105)</f>
        <v>0</v>
      </c>
    </row>
    <row r="106" spans="2:23" ht="17" x14ac:dyDescent="0.45">
      <c r="B106" s="167" t="s">
        <v>546</v>
      </c>
      <c r="C106" s="168" t="s">
        <v>530</v>
      </c>
      <c r="D106" s="169" t="s">
        <v>525</v>
      </c>
      <c r="E106" s="636">
        <v>0</v>
      </c>
      <c r="F106" s="637">
        <v>0</v>
      </c>
      <c r="G106" s="637">
        <v>0</v>
      </c>
      <c r="H106" s="637">
        <v>0</v>
      </c>
      <c r="I106" s="637">
        <v>0</v>
      </c>
      <c r="J106" s="637">
        <v>0</v>
      </c>
      <c r="K106" s="637">
        <v>0</v>
      </c>
      <c r="L106" s="637">
        <v>0</v>
      </c>
      <c r="M106" s="637">
        <v>0</v>
      </c>
      <c r="N106" s="637">
        <v>0</v>
      </c>
      <c r="O106" s="637">
        <v>0</v>
      </c>
      <c r="P106" s="638">
        <v>0</v>
      </c>
      <c r="Q106" s="170">
        <f>SUM(E106:P106)</f>
        <v>0</v>
      </c>
    </row>
    <row r="107" spans="2:23" ht="13" x14ac:dyDescent="0.3">
      <c r="B107" s="155"/>
      <c r="C107" s="155"/>
      <c r="D107" s="155"/>
      <c r="E107" s="155"/>
      <c r="F107" s="155"/>
      <c r="G107" s="155"/>
      <c r="H107" s="155"/>
      <c r="I107" s="155"/>
      <c r="J107" s="155"/>
      <c r="K107" s="155"/>
      <c r="L107" s="155"/>
      <c r="M107" s="155"/>
      <c r="N107" s="155"/>
      <c r="O107" s="155"/>
      <c r="P107" s="155"/>
      <c r="Q107" s="155"/>
      <c r="R107" s="155"/>
      <c r="S107" s="155"/>
      <c r="T107" s="154"/>
      <c r="U107" s="155"/>
      <c r="V107" s="155"/>
      <c r="W107" s="155"/>
    </row>
    <row r="108" spans="2:23" ht="13" x14ac:dyDescent="0.3">
      <c r="B108" s="171" t="s">
        <v>547</v>
      </c>
      <c r="C108" s="155"/>
      <c r="D108" s="155"/>
      <c r="E108" s="155"/>
      <c r="F108" s="155"/>
      <c r="G108" s="155"/>
      <c r="H108" s="155"/>
      <c r="I108" s="155"/>
      <c r="J108" s="155"/>
      <c r="K108" s="155"/>
      <c r="L108" s="155"/>
      <c r="M108" s="155"/>
      <c r="N108" s="155"/>
      <c r="O108" s="155"/>
      <c r="P108" s="155"/>
      <c r="Q108" s="155"/>
      <c r="R108" s="155"/>
      <c r="S108" s="155"/>
      <c r="T108" s="154"/>
      <c r="U108" s="155"/>
      <c r="V108" s="155"/>
      <c r="W108" s="155"/>
    </row>
    <row r="109" spans="2:23" ht="13" x14ac:dyDescent="0.3">
      <c r="B109" s="156" t="s">
        <v>548</v>
      </c>
      <c r="C109" s="172"/>
      <c r="D109" s="173"/>
      <c r="E109" s="174" t="s">
        <v>536</v>
      </c>
      <c r="F109" s="175"/>
      <c r="G109" s="174" t="s">
        <v>537</v>
      </c>
    </row>
    <row r="110" spans="2:23" ht="13" x14ac:dyDescent="0.3">
      <c r="B110" s="176" t="s">
        <v>26</v>
      </c>
      <c r="C110" s="177"/>
      <c r="D110" s="178" t="s">
        <v>549</v>
      </c>
      <c r="E110" s="179">
        <v>43.3</v>
      </c>
      <c r="F110" s="178" t="s">
        <v>308</v>
      </c>
      <c r="G110" s="179">
        <v>0.84</v>
      </c>
    </row>
    <row r="111" spans="2:23" ht="13" x14ac:dyDescent="0.3">
      <c r="B111" s="180" t="s">
        <v>310</v>
      </c>
      <c r="C111" s="181"/>
      <c r="D111" s="182" t="s">
        <v>549</v>
      </c>
      <c r="E111" s="183">
        <v>41.7</v>
      </c>
      <c r="F111" s="182" t="s">
        <v>308</v>
      </c>
      <c r="G111" s="183">
        <v>0.98</v>
      </c>
    </row>
    <row r="112" spans="2:23" ht="15.5" x14ac:dyDescent="0.3">
      <c r="B112" s="184" t="s">
        <v>544</v>
      </c>
      <c r="C112" s="185"/>
      <c r="D112" s="186" t="s">
        <v>549</v>
      </c>
      <c r="E112" s="187">
        <v>52.2</v>
      </c>
      <c r="F112" s="186" t="s">
        <v>542</v>
      </c>
      <c r="G112" s="187">
        <v>0.55000000000000004</v>
      </c>
    </row>
    <row r="113" spans="2:23" ht="13" x14ac:dyDescent="0.3">
      <c r="D113" s="46"/>
      <c r="E113" s="46"/>
      <c r="F113" s="46"/>
      <c r="G113" s="46"/>
      <c r="H113" s="46"/>
      <c r="I113" s="46"/>
      <c r="J113" s="46"/>
    </row>
    <row r="114" spans="2:23" ht="13" x14ac:dyDescent="0.3">
      <c r="B114" s="188" t="s">
        <v>550</v>
      </c>
      <c r="C114" s="155"/>
      <c r="D114" s="155"/>
      <c r="E114" s="155"/>
      <c r="F114" s="155"/>
      <c r="G114" s="155"/>
      <c r="H114" s="155"/>
      <c r="I114" s="155"/>
      <c r="J114" s="155"/>
      <c r="K114" s="155"/>
      <c r="L114" s="155"/>
      <c r="M114" s="155"/>
      <c r="N114" s="155"/>
      <c r="O114" s="155"/>
      <c r="P114" s="155"/>
      <c r="Q114" s="155"/>
      <c r="R114" s="155"/>
      <c r="S114" s="155"/>
      <c r="T114" s="154"/>
      <c r="U114" s="155"/>
      <c r="V114" s="155"/>
      <c r="W114" s="155"/>
    </row>
    <row r="115" spans="2:23" ht="13" x14ac:dyDescent="0.3">
      <c r="B115" s="156"/>
      <c r="C115" s="157"/>
      <c r="D115" s="158"/>
      <c r="E115" s="189" t="s">
        <v>458</v>
      </c>
      <c r="F115" s="189" t="s">
        <v>459</v>
      </c>
      <c r="G115" s="189" t="s">
        <v>460</v>
      </c>
      <c r="H115" s="189" t="s">
        <v>461</v>
      </c>
      <c r="I115" s="189" t="s">
        <v>462</v>
      </c>
      <c r="J115" s="189" t="s">
        <v>463</v>
      </c>
      <c r="K115" s="189" t="s">
        <v>464</v>
      </c>
      <c r="L115" s="189" t="s">
        <v>465</v>
      </c>
      <c r="M115" s="189" t="s">
        <v>466</v>
      </c>
      <c r="N115" s="189" t="s">
        <v>467</v>
      </c>
      <c r="O115" s="189" t="s">
        <v>468</v>
      </c>
      <c r="P115" s="190" t="s">
        <v>469</v>
      </c>
      <c r="Q115" s="174" t="s">
        <v>379</v>
      </c>
    </row>
    <row r="116" spans="2:23" ht="17" x14ac:dyDescent="0.45">
      <c r="B116" s="160" t="s">
        <v>26</v>
      </c>
      <c r="C116" s="161" t="s">
        <v>533</v>
      </c>
      <c r="D116" s="191" t="s">
        <v>525</v>
      </c>
      <c r="E116" s="639">
        <v>0</v>
      </c>
      <c r="F116" s="640">
        <v>0</v>
      </c>
      <c r="G116" s="640">
        <v>0</v>
      </c>
      <c r="H116" s="640">
        <v>0</v>
      </c>
      <c r="I116" s="640">
        <v>0</v>
      </c>
      <c r="J116" s="640">
        <v>0</v>
      </c>
      <c r="K116" s="640">
        <v>0</v>
      </c>
      <c r="L116" s="640">
        <v>0</v>
      </c>
      <c r="M116" s="640">
        <v>0</v>
      </c>
      <c r="N116" s="640">
        <v>0</v>
      </c>
      <c r="O116" s="640">
        <v>0</v>
      </c>
      <c r="P116" s="641">
        <v>0</v>
      </c>
      <c r="Q116" s="163">
        <f>+SUM(E116:P116)</f>
        <v>0</v>
      </c>
    </row>
    <row r="117" spans="2:23" ht="17" x14ac:dyDescent="0.45">
      <c r="B117" s="164" t="s">
        <v>310</v>
      </c>
      <c r="C117" s="165" t="s">
        <v>533</v>
      </c>
      <c r="D117" s="191" t="s">
        <v>486</v>
      </c>
      <c r="E117" s="642">
        <v>0</v>
      </c>
      <c r="F117" s="643">
        <v>0</v>
      </c>
      <c r="G117" s="643">
        <v>0</v>
      </c>
      <c r="H117" s="643">
        <v>0</v>
      </c>
      <c r="I117" s="643">
        <v>0</v>
      </c>
      <c r="J117" s="643">
        <v>0</v>
      </c>
      <c r="K117" s="643">
        <v>0</v>
      </c>
      <c r="L117" s="643">
        <v>0</v>
      </c>
      <c r="M117" s="643">
        <v>0</v>
      </c>
      <c r="N117" s="643">
        <v>0</v>
      </c>
      <c r="O117" s="643">
        <v>0</v>
      </c>
      <c r="P117" s="644">
        <v>0</v>
      </c>
      <c r="Q117" s="166">
        <f>+SUM(E117:P117)</f>
        <v>0</v>
      </c>
    </row>
    <row r="118" spans="2:23" ht="17" x14ac:dyDescent="0.45">
      <c r="B118" s="167" t="s">
        <v>546</v>
      </c>
      <c r="C118" s="168" t="s">
        <v>534</v>
      </c>
      <c r="D118" s="192" t="s">
        <v>525</v>
      </c>
      <c r="E118" s="645">
        <v>0</v>
      </c>
      <c r="F118" s="646">
        <v>0</v>
      </c>
      <c r="G118" s="646">
        <v>0</v>
      </c>
      <c r="H118" s="646">
        <v>0</v>
      </c>
      <c r="I118" s="646">
        <v>0</v>
      </c>
      <c r="J118" s="646">
        <v>0</v>
      </c>
      <c r="K118" s="646">
        <v>0</v>
      </c>
      <c r="L118" s="646">
        <v>0</v>
      </c>
      <c r="M118" s="646">
        <v>0</v>
      </c>
      <c r="N118" s="646">
        <v>0</v>
      </c>
      <c r="O118" s="646">
        <v>0</v>
      </c>
      <c r="P118" s="647">
        <v>0</v>
      </c>
      <c r="Q118" s="170">
        <f>+SUM(E118:P118)</f>
        <v>0</v>
      </c>
    </row>
    <row r="119" spans="2:23" ht="13" x14ac:dyDescent="0.3">
      <c r="D119" s="46"/>
      <c r="E119" s="46"/>
      <c r="F119" s="46"/>
      <c r="G119" s="46"/>
      <c r="H119" s="46"/>
      <c r="I119" s="46"/>
      <c r="J119" s="46"/>
      <c r="N119" s="155"/>
      <c r="O119" s="155"/>
      <c r="P119" s="155"/>
      <c r="Q119" s="155"/>
      <c r="R119" s="155"/>
      <c r="S119" s="155"/>
      <c r="T119" s="155"/>
      <c r="U119" s="155"/>
      <c r="V119" s="155"/>
      <c r="W119" s="155"/>
    </row>
    <row r="120" spans="2:23" ht="13" x14ac:dyDescent="0.3">
      <c r="D120" s="46"/>
      <c r="E120" s="46"/>
      <c r="F120" s="46"/>
      <c r="G120" s="46"/>
      <c r="H120" s="46"/>
      <c r="I120" s="46"/>
      <c r="J120" s="46"/>
      <c r="N120" s="155"/>
      <c r="O120" s="155"/>
      <c r="P120" s="155"/>
      <c r="Q120" s="155"/>
      <c r="R120" s="155"/>
      <c r="S120" s="155"/>
      <c r="T120" s="155"/>
      <c r="U120" s="155"/>
      <c r="V120" s="155"/>
      <c r="W120" s="155"/>
    </row>
  </sheetData>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2A505-C3BA-48F9-91FC-050BB64F164A}">
  <dimension ref="B4:J13"/>
  <sheetViews>
    <sheetView showGridLines="0" workbookViewId="0">
      <selection activeCell="E13" sqref="E13"/>
    </sheetView>
  </sheetViews>
  <sheetFormatPr baseColWidth="10" defaultColWidth="11.453125" defaultRowHeight="14.5" x14ac:dyDescent="0.35"/>
  <cols>
    <col min="2" max="2" width="10.81640625" style="602"/>
    <col min="6" max="6" width="35.1796875" customWidth="1"/>
  </cols>
  <sheetData>
    <row r="4" spans="2:10" x14ac:dyDescent="0.35">
      <c r="B4" s="603" t="s">
        <v>551</v>
      </c>
      <c r="C4" s="601" t="s">
        <v>251</v>
      </c>
      <c r="D4" s="601" t="s">
        <v>254</v>
      </c>
      <c r="E4" s="601"/>
      <c r="F4" s="601" t="s">
        <v>552</v>
      </c>
    </row>
    <row r="5" spans="2:10" x14ac:dyDescent="0.35">
      <c r="B5" s="603">
        <v>2021</v>
      </c>
      <c r="C5" s="604">
        <v>0.81495408383058654</v>
      </c>
      <c r="D5" s="604">
        <v>0.15286289717842125</v>
      </c>
      <c r="E5" s="741" t="s">
        <v>562</v>
      </c>
      <c r="F5" s="601" t="s">
        <v>657</v>
      </c>
    </row>
    <row r="6" spans="2:10" x14ac:dyDescent="0.35">
      <c r="B6" s="603">
        <v>2022</v>
      </c>
      <c r="C6" s="604">
        <v>0.75151352443754971</v>
      </c>
      <c r="D6" s="604">
        <v>8.9103145677009776E-2</v>
      </c>
      <c r="E6" s="741" t="s">
        <v>562</v>
      </c>
      <c r="F6" s="601" t="s">
        <v>658</v>
      </c>
    </row>
    <row r="7" spans="2:10" x14ac:dyDescent="0.35">
      <c r="B7" s="603">
        <v>2023</v>
      </c>
      <c r="C7" s="604">
        <v>0.71122102021228806</v>
      </c>
      <c r="D7" s="604">
        <v>3.4538858919874872E-3</v>
      </c>
      <c r="E7" s="741" t="s">
        <v>562</v>
      </c>
      <c r="F7" s="601" t="s">
        <v>659</v>
      </c>
    </row>
    <row r="11" spans="2:10" x14ac:dyDescent="0.35">
      <c r="H11" s="779"/>
      <c r="I11" s="779"/>
      <c r="J11" s="779"/>
    </row>
    <row r="12" spans="2:10" x14ac:dyDescent="0.35">
      <c r="H12" s="779"/>
      <c r="I12" s="779"/>
      <c r="J12" s="779"/>
    </row>
    <row r="13" spans="2:10" x14ac:dyDescent="0.35">
      <c r="H13" s="779"/>
      <c r="I13" s="779"/>
      <c r="J13" s="779"/>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CAC1C-3E8B-4838-AA69-E119BF51EEA7}">
  <dimension ref="B1:M56"/>
  <sheetViews>
    <sheetView topLeftCell="A37" zoomScale="70" zoomScaleNormal="70" workbookViewId="0">
      <selection activeCell="E53" sqref="E53:G56"/>
    </sheetView>
  </sheetViews>
  <sheetFormatPr baseColWidth="10" defaultRowHeight="14.5" x14ac:dyDescent="0.35"/>
  <cols>
    <col min="2" max="2" width="11.453125" style="602"/>
    <col min="3" max="3" width="48.81640625" bestFit="1" customWidth="1"/>
    <col min="4" max="4" width="11.453125" customWidth="1"/>
    <col min="5" max="5" width="23.453125" customWidth="1"/>
    <col min="6" max="6" width="19.453125" style="602" customWidth="1"/>
    <col min="7" max="7" width="17.453125" bestFit="1" customWidth="1"/>
    <col min="8" max="8" width="12.7265625" customWidth="1"/>
  </cols>
  <sheetData>
    <row r="1" spans="2:13" ht="26" x14ac:dyDescent="0.6">
      <c r="B1" s="735"/>
    </row>
    <row r="4" spans="2:13" ht="15" x14ac:dyDescent="0.35">
      <c r="B4" s="736" t="s">
        <v>574</v>
      </c>
      <c r="C4" s="737" t="s">
        <v>575</v>
      </c>
      <c r="D4" s="737" t="s">
        <v>576</v>
      </c>
      <c r="E4" s="737" t="s">
        <v>577</v>
      </c>
      <c r="F4" s="737" t="s">
        <v>578</v>
      </c>
      <c r="G4" s="737" t="s">
        <v>579</v>
      </c>
      <c r="H4" s="738" t="s">
        <v>580</v>
      </c>
    </row>
    <row r="5" spans="2:13" ht="28" x14ac:dyDescent="0.35">
      <c r="B5" s="739">
        <v>1</v>
      </c>
      <c r="C5" s="740" t="s">
        <v>581</v>
      </c>
      <c r="D5" s="741" t="s">
        <v>582</v>
      </c>
      <c r="E5" s="742" t="s">
        <v>583</v>
      </c>
      <c r="F5" s="743">
        <v>177.05</v>
      </c>
      <c r="G5" s="744">
        <v>249.75999999999996</v>
      </c>
      <c r="H5" s="745" t="s">
        <v>584</v>
      </c>
      <c r="K5" s="746">
        <f>SUM(F5:F47)</f>
        <v>211773.80600000001</v>
      </c>
      <c r="L5">
        <f>SUM(G5:G47)</f>
        <v>600323.72000000009</v>
      </c>
    </row>
    <row r="6" spans="2:13" ht="28" x14ac:dyDescent="0.35">
      <c r="B6" s="739">
        <v>2</v>
      </c>
      <c r="C6" s="740" t="s">
        <v>585</v>
      </c>
      <c r="D6" s="741" t="s">
        <v>582</v>
      </c>
      <c r="E6" s="742" t="s">
        <v>583</v>
      </c>
      <c r="F6" s="743">
        <v>10669.451999999999</v>
      </c>
      <c r="G6" s="747">
        <v>65098.359999999993</v>
      </c>
      <c r="H6" s="745" t="s">
        <v>584</v>
      </c>
      <c r="K6" s="602">
        <f>SUM(F48:F49)</f>
        <v>145062.413</v>
      </c>
      <c r="L6">
        <f>SUM(G48:G49)</f>
        <v>12624.820000000005</v>
      </c>
      <c r="M6" s="746"/>
    </row>
    <row r="7" spans="2:13" ht="28" x14ac:dyDescent="0.35">
      <c r="B7" s="739">
        <v>3</v>
      </c>
      <c r="C7" s="748" t="s">
        <v>586</v>
      </c>
      <c r="D7" s="741" t="s">
        <v>582</v>
      </c>
      <c r="E7" s="742" t="s">
        <v>583</v>
      </c>
      <c r="F7" s="743">
        <v>28.79</v>
      </c>
      <c r="G7" s="749">
        <v>7.16</v>
      </c>
      <c r="H7" s="745" t="s">
        <v>584</v>
      </c>
      <c r="K7" s="746"/>
      <c r="L7" s="750"/>
      <c r="M7" s="746"/>
    </row>
    <row r="8" spans="2:13" ht="28" x14ac:dyDescent="0.35">
      <c r="B8" s="739">
        <v>4</v>
      </c>
      <c r="C8" s="740" t="s">
        <v>587</v>
      </c>
      <c r="D8" s="741" t="s">
        <v>582</v>
      </c>
      <c r="E8" s="742" t="s">
        <v>583</v>
      </c>
      <c r="F8" s="743">
        <v>8332.0990000000002</v>
      </c>
      <c r="G8" s="744">
        <v>14917.760000000004</v>
      </c>
      <c r="H8" s="745" t="s">
        <v>584</v>
      </c>
      <c r="M8" s="746"/>
    </row>
    <row r="9" spans="2:13" ht="28" x14ac:dyDescent="0.35">
      <c r="B9" s="739">
        <v>5</v>
      </c>
      <c r="C9" s="740" t="s">
        <v>588</v>
      </c>
      <c r="D9" s="741" t="s">
        <v>582</v>
      </c>
      <c r="E9" s="742" t="s">
        <v>583</v>
      </c>
      <c r="F9" s="743">
        <v>2066.1999999999998</v>
      </c>
      <c r="G9" s="744">
        <v>4536</v>
      </c>
      <c r="H9" s="745" t="s">
        <v>584</v>
      </c>
    </row>
    <row r="10" spans="2:13" ht="28" x14ac:dyDescent="0.35">
      <c r="B10" s="739">
        <v>6</v>
      </c>
      <c r="C10" s="740" t="s">
        <v>589</v>
      </c>
      <c r="D10" s="741" t="s">
        <v>582</v>
      </c>
      <c r="E10" s="742" t="s">
        <v>583</v>
      </c>
      <c r="F10" s="743">
        <v>9246.5030000000006</v>
      </c>
      <c r="G10" s="744">
        <v>34525.639999999956</v>
      </c>
      <c r="H10" s="745" t="s">
        <v>584</v>
      </c>
    </row>
    <row r="11" spans="2:13" ht="28" x14ac:dyDescent="0.35">
      <c r="B11" s="739">
        <v>7</v>
      </c>
      <c r="C11" s="748" t="s">
        <v>590</v>
      </c>
      <c r="D11" s="741" t="s">
        <v>582</v>
      </c>
      <c r="E11" s="742" t="s">
        <v>583</v>
      </c>
      <c r="F11" s="743">
        <v>21185.280999999999</v>
      </c>
      <c r="G11" s="749">
        <v>27936.04</v>
      </c>
      <c r="H11" s="745" t="s">
        <v>584</v>
      </c>
    </row>
    <row r="12" spans="2:13" ht="28" x14ac:dyDescent="0.35">
      <c r="B12" s="739">
        <v>8</v>
      </c>
      <c r="C12" s="748" t="s">
        <v>591</v>
      </c>
      <c r="D12" s="741" t="s">
        <v>582</v>
      </c>
      <c r="E12" s="742" t="s">
        <v>583</v>
      </c>
      <c r="F12" s="743">
        <v>11451.315999999995</v>
      </c>
      <c r="G12" s="747">
        <v>2857.9200000000005</v>
      </c>
      <c r="H12" s="745" t="s">
        <v>584</v>
      </c>
    </row>
    <row r="13" spans="2:13" ht="28" x14ac:dyDescent="0.35">
      <c r="B13" s="739">
        <v>9</v>
      </c>
      <c r="C13" s="740" t="s">
        <v>592</v>
      </c>
      <c r="D13" s="741" t="s">
        <v>582</v>
      </c>
      <c r="E13" s="742" t="s">
        <v>583</v>
      </c>
      <c r="F13" s="743">
        <v>3261.5009999999997</v>
      </c>
      <c r="G13" s="744">
        <v>2783.6</v>
      </c>
      <c r="H13" s="745" t="s">
        <v>584</v>
      </c>
    </row>
    <row r="14" spans="2:13" ht="28" x14ac:dyDescent="0.35">
      <c r="B14" s="739">
        <v>10</v>
      </c>
      <c r="C14" s="748" t="s">
        <v>593</v>
      </c>
      <c r="D14" s="741" t="s">
        <v>582</v>
      </c>
      <c r="E14" s="742" t="s">
        <v>583</v>
      </c>
      <c r="F14" s="743">
        <v>6159.7869999999994</v>
      </c>
      <c r="G14" s="749">
        <v>5806.7000000000007</v>
      </c>
      <c r="H14" s="745" t="s">
        <v>584</v>
      </c>
    </row>
    <row r="15" spans="2:13" ht="28" x14ac:dyDescent="0.35">
      <c r="B15" s="739">
        <v>11</v>
      </c>
      <c r="C15" s="748" t="s">
        <v>594</v>
      </c>
      <c r="D15" s="741" t="s">
        <v>582</v>
      </c>
      <c r="E15" s="742" t="s">
        <v>583</v>
      </c>
      <c r="F15" s="743">
        <v>11535.135</v>
      </c>
      <c r="G15" s="747">
        <v>2172.3200000000002</v>
      </c>
      <c r="H15" s="745" t="s">
        <v>584</v>
      </c>
    </row>
    <row r="16" spans="2:13" ht="28" x14ac:dyDescent="0.35">
      <c r="B16" s="739">
        <v>12</v>
      </c>
      <c r="C16" s="748" t="s">
        <v>595</v>
      </c>
      <c r="D16" s="741" t="s">
        <v>582</v>
      </c>
      <c r="E16" s="742" t="s">
        <v>583</v>
      </c>
      <c r="F16" s="743">
        <v>3332.5600000000004</v>
      </c>
      <c r="G16" s="747">
        <v>7273.5</v>
      </c>
      <c r="H16" s="745" t="s">
        <v>584</v>
      </c>
    </row>
    <row r="17" spans="2:8" ht="28" x14ac:dyDescent="0.35">
      <c r="B17" s="739">
        <v>13</v>
      </c>
      <c r="C17" s="748" t="s">
        <v>596</v>
      </c>
      <c r="D17" s="741" t="s">
        <v>582</v>
      </c>
      <c r="E17" s="742" t="s">
        <v>583</v>
      </c>
      <c r="F17" s="743">
        <v>17174.827000000001</v>
      </c>
      <c r="G17" s="749">
        <v>8516.7599999999984</v>
      </c>
      <c r="H17" s="745" t="s">
        <v>584</v>
      </c>
    </row>
    <row r="18" spans="2:8" ht="28" x14ac:dyDescent="0.35">
      <c r="B18" s="739">
        <v>14</v>
      </c>
      <c r="C18" s="748" t="s">
        <v>597</v>
      </c>
      <c r="D18" s="741" t="s">
        <v>582</v>
      </c>
      <c r="E18" s="742" t="s">
        <v>583</v>
      </c>
      <c r="F18" s="743">
        <v>10126.873000000003</v>
      </c>
      <c r="G18" s="747">
        <v>8373.4599999999991</v>
      </c>
      <c r="H18" s="745" t="s">
        <v>584</v>
      </c>
    </row>
    <row r="19" spans="2:8" ht="28" x14ac:dyDescent="0.35">
      <c r="B19" s="739">
        <v>15</v>
      </c>
      <c r="C19" s="748" t="s">
        <v>598</v>
      </c>
      <c r="D19" s="741" t="s">
        <v>582</v>
      </c>
      <c r="E19" s="742" t="s">
        <v>583</v>
      </c>
      <c r="F19" s="743">
        <v>3351.2099999999996</v>
      </c>
      <c r="G19" s="747">
        <v>12822.16</v>
      </c>
      <c r="H19" s="745" t="s">
        <v>584</v>
      </c>
    </row>
    <row r="20" spans="2:8" ht="28" x14ac:dyDescent="0.35">
      <c r="B20" s="739">
        <v>16</v>
      </c>
      <c r="C20" s="748" t="s">
        <v>599</v>
      </c>
      <c r="D20" s="741" t="s">
        <v>582</v>
      </c>
      <c r="E20" s="742" t="s">
        <v>583</v>
      </c>
      <c r="F20" s="743">
        <v>637.78</v>
      </c>
      <c r="G20" s="747">
        <v>392.76</v>
      </c>
      <c r="H20" s="745" t="s">
        <v>584</v>
      </c>
    </row>
    <row r="21" spans="2:8" ht="28" x14ac:dyDescent="0.35">
      <c r="B21" s="739">
        <v>17</v>
      </c>
      <c r="C21" s="748" t="s">
        <v>600</v>
      </c>
      <c r="D21" s="741" t="s">
        <v>582</v>
      </c>
      <c r="E21" s="742" t="s">
        <v>583</v>
      </c>
      <c r="F21" s="743">
        <v>9265.5299999999988</v>
      </c>
      <c r="G21" s="747">
        <v>5168.0000000000009</v>
      </c>
      <c r="H21" s="745" t="s">
        <v>584</v>
      </c>
    </row>
    <row r="22" spans="2:8" ht="28" x14ac:dyDescent="0.35">
      <c r="B22" s="739">
        <v>18</v>
      </c>
      <c r="C22" s="740" t="s">
        <v>601</v>
      </c>
      <c r="D22" s="741" t="s">
        <v>582</v>
      </c>
      <c r="E22" s="742" t="s">
        <v>583</v>
      </c>
      <c r="F22" s="739">
        <v>1628.04</v>
      </c>
      <c r="G22" s="747">
        <v>607.84000000000015</v>
      </c>
      <c r="H22" s="745" t="s">
        <v>584</v>
      </c>
    </row>
    <row r="23" spans="2:8" ht="28" x14ac:dyDescent="0.35">
      <c r="B23" s="739">
        <v>19</v>
      </c>
      <c r="C23" s="748" t="s">
        <v>602</v>
      </c>
      <c r="D23" s="741" t="s">
        <v>582</v>
      </c>
      <c r="E23" s="742" t="s">
        <v>583</v>
      </c>
      <c r="F23" s="739">
        <v>7977.4499999999989</v>
      </c>
      <c r="G23" s="747">
        <v>32486.880000000005</v>
      </c>
      <c r="H23" s="745" t="s">
        <v>584</v>
      </c>
    </row>
    <row r="24" spans="2:8" ht="28" x14ac:dyDescent="0.35">
      <c r="B24" s="739">
        <v>20</v>
      </c>
      <c r="C24" s="748" t="s">
        <v>603</v>
      </c>
      <c r="D24" s="741" t="s">
        <v>582</v>
      </c>
      <c r="E24" s="742" t="s">
        <v>583</v>
      </c>
      <c r="F24" s="739">
        <v>1985.46</v>
      </c>
      <c r="G24" s="747">
        <v>1777.5599999999995</v>
      </c>
      <c r="H24" s="745" t="s">
        <v>584</v>
      </c>
    </row>
    <row r="25" spans="2:8" ht="28" x14ac:dyDescent="0.35">
      <c r="B25" s="739">
        <v>21</v>
      </c>
      <c r="C25" s="740" t="s">
        <v>604</v>
      </c>
      <c r="D25" s="741" t="s">
        <v>582</v>
      </c>
      <c r="E25" s="742" t="s">
        <v>583</v>
      </c>
      <c r="F25" s="739">
        <v>1129.7990000000002</v>
      </c>
      <c r="G25" s="744">
        <v>601.32000000000005</v>
      </c>
      <c r="H25" s="745" t="s">
        <v>584</v>
      </c>
    </row>
    <row r="26" spans="2:8" ht="28" x14ac:dyDescent="0.35">
      <c r="B26" s="739">
        <v>22</v>
      </c>
      <c r="C26" s="748" t="s">
        <v>671</v>
      </c>
      <c r="D26" s="741" t="s">
        <v>582</v>
      </c>
      <c r="E26" s="742" t="s">
        <v>583</v>
      </c>
      <c r="F26" s="739">
        <v>4454.8909999999996</v>
      </c>
      <c r="G26" s="747">
        <v>31445.759999999995</v>
      </c>
      <c r="H26" s="745" t="s">
        <v>584</v>
      </c>
    </row>
    <row r="27" spans="2:8" ht="28" x14ac:dyDescent="0.35">
      <c r="B27" s="739">
        <v>23</v>
      </c>
      <c r="C27" s="748" t="s">
        <v>605</v>
      </c>
      <c r="D27" s="741" t="s">
        <v>582</v>
      </c>
      <c r="E27" s="742" t="s">
        <v>583</v>
      </c>
      <c r="F27" s="739">
        <v>4904.3470000000016</v>
      </c>
      <c r="G27" s="747">
        <v>4116.8399999999983</v>
      </c>
      <c r="H27" s="745" t="s">
        <v>584</v>
      </c>
    </row>
    <row r="28" spans="2:8" ht="28" x14ac:dyDescent="0.35">
      <c r="B28" s="739">
        <v>24</v>
      </c>
      <c r="C28" s="748" t="s">
        <v>606</v>
      </c>
      <c r="D28" s="741" t="s">
        <v>582</v>
      </c>
      <c r="E28" s="742" t="s">
        <v>583</v>
      </c>
      <c r="F28" s="739">
        <v>882.32500000000005</v>
      </c>
      <c r="G28" s="747">
        <v>617.6</v>
      </c>
      <c r="H28" s="745" t="s">
        <v>584</v>
      </c>
    </row>
    <row r="29" spans="2:8" ht="28" x14ac:dyDescent="0.35">
      <c r="B29" s="739">
        <v>25</v>
      </c>
      <c r="C29" s="748" t="s">
        <v>607</v>
      </c>
      <c r="D29" s="741" t="s">
        <v>582</v>
      </c>
      <c r="E29" s="742" t="s">
        <v>583</v>
      </c>
      <c r="F29" s="739">
        <v>8097.8100000000013</v>
      </c>
      <c r="G29" s="747">
        <v>13858.260000000009</v>
      </c>
      <c r="H29" s="745" t="s">
        <v>584</v>
      </c>
    </row>
    <row r="30" spans="2:8" ht="28" x14ac:dyDescent="0.35">
      <c r="B30" s="739">
        <v>26</v>
      </c>
      <c r="C30" s="740" t="s">
        <v>608</v>
      </c>
      <c r="D30" s="741" t="s">
        <v>582</v>
      </c>
      <c r="E30" s="742" t="s">
        <v>583</v>
      </c>
      <c r="F30" s="739">
        <v>4252.2070000000003</v>
      </c>
      <c r="G30" s="744">
        <v>33419.96</v>
      </c>
      <c r="H30" s="745" t="s">
        <v>584</v>
      </c>
    </row>
    <row r="31" spans="2:8" ht="28" x14ac:dyDescent="0.35">
      <c r="B31" s="739">
        <v>27</v>
      </c>
      <c r="C31" s="748" t="s">
        <v>609</v>
      </c>
      <c r="D31" s="741" t="s">
        <v>582</v>
      </c>
      <c r="E31" s="742" t="s">
        <v>583</v>
      </c>
      <c r="F31" s="739">
        <v>7883.3030000000008</v>
      </c>
      <c r="G31" s="747">
        <v>48518.819999999963</v>
      </c>
      <c r="H31" s="745" t="s">
        <v>584</v>
      </c>
    </row>
    <row r="32" spans="2:8" ht="28" x14ac:dyDescent="0.35">
      <c r="B32" s="739">
        <v>28</v>
      </c>
      <c r="C32" s="740" t="s">
        <v>610</v>
      </c>
      <c r="D32" s="741" t="s">
        <v>582</v>
      </c>
      <c r="E32" s="742" t="s">
        <v>583</v>
      </c>
      <c r="F32" s="739">
        <v>5295.8630000000003</v>
      </c>
      <c r="G32" s="744">
        <v>50656.320000000022</v>
      </c>
      <c r="H32" s="745" t="s">
        <v>584</v>
      </c>
    </row>
    <row r="33" spans="2:8" ht="28" x14ac:dyDescent="0.35">
      <c r="B33" s="739">
        <v>29</v>
      </c>
      <c r="C33" s="740" t="s">
        <v>611</v>
      </c>
      <c r="D33" s="741" t="s">
        <v>582</v>
      </c>
      <c r="E33" s="742" t="s">
        <v>583</v>
      </c>
      <c r="F33" s="739">
        <v>7299.442</v>
      </c>
      <c r="G33" s="744">
        <v>56602.180000000029</v>
      </c>
      <c r="H33" s="745" t="s">
        <v>584</v>
      </c>
    </row>
    <row r="34" spans="2:8" ht="28" x14ac:dyDescent="0.35">
      <c r="B34" s="739">
        <v>30</v>
      </c>
      <c r="C34" s="748" t="s">
        <v>612</v>
      </c>
      <c r="D34" s="741" t="s">
        <v>582</v>
      </c>
      <c r="E34" s="742" t="s">
        <v>583</v>
      </c>
      <c r="F34" s="739">
        <v>799.01</v>
      </c>
      <c r="G34" s="747">
        <v>4003.6999999999994</v>
      </c>
      <c r="H34" s="745" t="s">
        <v>584</v>
      </c>
    </row>
    <row r="35" spans="2:8" ht="28" x14ac:dyDescent="0.35">
      <c r="B35" s="739">
        <v>31</v>
      </c>
      <c r="C35" s="740" t="s">
        <v>613</v>
      </c>
      <c r="D35" s="741" t="s">
        <v>582</v>
      </c>
      <c r="E35" s="742" t="s">
        <v>583</v>
      </c>
      <c r="F35" s="739">
        <v>194.38</v>
      </c>
      <c r="G35" s="744">
        <v>35.519999999999996</v>
      </c>
      <c r="H35" s="745" t="s">
        <v>584</v>
      </c>
    </row>
    <row r="36" spans="2:8" ht="28" x14ac:dyDescent="0.35">
      <c r="B36" s="739">
        <v>32</v>
      </c>
      <c r="C36" s="748" t="s">
        <v>672</v>
      </c>
      <c r="D36" s="741" t="s">
        <v>582</v>
      </c>
      <c r="E36" s="742" t="s">
        <v>583</v>
      </c>
      <c r="F36" s="739">
        <v>1385.55</v>
      </c>
      <c r="G36" s="747">
        <v>10582.880000000001</v>
      </c>
      <c r="H36" s="745" t="s">
        <v>584</v>
      </c>
    </row>
    <row r="37" spans="2:8" ht="28" x14ac:dyDescent="0.35">
      <c r="B37" s="739">
        <v>33</v>
      </c>
      <c r="C37" s="748" t="s">
        <v>673</v>
      </c>
      <c r="D37" s="741" t="s">
        <v>582</v>
      </c>
      <c r="E37" s="742" t="s">
        <v>583</v>
      </c>
      <c r="F37" s="739">
        <v>10174.213</v>
      </c>
      <c r="G37" s="747">
        <v>9015.6999999999971</v>
      </c>
      <c r="H37" s="745" t="s">
        <v>584</v>
      </c>
    </row>
    <row r="38" spans="2:8" ht="28" x14ac:dyDescent="0.35">
      <c r="B38" s="739">
        <v>34</v>
      </c>
      <c r="C38" s="748" t="s">
        <v>674</v>
      </c>
      <c r="D38" s="741" t="s">
        <v>582</v>
      </c>
      <c r="E38" s="742" t="s">
        <v>583</v>
      </c>
      <c r="F38" s="739">
        <v>22.61</v>
      </c>
      <c r="G38" s="747">
        <v>234.52</v>
      </c>
      <c r="H38" s="745" t="s">
        <v>584</v>
      </c>
    </row>
    <row r="39" spans="2:8" ht="28" x14ac:dyDescent="0.35">
      <c r="B39" s="739">
        <v>35</v>
      </c>
      <c r="C39" s="748" t="s">
        <v>675</v>
      </c>
      <c r="D39" s="741" t="s">
        <v>582</v>
      </c>
      <c r="E39" s="742" t="s">
        <v>583</v>
      </c>
      <c r="F39" s="739">
        <v>382.61</v>
      </c>
      <c r="G39" s="747">
        <v>2993.1000000000004</v>
      </c>
      <c r="H39" s="745" t="s">
        <v>584</v>
      </c>
    </row>
    <row r="40" spans="2:8" ht="28" x14ac:dyDescent="0.35">
      <c r="B40" s="739">
        <v>36</v>
      </c>
      <c r="C40" s="748" t="s">
        <v>676</v>
      </c>
      <c r="D40" s="741" t="s">
        <v>582</v>
      </c>
      <c r="E40" s="742" t="s">
        <v>583</v>
      </c>
      <c r="F40" s="739">
        <v>3635.2429999999995</v>
      </c>
      <c r="G40" s="747">
        <v>27718.320000000022</v>
      </c>
      <c r="H40" s="745" t="s">
        <v>584</v>
      </c>
    </row>
    <row r="41" spans="2:8" ht="28" x14ac:dyDescent="0.35">
      <c r="B41" s="739">
        <v>37</v>
      </c>
      <c r="C41" s="748" t="s">
        <v>677</v>
      </c>
      <c r="D41" s="741" t="s">
        <v>582</v>
      </c>
      <c r="E41" s="742" t="s">
        <v>583</v>
      </c>
      <c r="F41" s="739">
        <v>842.52</v>
      </c>
      <c r="G41" s="747">
        <v>4449.12</v>
      </c>
      <c r="H41" s="745" t="s">
        <v>584</v>
      </c>
    </row>
    <row r="42" spans="2:8" ht="28" x14ac:dyDescent="0.35">
      <c r="B42" s="739">
        <v>38</v>
      </c>
      <c r="C42" s="748" t="s">
        <v>678</v>
      </c>
      <c r="D42" s="741" t="s">
        <v>582</v>
      </c>
      <c r="E42" s="742" t="s">
        <v>583</v>
      </c>
      <c r="F42" s="739">
        <v>2068.0830000000001</v>
      </c>
      <c r="G42" s="747">
        <v>558.4799999999999</v>
      </c>
      <c r="H42" s="745" t="s">
        <v>584</v>
      </c>
    </row>
    <row r="43" spans="2:8" ht="28" x14ac:dyDescent="0.35">
      <c r="B43" s="739">
        <v>39</v>
      </c>
      <c r="C43" s="748" t="s">
        <v>679</v>
      </c>
      <c r="D43" s="741" t="s">
        <v>582</v>
      </c>
      <c r="E43" s="742" t="s">
        <v>583</v>
      </c>
      <c r="F43" s="739">
        <v>1940.1999999999998</v>
      </c>
      <c r="G43" s="747">
        <v>22591.760000000013</v>
      </c>
      <c r="H43" s="745" t="s">
        <v>584</v>
      </c>
    </row>
    <row r="44" spans="2:8" ht="28" x14ac:dyDescent="0.35">
      <c r="B44" s="739">
        <v>40</v>
      </c>
      <c r="C44" s="748" t="s">
        <v>680</v>
      </c>
      <c r="D44" s="741" t="s">
        <v>582</v>
      </c>
      <c r="E44" s="742" t="s">
        <v>583</v>
      </c>
      <c r="F44" s="739">
        <v>2572.9300000000003</v>
      </c>
      <c r="G44" s="747">
        <v>34556.939999999988</v>
      </c>
      <c r="H44" s="745" t="s">
        <v>584</v>
      </c>
    </row>
    <row r="45" spans="2:8" ht="28" x14ac:dyDescent="0.35">
      <c r="B45" s="739">
        <v>41</v>
      </c>
      <c r="C45" s="748" t="s">
        <v>681</v>
      </c>
      <c r="D45" s="741" t="s">
        <v>582</v>
      </c>
      <c r="E45" s="742" t="s">
        <v>583</v>
      </c>
      <c r="F45" s="739">
        <v>1199.4199999999998</v>
      </c>
      <c r="G45" s="747">
        <v>2944</v>
      </c>
      <c r="H45" s="745" t="s">
        <v>584</v>
      </c>
    </row>
    <row r="46" spans="2:8" ht="28" x14ac:dyDescent="0.35">
      <c r="B46" s="739">
        <v>42</v>
      </c>
      <c r="C46" s="748" t="s">
        <v>682</v>
      </c>
      <c r="D46" s="741" t="s">
        <v>582</v>
      </c>
      <c r="E46" s="742" t="s">
        <v>583</v>
      </c>
      <c r="F46" s="739">
        <v>2378.8160000000003</v>
      </c>
      <c r="G46" s="747">
        <v>2139.1799999999998</v>
      </c>
      <c r="H46" s="745" t="s">
        <v>584</v>
      </c>
    </row>
    <row r="47" spans="2:8" ht="28" x14ac:dyDescent="0.35">
      <c r="B47" s="739">
        <v>43</v>
      </c>
      <c r="C47" s="748" t="s">
        <v>614</v>
      </c>
      <c r="D47" s="741" t="s">
        <v>582</v>
      </c>
      <c r="E47" s="742" t="s">
        <v>583</v>
      </c>
      <c r="F47" s="739">
        <v>385.39</v>
      </c>
      <c r="G47" s="747">
        <v>353.26</v>
      </c>
      <c r="H47" s="745" t="s">
        <v>584</v>
      </c>
    </row>
    <row r="48" spans="2:8" ht="28" x14ac:dyDescent="0.35">
      <c r="B48" s="739">
        <v>44</v>
      </c>
      <c r="C48" s="740" t="s">
        <v>615</v>
      </c>
      <c r="D48" s="741" t="s">
        <v>582</v>
      </c>
      <c r="E48" s="742" t="s">
        <v>583</v>
      </c>
      <c r="F48" s="739">
        <v>141812.041</v>
      </c>
      <c r="G48" s="747">
        <v>12269.620000000004</v>
      </c>
      <c r="H48" s="745" t="s">
        <v>584</v>
      </c>
    </row>
    <row r="49" spans="2:8" ht="28" x14ac:dyDescent="0.35">
      <c r="B49" s="739">
        <v>45</v>
      </c>
      <c r="C49" s="740" t="s">
        <v>616</v>
      </c>
      <c r="D49" s="741" t="s">
        <v>582</v>
      </c>
      <c r="E49" s="742" t="s">
        <v>583</v>
      </c>
      <c r="F49" s="739">
        <v>3250.3719999999998</v>
      </c>
      <c r="G49" s="805">
        <v>355.2</v>
      </c>
      <c r="H49" s="745" t="s">
        <v>584</v>
      </c>
    </row>
    <row r="53" spans="2:8" x14ac:dyDescent="0.35">
      <c r="E53" s="751" t="s">
        <v>617</v>
      </c>
      <c r="F53" s="751" t="s">
        <v>618</v>
      </c>
      <c r="G53" s="752">
        <f>G55*G56</f>
        <v>1107.2149329855843</v>
      </c>
    </row>
    <row r="54" spans="2:8" x14ac:dyDescent="0.35">
      <c r="E54" s="751" t="s">
        <v>619</v>
      </c>
      <c r="F54" s="751" t="s">
        <v>620</v>
      </c>
      <c r="G54" s="753">
        <f>(SUMPRODUCT(F5:F49,G5:G49)/SUM(F5:F49)*2)/1000</f>
        <v>33.801960159720572</v>
      </c>
    </row>
    <row r="55" spans="2:8" x14ac:dyDescent="0.35">
      <c r="E55" s="751" t="s">
        <v>621</v>
      </c>
      <c r="F55" s="751" t="s">
        <v>622</v>
      </c>
      <c r="G55" s="754">
        <f>SUMPRODUCT(F12:F49,G12:G49)*2/1000</f>
        <v>8583061.4960122816</v>
      </c>
    </row>
    <row r="56" spans="2:8" x14ac:dyDescent="0.35">
      <c r="E56" s="751" t="s">
        <v>623</v>
      </c>
      <c r="F56" s="751" t="s">
        <v>624</v>
      </c>
      <c r="G56" s="755">
        <f>129/1000000</f>
        <v>1.2899999999999999E-4</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9BC39-8BC6-44C2-ABE7-676A758A1A2C}">
  <dimension ref="B1:M49"/>
  <sheetViews>
    <sheetView topLeftCell="A36" zoomScale="88" zoomScaleNormal="88" workbookViewId="0">
      <selection activeCell="G47" sqref="G47"/>
    </sheetView>
  </sheetViews>
  <sheetFormatPr baseColWidth="10" defaultRowHeight="14.5" x14ac:dyDescent="0.35"/>
  <cols>
    <col min="2" max="2" width="10.81640625" style="602"/>
    <col min="3" max="3" width="48.81640625" bestFit="1" customWidth="1"/>
    <col min="4" max="4" width="11.453125" customWidth="1"/>
    <col min="5" max="5" width="23.453125" customWidth="1"/>
    <col min="6" max="6" width="19.453125" style="602" customWidth="1"/>
    <col min="7" max="7" width="17.453125" bestFit="1" customWidth="1"/>
    <col min="8" max="8" width="12.7265625" customWidth="1"/>
  </cols>
  <sheetData>
    <row r="1" spans="2:13" ht="26" x14ac:dyDescent="0.6">
      <c r="B1" s="735"/>
    </row>
    <row r="4" spans="2:13" ht="15" x14ac:dyDescent="0.35">
      <c r="B4" s="736" t="s">
        <v>574</v>
      </c>
      <c r="C4" s="737" t="s">
        <v>575</v>
      </c>
      <c r="D4" s="737" t="s">
        <v>576</v>
      </c>
      <c r="E4" s="737" t="s">
        <v>577</v>
      </c>
      <c r="F4" s="737" t="s">
        <v>578</v>
      </c>
      <c r="G4" s="737" t="s">
        <v>579</v>
      </c>
      <c r="H4" s="738" t="s">
        <v>580</v>
      </c>
    </row>
    <row r="5" spans="2:13" ht="28" x14ac:dyDescent="0.35">
      <c r="B5" s="739">
        <v>1</v>
      </c>
      <c r="C5" s="740" t="s">
        <v>581</v>
      </c>
      <c r="D5" s="741" t="s">
        <v>582</v>
      </c>
      <c r="E5" s="742" t="s">
        <v>583</v>
      </c>
      <c r="F5" s="743">
        <v>2029.04</v>
      </c>
      <c r="G5" s="744">
        <v>1804.2799999999993</v>
      </c>
      <c r="H5" s="745" t="s">
        <v>584</v>
      </c>
      <c r="K5" s="756">
        <f>SUM(F5:F40)</f>
        <v>210953.10800000001</v>
      </c>
      <c r="L5" s="757">
        <f>SUM(G5:G40)</f>
        <v>261692.26</v>
      </c>
    </row>
    <row r="6" spans="2:13" ht="28" x14ac:dyDescent="0.35">
      <c r="B6" s="739">
        <v>2</v>
      </c>
      <c r="C6" s="740" t="s">
        <v>585</v>
      </c>
      <c r="D6" s="741" t="s">
        <v>582</v>
      </c>
      <c r="E6" s="742" t="s">
        <v>583</v>
      </c>
      <c r="F6" s="743">
        <v>4028.9319999999998</v>
      </c>
      <c r="G6" s="747">
        <v>3252.6000000000017</v>
      </c>
      <c r="H6" s="745" t="s">
        <v>584</v>
      </c>
      <c r="K6" s="758">
        <f>SUM(F41:F42)</f>
        <v>136062.20600000003</v>
      </c>
      <c r="L6" s="759">
        <f>SUM(G41:G42)</f>
        <v>11832.76</v>
      </c>
      <c r="M6" s="746"/>
    </row>
    <row r="7" spans="2:13" ht="28" x14ac:dyDescent="0.35">
      <c r="B7" s="739">
        <v>3</v>
      </c>
      <c r="C7" s="748" t="s">
        <v>586</v>
      </c>
      <c r="D7" s="741" t="s">
        <v>582</v>
      </c>
      <c r="E7" s="742" t="s">
        <v>583</v>
      </c>
      <c r="F7" s="743">
        <v>1779.5450000000001</v>
      </c>
      <c r="G7" s="749">
        <v>558.4799999999999</v>
      </c>
      <c r="H7" s="745" t="s">
        <v>584</v>
      </c>
      <c r="K7" s="746"/>
      <c r="L7" s="750"/>
      <c r="M7" s="746"/>
    </row>
    <row r="8" spans="2:13" ht="28" x14ac:dyDescent="0.35">
      <c r="B8" s="739">
        <v>4</v>
      </c>
      <c r="C8" s="740" t="s">
        <v>587</v>
      </c>
      <c r="D8" s="741" t="s">
        <v>582</v>
      </c>
      <c r="E8" s="742" t="s">
        <v>583</v>
      </c>
      <c r="F8" s="743">
        <v>9269.9750000000022</v>
      </c>
      <c r="G8" s="744">
        <v>16528.200000000012</v>
      </c>
      <c r="H8" s="745" t="s">
        <v>584</v>
      </c>
      <c r="M8" s="746"/>
    </row>
    <row r="9" spans="2:13" ht="28" x14ac:dyDescent="0.35">
      <c r="B9" s="739">
        <v>5</v>
      </c>
      <c r="C9" s="740" t="s">
        <v>588</v>
      </c>
      <c r="D9" s="741" t="s">
        <v>582</v>
      </c>
      <c r="E9" s="742" t="s">
        <v>583</v>
      </c>
      <c r="F9" s="743">
        <v>99.240000000000009</v>
      </c>
      <c r="G9" s="744">
        <v>224</v>
      </c>
      <c r="H9" s="745" t="s">
        <v>584</v>
      </c>
    </row>
    <row r="10" spans="2:13" ht="28" x14ac:dyDescent="0.35">
      <c r="B10" s="739">
        <v>6</v>
      </c>
      <c r="C10" s="740" t="s">
        <v>589</v>
      </c>
      <c r="D10" s="741" t="s">
        <v>582</v>
      </c>
      <c r="E10" s="742" t="s">
        <v>583</v>
      </c>
      <c r="F10" s="743">
        <v>12290.010000000002</v>
      </c>
      <c r="G10" s="744">
        <v>38132.219999999979</v>
      </c>
      <c r="H10" s="745" t="s">
        <v>584</v>
      </c>
    </row>
    <row r="11" spans="2:13" ht="28" x14ac:dyDescent="0.35">
      <c r="B11" s="739">
        <v>7</v>
      </c>
      <c r="C11" s="748" t="s">
        <v>625</v>
      </c>
      <c r="D11" s="741" t="s">
        <v>582</v>
      </c>
      <c r="E11" s="742" t="s">
        <v>583</v>
      </c>
      <c r="F11" s="743">
        <v>7275.3899999999994</v>
      </c>
      <c r="G11" s="749">
        <v>7694.5000000000036</v>
      </c>
      <c r="H11" s="745" t="s">
        <v>584</v>
      </c>
    </row>
    <row r="12" spans="2:13" ht="28" x14ac:dyDescent="0.35">
      <c r="B12" s="739">
        <v>8</v>
      </c>
      <c r="C12" s="748" t="s">
        <v>590</v>
      </c>
      <c r="D12" s="741" t="s">
        <v>582</v>
      </c>
      <c r="E12" s="742" t="s">
        <v>583</v>
      </c>
      <c r="F12" s="743">
        <v>22205.764000000003</v>
      </c>
      <c r="G12" s="747">
        <v>22063.64000000001</v>
      </c>
      <c r="H12" s="745" t="s">
        <v>584</v>
      </c>
    </row>
    <row r="13" spans="2:13" ht="28" x14ac:dyDescent="0.35">
      <c r="B13" s="739">
        <v>9</v>
      </c>
      <c r="C13" s="740" t="s">
        <v>591</v>
      </c>
      <c r="D13" s="741" t="s">
        <v>582</v>
      </c>
      <c r="E13" s="742" t="s">
        <v>583</v>
      </c>
      <c r="F13" s="743">
        <v>20015.314999999999</v>
      </c>
      <c r="G13" s="744">
        <v>4898.4000000000015</v>
      </c>
      <c r="H13" s="745" t="s">
        <v>584</v>
      </c>
    </row>
    <row r="14" spans="2:13" ht="28" x14ac:dyDescent="0.35">
      <c r="B14" s="739">
        <v>10</v>
      </c>
      <c r="C14" s="748" t="s">
        <v>592</v>
      </c>
      <c r="D14" s="741" t="s">
        <v>582</v>
      </c>
      <c r="E14" s="742" t="s">
        <v>583</v>
      </c>
      <c r="F14" s="743">
        <v>2375.6499999999996</v>
      </c>
      <c r="G14" s="749">
        <v>2270.5199999999995</v>
      </c>
      <c r="H14" s="745" t="s">
        <v>584</v>
      </c>
    </row>
    <row r="15" spans="2:13" ht="28" x14ac:dyDescent="0.35">
      <c r="B15" s="739">
        <v>11</v>
      </c>
      <c r="C15" s="748" t="s">
        <v>593</v>
      </c>
      <c r="D15" s="741" t="s">
        <v>582</v>
      </c>
      <c r="E15" s="742" t="s">
        <v>583</v>
      </c>
      <c r="F15" s="743">
        <v>8941.5199999999986</v>
      </c>
      <c r="G15" s="747">
        <v>8043.2199999999984</v>
      </c>
      <c r="H15" s="745" t="s">
        <v>584</v>
      </c>
    </row>
    <row r="16" spans="2:13" ht="28" x14ac:dyDescent="0.35">
      <c r="B16" s="739">
        <v>12</v>
      </c>
      <c r="C16" s="748" t="s">
        <v>594</v>
      </c>
      <c r="D16" s="741" t="s">
        <v>582</v>
      </c>
      <c r="E16" s="742" t="s">
        <v>583</v>
      </c>
      <c r="F16" s="743">
        <v>13452.65</v>
      </c>
      <c r="G16" s="747">
        <v>2560.5600000000009</v>
      </c>
      <c r="H16" s="745" t="s">
        <v>584</v>
      </c>
    </row>
    <row r="17" spans="2:8" ht="28" x14ac:dyDescent="0.35">
      <c r="B17" s="739">
        <v>13</v>
      </c>
      <c r="C17" s="748" t="s">
        <v>595</v>
      </c>
      <c r="D17" s="741" t="s">
        <v>582</v>
      </c>
      <c r="E17" s="742" t="s">
        <v>583</v>
      </c>
      <c r="F17" s="743">
        <v>2977.38</v>
      </c>
      <c r="G17" s="749">
        <v>6825.9</v>
      </c>
      <c r="H17" s="745" t="s">
        <v>584</v>
      </c>
    </row>
    <row r="18" spans="2:8" ht="28" x14ac:dyDescent="0.35">
      <c r="B18" s="739">
        <v>14</v>
      </c>
      <c r="C18" s="748" t="s">
        <v>596</v>
      </c>
      <c r="D18" s="741" t="s">
        <v>582</v>
      </c>
      <c r="E18" s="742" t="s">
        <v>583</v>
      </c>
      <c r="F18" s="743">
        <v>15938.919999999998</v>
      </c>
      <c r="G18" s="747">
        <v>7995.6799999999985</v>
      </c>
      <c r="H18" s="745" t="s">
        <v>584</v>
      </c>
    </row>
    <row r="19" spans="2:8" ht="28" x14ac:dyDescent="0.35">
      <c r="B19" s="739">
        <v>15</v>
      </c>
      <c r="C19" s="748" t="s">
        <v>597</v>
      </c>
      <c r="D19" s="741" t="s">
        <v>582</v>
      </c>
      <c r="E19" s="742" t="s">
        <v>583</v>
      </c>
      <c r="F19" s="743">
        <v>14152.445000000003</v>
      </c>
      <c r="G19" s="747">
        <v>11120.5</v>
      </c>
      <c r="H19" s="745" t="s">
        <v>584</v>
      </c>
    </row>
    <row r="20" spans="2:8" ht="28" x14ac:dyDescent="0.35">
      <c r="B20" s="739">
        <v>16</v>
      </c>
      <c r="C20" s="748" t="s">
        <v>598</v>
      </c>
      <c r="D20" s="741" t="s">
        <v>582</v>
      </c>
      <c r="E20" s="742" t="s">
        <v>583</v>
      </c>
      <c r="F20" s="743">
        <v>3554.61</v>
      </c>
      <c r="G20" s="747">
        <v>13777.32</v>
      </c>
      <c r="H20" s="745" t="s">
        <v>584</v>
      </c>
    </row>
    <row r="21" spans="2:8" ht="28" x14ac:dyDescent="0.35">
      <c r="B21" s="739">
        <v>17</v>
      </c>
      <c r="C21" s="748" t="s">
        <v>599</v>
      </c>
      <c r="D21" s="741" t="s">
        <v>582</v>
      </c>
      <c r="E21" s="742" t="s">
        <v>583</v>
      </c>
      <c r="F21" s="743">
        <v>1959.2199999999998</v>
      </c>
      <c r="G21" s="747">
        <v>1089.9399999999998</v>
      </c>
      <c r="H21" s="745" t="s">
        <v>584</v>
      </c>
    </row>
    <row r="22" spans="2:8" ht="28" x14ac:dyDescent="0.35">
      <c r="B22" s="739">
        <v>18</v>
      </c>
      <c r="C22" s="740" t="s">
        <v>600</v>
      </c>
      <c r="D22" s="741" t="s">
        <v>582</v>
      </c>
      <c r="E22" s="742" t="s">
        <v>583</v>
      </c>
      <c r="F22" s="739">
        <v>15762.640000000001</v>
      </c>
      <c r="G22" s="747">
        <v>8346.32</v>
      </c>
      <c r="H22" s="745" t="s">
        <v>584</v>
      </c>
    </row>
    <row r="23" spans="2:8" ht="28" x14ac:dyDescent="0.35">
      <c r="B23" s="739">
        <v>19</v>
      </c>
      <c r="C23" s="748" t="s">
        <v>601</v>
      </c>
      <c r="D23" s="741" t="s">
        <v>582</v>
      </c>
      <c r="E23" s="742" t="s">
        <v>583</v>
      </c>
      <c r="F23" s="739">
        <v>2299.23</v>
      </c>
      <c r="G23" s="747">
        <v>885.07999999999993</v>
      </c>
      <c r="H23" s="745" t="s">
        <v>584</v>
      </c>
    </row>
    <row r="24" spans="2:8" ht="28" x14ac:dyDescent="0.35">
      <c r="B24" s="739">
        <v>20</v>
      </c>
      <c r="C24" s="748" t="s">
        <v>602</v>
      </c>
      <c r="D24" s="741" t="s">
        <v>582</v>
      </c>
      <c r="E24" s="742" t="s">
        <v>583</v>
      </c>
      <c r="F24" s="739">
        <v>2283.4700000000003</v>
      </c>
      <c r="G24" s="747">
        <v>7748.0000000000009</v>
      </c>
      <c r="H24" s="745" t="s">
        <v>584</v>
      </c>
    </row>
    <row r="25" spans="2:8" ht="28" x14ac:dyDescent="0.35">
      <c r="B25" s="739">
        <v>21</v>
      </c>
      <c r="C25" s="740" t="s">
        <v>603</v>
      </c>
      <c r="D25" s="741" t="s">
        <v>582</v>
      </c>
      <c r="E25" s="742" t="s">
        <v>583</v>
      </c>
      <c r="F25" s="739">
        <v>2699.8679999999995</v>
      </c>
      <c r="G25" s="744">
        <v>2289.3799999999997</v>
      </c>
      <c r="H25" s="745" t="s">
        <v>584</v>
      </c>
    </row>
    <row r="26" spans="2:8" ht="28" x14ac:dyDescent="0.35">
      <c r="B26" s="739">
        <v>22</v>
      </c>
      <c r="C26" s="748" t="s">
        <v>604</v>
      </c>
      <c r="D26" s="741" t="s">
        <v>582</v>
      </c>
      <c r="E26" s="742" t="s">
        <v>583</v>
      </c>
      <c r="F26" s="739">
        <v>4766.2929999999997</v>
      </c>
      <c r="G26" s="747">
        <v>2196.4800000000005</v>
      </c>
      <c r="H26" s="745" t="s">
        <v>584</v>
      </c>
    </row>
    <row r="27" spans="2:8" ht="28" x14ac:dyDescent="0.35">
      <c r="B27" s="739">
        <v>23</v>
      </c>
      <c r="C27" s="748" t="s">
        <v>626</v>
      </c>
      <c r="D27" s="741" t="s">
        <v>582</v>
      </c>
      <c r="E27" s="742" t="s">
        <v>583</v>
      </c>
      <c r="F27" s="739">
        <v>251.57</v>
      </c>
      <c r="G27" s="747">
        <v>1637.8</v>
      </c>
      <c r="H27" s="745" t="s">
        <v>584</v>
      </c>
    </row>
    <row r="28" spans="2:8" ht="28" x14ac:dyDescent="0.35">
      <c r="B28" s="739">
        <v>24</v>
      </c>
      <c r="C28" s="748" t="s">
        <v>605</v>
      </c>
      <c r="D28" s="741" t="s">
        <v>582</v>
      </c>
      <c r="E28" s="742" t="s">
        <v>583</v>
      </c>
      <c r="F28" s="739">
        <v>3764.4519999999998</v>
      </c>
      <c r="G28" s="747">
        <v>3792.3599999999988</v>
      </c>
      <c r="H28" s="745" t="s">
        <v>584</v>
      </c>
    </row>
    <row r="29" spans="2:8" ht="28" x14ac:dyDescent="0.35">
      <c r="B29" s="739">
        <v>25</v>
      </c>
      <c r="C29" s="748" t="s">
        <v>627</v>
      </c>
      <c r="D29" s="741" t="s">
        <v>582</v>
      </c>
      <c r="E29" s="742" t="s">
        <v>583</v>
      </c>
      <c r="F29" s="739">
        <v>2101.3000000000002</v>
      </c>
      <c r="G29" s="747">
        <v>1265.5999999999997</v>
      </c>
      <c r="H29" s="745" t="s">
        <v>584</v>
      </c>
    </row>
    <row r="30" spans="2:8" ht="28" x14ac:dyDescent="0.35">
      <c r="B30" s="739">
        <v>26</v>
      </c>
      <c r="C30" s="740" t="s">
        <v>628</v>
      </c>
      <c r="D30" s="741" t="s">
        <v>582</v>
      </c>
      <c r="E30" s="742" t="s">
        <v>583</v>
      </c>
      <c r="F30" s="739">
        <v>21.56</v>
      </c>
      <c r="G30" s="744">
        <v>188.98000000000002</v>
      </c>
      <c r="H30" s="745" t="s">
        <v>584</v>
      </c>
    </row>
    <row r="31" spans="2:8" ht="28" x14ac:dyDescent="0.35">
      <c r="B31" s="739">
        <v>27</v>
      </c>
      <c r="C31" s="748" t="s">
        <v>629</v>
      </c>
      <c r="D31" s="741" t="s">
        <v>582</v>
      </c>
      <c r="E31" s="742" t="s">
        <v>583</v>
      </c>
      <c r="F31" s="739">
        <v>17740.518</v>
      </c>
      <c r="G31" s="747">
        <v>10614</v>
      </c>
      <c r="H31" s="745" t="s">
        <v>584</v>
      </c>
    </row>
    <row r="32" spans="2:8" ht="28" x14ac:dyDescent="0.35">
      <c r="B32" s="739">
        <v>28</v>
      </c>
      <c r="C32" s="740" t="s">
        <v>606</v>
      </c>
      <c r="D32" s="741" t="s">
        <v>582</v>
      </c>
      <c r="E32" s="742" t="s">
        <v>583</v>
      </c>
      <c r="F32" s="739">
        <v>7847.2199999999993</v>
      </c>
      <c r="G32" s="744">
        <v>5095.2000000000089</v>
      </c>
      <c r="H32" s="745" t="s">
        <v>584</v>
      </c>
    </row>
    <row r="33" spans="2:8" ht="28" x14ac:dyDescent="0.35">
      <c r="B33" s="739">
        <v>29</v>
      </c>
      <c r="C33" s="740" t="s">
        <v>607</v>
      </c>
      <c r="D33" s="741" t="s">
        <v>582</v>
      </c>
      <c r="E33" s="742" t="s">
        <v>583</v>
      </c>
      <c r="F33" s="739">
        <v>324.42500000000001</v>
      </c>
      <c r="G33" s="744">
        <v>508.55999999999995</v>
      </c>
      <c r="H33" s="745" t="s">
        <v>584</v>
      </c>
    </row>
    <row r="34" spans="2:8" ht="28" x14ac:dyDescent="0.35">
      <c r="B34" s="739">
        <v>30</v>
      </c>
      <c r="C34" s="748" t="s">
        <v>608</v>
      </c>
      <c r="D34" s="741" t="s">
        <v>582</v>
      </c>
      <c r="E34" s="742" t="s">
        <v>583</v>
      </c>
      <c r="F34" s="739">
        <v>2042.4899999999998</v>
      </c>
      <c r="G34" s="747">
        <v>18133.98</v>
      </c>
      <c r="H34" s="745" t="s">
        <v>584</v>
      </c>
    </row>
    <row r="35" spans="2:8" ht="28" x14ac:dyDescent="0.35">
      <c r="B35" s="739">
        <v>31</v>
      </c>
      <c r="C35" s="740" t="s">
        <v>609</v>
      </c>
      <c r="D35" s="741" t="s">
        <v>582</v>
      </c>
      <c r="E35" s="742" t="s">
        <v>583</v>
      </c>
      <c r="F35" s="739">
        <v>3135.2170000000001</v>
      </c>
      <c r="G35" s="744">
        <v>19344.639999999992</v>
      </c>
      <c r="H35" s="745" t="s">
        <v>584</v>
      </c>
    </row>
    <row r="36" spans="2:8" ht="28" x14ac:dyDescent="0.35">
      <c r="B36" s="739">
        <v>32</v>
      </c>
      <c r="C36" s="748" t="s">
        <v>610</v>
      </c>
      <c r="D36" s="741" t="s">
        <v>582</v>
      </c>
      <c r="E36" s="742" t="s">
        <v>583</v>
      </c>
      <c r="F36" s="739">
        <v>2222.16</v>
      </c>
      <c r="G36" s="747">
        <v>21341.320000000011</v>
      </c>
      <c r="H36" s="745" t="s">
        <v>584</v>
      </c>
    </row>
    <row r="37" spans="2:8" ht="28" x14ac:dyDescent="0.35">
      <c r="B37" s="739">
        <v>33</v>
      </c>
      <c r="C37" s="748" t="s">
        <v>630</v>
      </c>
      <c r="D37" s="741" t="s">
        <v>582</v>
      </c>
      <c r="E37" s="742" t="s">
        <v>583</v>
      </c>
      <c r="F37" s="739">
        <v>467.74</v>
      </c>
      <c r="G37" s="747">
        <v>1894.6800000000003</v>
      </c>
      <c r="H37" s="745" t="s">
        <v>584</v>
      </c>
    </row>
    <row r="38" spans="2:8" ht="28" x14ac:dyDescent="0.35">
      <c r="B38" s="739">
        <v>34</v>
      </c>
      <c r="C38" s="748" t="s">
        <v>611</v>
      </c>
      <c r="D38" s="741" t="s">
        <v>582</v>
      </c>
      <c r="E38" s="742" t="s">
        <v>583</v>
      </c>
      <c r="F38" s="739">
        <v>746.01</v>
      </c>
      <c r="G38" s="747">
        <v>7356.2400000000034</v>
      </c>
      <c r="H38" s="745" t="s">
        <v>584</v>
      </c>
    </row>
    <row r="39" spans="2:8" ht="28" x14ac:dyDescent="0.35">
      <c r="B39" s="739">
        <v>35</v>
      </c>
      <c r="C39" s="740" t="s">
        <v>612</v>
      </c>
      <c r="D39" s="741" t="s">
        <v>582</v>
      </c>
      <c r="E39" s="742" t="s">
        <v>583</v>
      </c>
      <c r="F39" s="739">
        <v>52.14</v>
      </c>
      <c r="G39" s="747">
        <v>200.35999999999999</v>
      </c>
      <c r="H39" s="745" t="s">
        <v>584</v>
      </c>
    </row>
    <row r="40" spans="2:8" ht="28" x14ac:dyDescent="0.35">
      <c r="B40" s="739">
        <v>36</v>
      </c>
      <c r="C40" s="748" t="s">
        <v>613</v>
      </c>
      <c r="D40" s="741" t="s">
        <v>582</v>
      </c>
      <c r="E40" s="742" t="s">
        <v>583</v>
      </c>
      <c r="F40" s="739">
        <v>79.198999999999998</v>
      </c>
      <c r="G40" s="747">
        <v>13.32</v>
      </c>
      <c r="H40" s="745" t="s">
        <v>584</v>
      </c>
    </row>
    <row r="41" spans="2:8" ht="28" x14ac:dyDescent="0.35">
      <c r="B41" s="739">
        <v>37</v>
      </c>
      <c r="C41" s="740" t="s">
        <v>615</v>
      </c>
      <c r="D41" s="741" t="s">
        <v>582</v>
      </c>
      <c r="E41" s="742" t="s">
        <v>583</v>
      </c>
      <c r="F41" s="739">
        <v>131420.63700000005</v>
      </c>
      <c r="G41" s="741">
        <v>11331.04</v>
      </c>
      <c r="H41" s="745" t="s">
        <v>584</v>
      </c>
    </row>
    <row r="42" spans="2:8" ht="28" x14ac:dyDescent="0.35">
      <c r="B42" s="739">
        <v>38</v>
      </c>
      <c r="C42" s="740" t="s">
        <v>616</v>
      </c>
      <c r="D42" s="741" t="s">
        <v>582</v>
      </c>
      <c r="E42" s="742" t="s">
        <v>583</v>
      </c>
      <c r="F42" s="739">
        <v>4641.5690000000004</v>
      </c>
      <c r="G42" s="741">
        <v>501.7199999999998</v>
      </c>
      <c r="H42" s="745" t="s">
        <v>584</v>
      </c>
    </row>
    <row r="46" spans="2:8" x14ac:dyDescent="0.35">
      <c r="E46" s="751" t="s">
        <v>617</v>
      </c>
      <c r="F46" s="751" t="s">
        <v>618</v>
      </c>
      <c r="G46" s="752">
        <f>G48*G49</f>
        <v>982.54543739529686</v>
      </c>
    </row>
    <row r="47" spans="2:8" x14ac:dyDescent="0.35">
      <c r="E47" s="751" t="s">
        <v>619</v>
      </c>
      <c r="F47" s="751" t="s">
        <v>620</v>
      </c>
      <c r="G47" s="753">
        <f>(SUMPRODUCT(F5:F42,G5:G42)/SUM(F5:F42)*2)/1000</f>
        <v>21.948977438033065</v>
      </c>
    </row>
    <row r="48" spans="2:8" x14ac:dyDescent="0.35">
      <c r="E48" s="751" t="s">
        <v>621</v>
      </c>
      <c r="F48" s="751" t="s">
        <v>622</v>
      </c>
      <c r="G48" s="754">
        <f>SUMPRODUCT(F5:F42,G5:G42)*2/1000</f>
        <v>7616631.2976379609</v>
      </c>
    </row>
    <row r="49" spans="5:7" x14ac:dyDescent="0.35">
      <c r="E49" s="751" t="s">
        <v>623</v>
      </c>
      <c r="F49" s="751" t="s">
        <v>624</v>
      </c>
      <c r="G49" s="755">
        <f>129/1000000</f>
        <v>1.2899999999999999E-4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ba820af-9c36-47fb-8383-9944acc4573c" xsi:nil="true"/>
    <lcf76f155ced4ddcb4097134ff3c332f xmlns="5944c9fc-9421-4c39-b608-61ce3178861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DDC1F0F2D97C04690DF7AC407C65BA5" ma:contentTypeVersion="19" ma:contentTypeDescription="Create a new document." ma:contentTypeScope="" ma:versionID="138ac169aaadc9c430b97b25b46ecc4e">
  <xsd:schema xmlns:xsd="http://www.w3.org/2001/XMLSchema" xmlns:xs="http://www.w3.org/2001/XMLSchema" xmlns:p="http://schemas.microsoft.com/office/2006/metadata/properties" xmlns:ns2="5944c9fc-9421-4c39-b608-61ce31788618" xmlns:ns3="3ba820af-9c36-47fb-8383-9944acc4573c" targetNamespace="http://schemas.microsoft.com/office/2006/metadata/properties" ma:root="true" ma:fieldsID="4cce58cbed9668fc3dbbcfb9a7470718" ns2:_="" ns3:_="">
    <xsd:import namespace="5944c9fc-9421-4c39-b608-61ce31788618"/>
    <xsd:import namespace="3ba820af-9c36-47fb-8383-9944acc4573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44c9fc-9421-4c39-b608-61ce317886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b97863a-9c53-4d79-aa62-b4edf9878b66"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a820af-9c36-47fb-8383-9944acc4573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4e236bb-6ba1-491a-998c-53c379aa7070}" ma:internalName="TaxCatchAll" ma:showField="CatchAllData" ma:web="3ba820af-9c36-47fb-8383-9944acc457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2DFD85-DAA2-413F-964A-C78BE103E58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19CA768-61EF-4E2B-867E-62085CA2B313}"/>
</file>

<file path=customXml/itemProps3.xml><?xml version="1.0" encoding="utf-8"?>
<ds:datastoreItem xmlns:ds="http://schemas.openxmlformats.org/officeDocument/2006/customXml" ds:itemID="{0B493DA3-E0FB-4C06-B40E-79BBB9246A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Summary</vt:lpstr>
      <vt:lpstr>Monrep Tables</vt:lpstr>
      <vt:lpstr>Emissions</vt:lpstr>
      <vt:lpstr>2023 Data</vt:lpstr>
      <vt:lpstr>2022 Data</vt:lpstr>
      <vt:lpstr>2021 Data </vt:lpstr>
      <vt:lpstr>EF</vt:lpstr>
      <vt:lpstr>2023 wet tons </vt:lpstr>
      <vt:lpstr>2022 wet tons</vt:lpstr>
      <vt:lpstr>2021 wet tons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Christian Arnoldo Rodriguez Lewald</dc:creator>
  <cp:keywords/>
  <dc:description/>
  <cp:lastModifiedBy>Christian Arnoldo Rodriguez Lewald</cp:lastModifiedBy>
  <cp:revision/>
  <dcterms:created xsi:type="dcterms:W3CDTF">2021-04-19T22:26:38Z</dcterms:created>
  <dcterms:modified xsi:type="dcterms:W3CDTF">2024-12-02T15:14:14Z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0x010100CDDC1F0F2D97C04690DF7AC407C65BA5</vt:lpwstr>
  </property>
</Properties>
</file>