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2balance.sharepoint.com/Shared Documents/Projects/Active/CODE-SL/Sierra_Leone_SW/4_Reviews/3_Verification/MP4-MP3/GS_PR/R1/"/>
    </mc:Choice>
  </mc:AlternateContent>
  <xr:revisionPtr revIDLastSave="109" documentId="8_{EB2E4CEA-382E-4A18-9936-B23372250DFA}" xr6:coauthVersionLast="47" xr6:coauthVersionMax="47" xr10:uidLastSave="{CAEFF880-605C-4172-B463-FAD7B0BAD082}"/>
  <bookViews>
    <workbookView xWindow="-28920" yWindow="4125" windowWidth="29040" windowHeight="15720" xr2:uid="{DF46BA33-0387-488F-AA69-752963BE07EA}"/>
  </bookViews>
  <sheets>
    <sheet name="Summary" sheetId="24" r:id="rId1"/>
    <sheet name="SDG Impacts " sheetId="42" r:id="rId2"/>
    <sheet name="Total PTDs" sheetId="45" r:id="rId3"/>
    <sheet name="Uncapped ERs" sheetId="47" r:id="rId4"/>
    <sheet name="GS7475" sheetId="25" r:id="rId5"/>
    <sheet name="GS7476" sheetId="46" r:id="rId6"/>
    <sheet name="GS7477" sheetId="28" r:id="rId7"/>
    <sheet name="GS7478" sheetId="29" r:id="rId8"/>
    <sheet name="GS7479" sheetId="30" r:id="rId9"/>
    <sheet name="GS7480" sheetId="31" r:id="rId10"/>
    <sheet name="GS7481" sheetId="32" r:id="rId11"/>
    <sheet name="GS7482" sheetId="35" r:id="rId12"/>
    <sheet name="GS7483" sheetId="36" r:id="rId13"/>
    <sheet name="GS7484" sheetId="37" r:id="rId14"/>
    <sheet name="GS10663" sheetId="48" r:id="rId15"/>
    <sheet name="GS10664" sheetId="49" r:id="rId16"/>
    <sheet name="GS10665" sheetId="50" r:id="rId17"/>
    <sheet name="Treatment Capacity" sheetId="43" r:id="rId1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50" l="1"/>
  <c r="J5" i="50"/>
  <c r="E13" i="49"/>
  <c r="J5" i="49"/>
  <c r="E13" i="48"/>
  <c r="F11" i="42"/>
  <c r="Z140" i="45"/>
  <c r="AH29" i="45"/>
  <c r="P5" i="45"/>
  <c r="B17" i="24" l="1"/>
  <c r="AH23" i="47"/>
  <c r="AG23" i="47"/>
  <c r="AF23" i="47"/>
  <c r="AE23" i="47"/>
  <c r="AD23" i="47"/>
  <c r="AC23" i="47"/>
  <c r="AB23" i="47"/>
  <c r="AA23" i="47"/>
  <c r="Z23" i="47"/>
  <c r="Y23" i="47"/>
  <c r="X23" i="47"/>
  <c r="W23" i="47"/>
  <c r="V23" i="47"/>
  <c r="O24" i="47"/>
  <c r="P24" i="47"/>
  <c r="Q24" i="47"/>
  <c r="O34" i="47"/>
  <c r="P34" i="47"/>
  <c r="Q34" i="47"/>
  <c r="AF15" i="47"/>
  <c r="AG15" i="47"/>
  <c r="AH15" i="47"/>
  <c r="AF24" i="47"/>
  <c r="AG24" i="47"/>
  <c r="AH24" i="47"/>
  <c r="AF34" i="47"/>
  <c r="AG34" i="47"/>
  <c r="AH34" i="47"/>
  <c r="AW23" i="47"/>
  <c r="AX23" i="47"/>
  <c r="AY23" i="47"/>
  <c r="AW24" i="47"/>
  <c r="AX24" i="47"/>
  <c r="AY24" i="47"/>
  <c r="AW34" i="47"/>
  <c r="AX34" i="47"/>
  <c r="AY34" i="47"/>
  <c r="AW15" i="47"/>
  <c r="AX15" i="47"/>
  <c r="AY15" i="47"/>
  <c r="O15" i="47"/>
  <c r="P15" i="47"/>
  <c r="Q15" i="47"/>
  <c r="H17" i="24"/>
  <c r="I16" i="24"/>
  <c r="I14" i="24"/>
  <c r="I13" i="24"/>
  <c r="H16" i="24"/>
  <c r="H15" i="24"/>
  <c r="H14" i="24"/>
  <c r="H13" i="24"/>
  <c r="D274" i="42"/>
  <c r="D275" i="42" s="1"/>
  <c r="D269" i="42"/>
  <c r="D270" i="42" s="1"/>
  <c r="D253" i="42"/>
  <c r="I15" i="24" s="1"/>
  <c r="D252" i="42"/>
  <c r="D247" i="42"/>
  <c r="D248" i="42" s="1"/>
  <c r="D230" i="42"/>
  <c r="D231" i="42" s="1"/>
  <c r="D225" i="42"/>
  <c r="D226" i="42" s="1"/>
  <c r="O34" i="50"/>
  <c r="J34" i="50"/>
  <c r="E34" i="50"/>
  <c r="E24" i="50"/>
  <c r="O23" i="50"/>
  <c r="O15" i="50"/>
  <c r="J15" i="50"/>
  <c r="E15" i="50"/>
  <c r="J13" i="50"/>
  <c r="O7" i="50"/>
  <c r="E7" i="50"/>
  <c r="O5" i="50"/>
  <c r="E24" i="49"/>
  <c r="O23" i="49"/>
  <c r="O15" i="49"/>
  <c r="J15" i="49"/>
  <c r="E15" i="49"/>
  <c r="J13" i="49"/>
  <c r="O7" i="49"/>
  <c r="E7" i="49"/>
  <c r="O5" i="49"/>
  <c r="E24" i="48"/>
  <c r="O23" i="48"/>
  <c r="J15" i="48"/>
  <c r="E15" i="48"/>
  <c r="J13" i="48"/>
  <c r="O7" i="48"/>
  <c r="O15" i="48" s="1"/>
  <c r="E7" i="48"/>
  <c r="O5" i="48"/>
  <c r="N175" i="45"/>
  <c r="N174" i="45"/>
  <c r="N173" i="45"/>
  <c r="N172" i="45"/>
  <c r="N171" i="45"/>
  <c r="N170" i="45"/>
  <c r="N169" i="45"/>
  <c r="N168" i="45"/>
  <c r="N167" i="45"/>
  <c r="N166" i="45"/>
  <c r="N165" i="45"/>
  <c r="N164" i="45"/>
  <c r="N163" i="45"/>
  <c r="N162" i="45"/>
  <c r="N161" i="45"/>
  <c r="N160" i="45"/>
  <c r="N159" i="45"/>
  <c r="N158" i="45"/>
  <c r="N157" i="45"/>
  <c r="N156" i="45"/>
  <c r="N197" i="45"/>
  <c r="N196" i="45"/>
  <c r="N195" i="45"/>
  <c r="N194" i="45"/>
  <c r="N193" i="45"/>
  <c r="N192" i="45"/>
  <c r="N191" i="45"/>
  <c r="N190" i="45"/>
  <c r="N189" i="45"/>
  <c r="N188" i="45"/>
  <c r="N187" i="45"/>
  <c r="N186" i="45"/>
  <c r="N185" i="45"/>
  <c r="N184" i="45"/>
  <c r="N183" i="45"/>
  <c r="N182" i="45"/>
  <c r="N181" i="45"/>
  <c r="N180" i="45"/>
  <c r="N179" i="45"/>
  <c r="N178" i="45"/>
  <c r="N201" i="45"/>
  <c r="N202" i="45"/>
  <c r="N203" i="45"/>
  <c r="N204" i="45"/>
  <c r="N205" i="45"/>
  <c r="N206" i="45"/>
  <c r="N207" i="45"/>
  <c r="N208" i="45"/>
  <c r="N209" i="45"/>
  <c r="N210" i="45"/>
  <c r="N211" i="45"/>
  <c r="N212" i="45"/>
  <c r="N213" i="45"/>
  <c r="N214" i="45"/>
  <c r="N215" i="45"/>
  <c r="N216" i="45"/>
  <c r="N217" i="45"/>
  <c r="N218" i="45"/>
  <c r="N219" i="45"/>
  <c r="N200" i="45"/>
  <c r="P219" i="45"/>
  <c r="J219" i="45"/>
  <c r="E219" i="45"/>
  <c r="L219" i="45" s="1"/>
  <c r="P218" i="45"/>
  <c r="J218" i="45"/>
  <c r="E218" i="45"/>
  <c r="L218" i="45" s="1"/>
  <c r="P217" i="45"/>
  <c r="J217" i="45"/>
  <c r="E217" i="45"/>
  <c r="L217" i="45" s="1"/>
  <c r="P216" i="45"/>
  <c r="J216" i="45"/>
  <c r="E216" i="45"/>
  <c r="L216" i="45" s="1"/>
  <c r="P215" i="45"/>
  <c r="J215" i="45"/>
  <c r="E215" i="45"/>
  <c r="L215" i="45" s="1"/>
  <c r="P214" i="45"/>
  <c r="J214" i="45"/>
  <c r="E214" i="45"/>
  <c r="L214" i="45" s="1"/>
  <c r="P213" i="45"/>
  <c r="J213" i="45"/>
  <c r="E213" i="45"/>
  <c r="L213" i="45" s="1"/>
  <c r="P212" i="45"/>
  <c r="J212" i="45"/>
  <c r="E212" i="45"/>
  <c r="L212" i="45" s="1"/>
  <c r="P211" i="45"/>
  <c r="J211" i="45"/>
  <c r="E211" i="45"/>
  <c r="L211" i="45" s="1"/>
  <c r="P210" i="45"/>
  <c r="J210" i="45"/>
  <c r="E210" i="45"/>
  <c r="L210" i="45" s="1"/>
  <c r="P209" i="45"/>
  <c r="J209" i="45"/>
  <c r="E209" i="45"/>
  <c r="L209" i="45" s="1"/>
  <c r="P208" i="45"/>
  <c r="J208" i="45"/>
  <c r="E208" i="45"/>
  <c r="L208" i="45" s="1"/>
  <c r="P207" i="45"/>
  <c r="J207" i="45"/>
  <c r="E207" i="45"/>
  <c r="L207" i="45" s="1"/>
  <c r="P206" i="45"/>
  <c r="J206" i="45"/>
  <c r="E206" i="45"/>
  <c r="L206" i="45" s="1"/>
  <c r="P205" i="45"/>
  <c r="J205" i="45"/>
  <c r="E205" i="45"/>
  <c r="L205" i="45" s="1"/>
  <c r="P204" i="45"/>
  <c r="J204" i="45"/>
  <c r="E204" i="45"/>
  <c r="L204" i="45" s="1"/>
  <c r="P203" i="45"/>
  <c r="J203" i="45"/>
  <c r="E203" i="45"/>
  <c r="L203" i="45" s="1"/>
  <c r="P202" i="45"/>
  <c r="J202" i="45"/>
  <c r="E202" i="45"/>
  <c r="L202" i="45" s="1"/>
  <c r="P201" i="45"/>
  <c r="J201" i="45"/>
  <c r="E201" i="45"/>
  <c r="L201" i="45" s="1"/>
  <c r="P200" i="45"/>
  <c r="J200" i="45"/>
  <c r="E200" i="45"/>
  <c r="L200" i="45" s="1"/>
  <c r="P197" i="45"/>
  <c r="J197" i="45"/>
  <c r="E197" i="45"/>
  <c r="P196" i="45"/>
  <c r="J196" i="45"/>
  <c r="E196" i="45"/>
  <c r="P195" i="45"/>
  <c r="J195" i="45"/>
  <c r="E195" i="45"/>
  <c r="P194" i="45"/>
  <c r="J194" i="45"/>
  <c r="E194" i="45"/>
  <c r="P193" i="45"/>
  <c r="J193" i="45"/>
  <c r="E193" i="45"/>
  <c r="P192" i="45"/>
  <c r="J192" i="45"/>
  <c r="E192" i="45"/>
  <c r="P191" i="45"/>
  <c r="J191" i="45"/>
  <c r="E191" i="45"/>
  <c r="L191" i="45" s="1"/>
  <c r="P190" i="45"/>
  <c r="J190" i="45"/>
  <c r="E190" i="45"/>
  <c r="P189" i="45"/>
  <c r="J189" i="45"/>
  <c r="E189" i="45"/>
  <c r="P188" i="45"/>
  <c r="J188" i="45"/>
  <c r="E188" i="45"/>
  <c r="P187" i="45"/>
  <c r="J187" i="45"/>
  <c r="E187" i="45"/>
  <c r="L187" i="45" s="1"/>
  <c r="P186" i="45"/>
  <c r="J186" i="45"/>
  <c r="E186" i="45"/>
  <c r="L186" i="45" s="1"/>
  <c r="P185" i="45"/>
  <c r="J185" i="45"/>
  <c r="E185" i="45"/>
  <c r="L185" i="45" s="1"/>
  <c r="P184" i="45"/>
  <c r="J184" i="45"/>
  <c r="E184" i="45"/>
  <c r="L184" i="45" s="1"/>
  <c r="P183" i="45"/>
  <c r="J183" i="45"/>
  <c r="E183" i="45"/>
  <c r="L183" i="45" s="1"/>
  <c r="P182" i="45"/>
  <c r="J182" i="45"/>
  <c r="E182" i="45"/>
  <c r="L182" i="45" s="1"/>
  <c r="P181" i="45"/>
  <c r="J181" i="45"/>
  <c r="E181" i="45"/>
  <c r="P180" i="45"/>
  <c r="J180" i="45"/>
  <c r="E180" i="45"/>
  <c r="P179" i="45"/>
  <c r="J179" i="45"/>
  <c r="E179" i="45"/>
  <c r="P178" i="45"/>
  <c r="J178" i="45"/>
  <c r="E178" i="45"/>
  <c r="P175" i="45"/>
  <c r="J175" i="45"/>
  <c r="E175" i="45"/>
  <c r="L175" i="45" s="1"/>
  <c r="P174" i="45"/>
  <c r="J174" i="45"/>
  <c r="E174" i="45"/>
  <c r="P173" i="45"/>
  <c r="J173" i="45"/>
  <c r="E173" i="45"/>
  <c r="P172" i="45"/>
  <c r="J172" i="45"/>
  <c r="E172" i="45"/>
  <c r="P171" i="45"/>
  <c r="J171" i="45"/>
  <c r="E171" i="45"/>
  <c r="P170" i="45"/>
  <c r="J170" i="45"/>
  <c r="E170" i="45"/>
  <c r="P169" i="45"/>
  <c r="J169" i="45"/>
  <c r="E169" i="45"/>
  <c r="P168" i="45"/>
  <c r="J168" i="45"/>
  <c r="E168" i="45"/>
  <c r="P167" i="45"/>
  <c r="E167" i="45"/>
  <c r="L167" i="45" s="1"/>
  <c r="P166" i="45"/>
  <c r="E166" i="45"/>
  <c r="P165" i="45"/>
  <c r="E165" i="45"/>
  <c r="P164" i="45"/>
  <c r="E164" i="45"/>
  <c r="P163" i="45"/>
  <c r="E163" i="45"/>
  <c r="P162" i="45"/>
  <c r="E162" i="45"/>
  <c r="P161" i="45"/>
  <c r="J161" i="45"/>
  <c r="E161" i="45"/>
  <c r="P160" i="45"/>
  <c r="J160" i="45"/>
  <c r="E160" i="45"/>
  <c r="P159" i="45"/>
  <c r="J159" i="45"/>
  <c r="E159" i="45"/>
  <c r="P158" i="45"/>
  <c r="J158" i="45"/>
  <c r="E158" i="45"/>
  <c r="P157" i="45"/>
  <c r="J157" i="45"/>
  <c r="E157" i="45"/>
  <c r="P156" i="45"/>
  <c r="J156" i="45"/>
  <c r="E156" i="45"/>
  <c r="L156" i="45" s="1"/>
  <c r="O220" i="45"/>
  <c r="M220" i="45"/>
  <c r="I220" i="45"/>
  <c r="L16" i="24" s="1"/>
  <c r="B220" i="45"/>
  <c r="O198" i="45"/>
  <c r="M198" i="45"/>
  <c r="I198" i="45"/>
  <c r="L15" i="24" s="1"/>
  <c r="B198" i="45"/>
  <c r="O176" i="45"/>
  <c r="M176" i="45"/>
  <c r="I176" i="45"/>
  <c r="L14" i="24" s="1"/>
  <c r="B176" i="45"/>
  <c r="P141" i="45"/>
  <c r="P142" i="45"/>
  <c r="P143" i="45"/>
  <c r="P144" i="45"/>
  <c r="P145" i="45"/>
  <c r="P146" i="45"/>
  <c r="P147" i="45"/>
  <c r="P148" i="45"/>
  <c r="P149" i="45"/>
  <c r="P150" i="45"/>
  <c r="P151" i="45"/>
  <c r="P152" i="45"/>
  <c r="P153" i="45"/>
  <c r="P140" i="45"/>
  <c r="P125" i="45"/>
  <c r="P126" i="45"/>
  <c r="P127" i="45"/>
  <c r="P128" i="45"/>
  <c r="P129" i="45"/>
  <c r="P130" i="45"/>
  <c r="P131" i="45"/>
  <c r="P132" i="45"/>
  <c r="P133" i="45"/>
  <c r="P134" i="45"/>
  <c r="P135" i="45"/>
  <c r="P136" i="45"/>
  <c r="P137" i="45"/>
  <c r="P124" i="45"/>
  <c r="P108" i="45"/>
  <c r="P109" i="45"/>
  <c r="P110" i="45"/>
  <c r="P111" i="45"/>
  <c r="P112" i="45"/>
  <c r="P113" i="45"/>
  <c r="P114" i="45"/>
  <c r="P115" i="45"/>
  <c r="P116" i="45"/>
  <c r="P117" i="45"/>
  <c r="P118" i="45"/>
  <c r="P119" i="45"/>
  <c r="P120" i="45"/>
  <c r="P121" i="45"/>
  <c r="P93" i="45"/>
  <c r="P94" i="45"/>
  <c r="P95" i="45"/>
  <c r="P96" i="45"/>
  <c r="P97" i="45"/>
  <c r="P98" i="45"/>
  <c r="P99" i="45"/>
  <c r="P100" i="45"/>
  <c r="P101" i="45"/>
  <c r="P102" i="45"/>
  <c r="P103" i="45"/>
  <c r="P104" i="45"/>
  <c r="P105" i="45"/>
  <c r="P78" i="45"/>
  <c r="P79" i="45"/>
  <c r="P80" i="45"/>
  <c r="P81" i="45"/>
  <c r="P82" i="45"/>
  <c r="P83" i="45"/>
  <c r="P84" i="45"/>
  <c r="P85" i="45"/>
  <c r="P86" i="45"/>
  <c r="P87" i="45"/>
  <c r="P88" i="45"/>
  <c r="P89" i="45"/>
  <c r="P90" i="45"/>
  <c r="P63" i="45"/>
  <c r="P64" i="45"/>
  <c r="P65" i="45"/>
  <c r="P66" i="45"/>
  <c r="P67" i="45"/>
  <c r="P68" i="45"/>
  <c r="P69" i="45"/>
  <c r="P70" i="45"/>
  <c r="P71" i="45"/>
  <c r="P72" i="45"/>
  <c r="P73" i="45"/>
  <c r="P74" i="45"/>
  <c r="P75" i="45"/>
  <c r="P49" i="45"/>
  <c r="P50" i="45"/>
  <c r="P51" i="45"/>
  <c r="P52" i="45"/>
  <c r="P53" i="45"/>
  <c r="P54" i="45"/>
  <c r="P55" i="45"/>
  <c r="P56" i="45"/>
  <c r="P57" i="45"/>
  <c r="P58" i="45"/>
  <c r="P59" i="45"/>
  <c r="P60" i="45"/>
  <c r="P34" i="45"/>
  <c r="P35" i="45"/>
  <c r="P36" i="45"/>
  <c r="P37" i="45"/>
  <c r="P38" i="45"/>
  <c r="P39" i="45"/>
  <c r="P40" i="45"/>
  <c r="P41" i="45"/>
  <c r="P42" i="45"/>
  <c r="P43" i="45"/>
  <c r="P44" i="45"/>
  <c r="P45" i="45"/>
  <c r="P46" i="45"/>
  <c r="P19" i="45"/>
  <c r="P20" i="45"/>
  <c r="P21" i="45"/>
  <c r="P22" i="45"/>
  <c r="P23" i="45"/>
  <c r="P24" i="45"/>
  <c r="P25" i="45"/>
  <c r="P26" i="45"/>
  <c r="P27" i="45"/>
  <c r="P28" i="45"/>
  <c r="P29" i="45"/>
  <c r="P30" i="45"/>
  <c r="P31" i="45"/>
  <c r="P6" i="45"/>
  <c r="P7" i="45"/>
  <c r="P8" i="45"/>
  <c r="P9" i="45"/>
  <c r="P10" i="45"/>
  <c r="P11" i="45"/>
  <c r="P12" i="45"/>
  <c r="P13" i="45"/>
  <c r="P14" i="45"/>
  <c r="P15" i="45"/>
  <c r="P16" i="45"/>
  <c r="P4" i="45"/>
  <c r="E153" i="45"/>
  <c r="N153" i="45" s="1"/>
  <c r="E152" i="45"/>
  <c r="L152" i="45" s="1"/>
  <c r="E151" i="45"/>
  <c r="L151" i="45" s="1"/>
  <c r="E150" i="45"/>
  <c r="L150" i="45" s="1"/>
  <c r="E149" i="45"/>
  <c r="E148" i="45"/>
  <c r="L148" i="45" s="1"/>
  <c r="E147" i="45"/>
  <c r="L147" i="45" s="1"/>
  <c r="E146" i="45"/>
  <c r="L146" i="45" s="1"/>
  <c r="E145" i="45"/>
  <c r="L145" i="45" s="1"/>
  <c r="E144" i="45"/>
  <c r="L144" i="45" s="1"/>
  <c r="E143" i="45"/>
  <c r="L143" i="45" s="1"/>
  <c r="E142" i="45"/>
  <c r="L142" i="45" s="1"/>
  <c r="E141" i="45"/>
  <c r="L141" i="45" s="1"/>
  <c r="E140" i="45"/>
  <c r="L140" i="45" s="1"/>
  <c r="E137" i="45"/>
  <c r="L137" i="45" s="1"/>
  <c r="E136" i="45"/>
  <c r="L136" i="45" s="1"/>
  <c r="E135" i="45"/>
  <c r="L135" i="45" s="1"/>
  <c r="E134" i="45"/>
  <c r="L134" i="45" s="1"/>
  <c r="E133" i="45"/>
  <c r="L133" i="45" s="1"/>
  <c r="E132" i="45"/>
  <c r="L132" i="45" s="1"/>
  <c r="E131" i="45"/>
  <c r="L131" i="45" s="1"/>
  <c r="E130" i="45"/>
  <c r="L130" i="45" s="1"/>
  <c r="E129" i="45"/>
  <c r="L129" i="45" s="1"/>
  <c r="E128" i="45"/>
  <c r="L128" i="45" s="1"/>
  <c r="E127" i="45"/>
  <c r="L127" i="45" s="1"/>
  <c r="E126" i="45"/>
  <c r="L126" i="45" s="1"/>
  <c r="E125" i="45"/>
  <c r="L125" i="45" s="1"/>
  <c r="E124" i="45"/>
  <c r="L124" i="45" s="1"/>
  <c r="E121" i="45"/>
  <c r="L121" i="45" s="1"/>
  <c r="E120" i="45"/>
  <c r="L120" i="45" s="1"/>
  <c r="E119" i="45"/>
  <c r="L119" i="45" s="1"/>
  <c r="E118" i="45"/>
  <c r="L118" i="45" s="1"/>
  <c r="E117" i="45"/>
  <c r="L117" i="45" s="1"/>
  <c r="E116" i="45"/>
  <c r="L116" i="45" s="1"/>
  <c r="E115" i="45"/>
  <c r="L115" i="45" s="1"/>
  <c r="E114" i="45"/>
  <c r="L114" i="45" s="1"/>
  <c r="E113" i="45"/>
  <c r="L113" i="45" s="1"/>
  <c r="E112" i="45"/>
  <c r="L112" i="45" s="1"/>
  <c r="E111" i="45"/>
  <c r="L111" i="45" s="1"/>
  <c r="E110" i="45"/>
  <c r="L110" i="45" s="1"/>
  <c r="E109" i="45"/>
  <c r="L109" i="45" s="1"/>
  <c r="E108" i="45"/>
  <c r="L108" i="45" s="1"/>
  <c r="E105" i="45"/>
  <c r="L105" i="45" s="1"/>
  <c r="E104" i="45"/>
  <c r="L104" i="45" s="1"/>
  <c r="E103" i="45"/>
  <c r="L103" i="45" s="1"/>
  <c r="E102" i="45"/>
  <c r="L102" i="45" s="1"/>
  <c r="E101" i="45"/>
  <c r="L101" i="45" s="1"/>
  <c r="E100" i="45"/>
  <c r="L100" i="45" s="1"/>
  <c r="E99" i="45"/>
  <c r="L99" i="45" s="1"/>
  <c r="E98" i="45"/>
  <c r="L98" i="45" s="1"/>
  <c r="E97" i="45"/>
  <c r="L97" i="45" s="1"/>
  <c r="E96" i="45"/>
  <c r="L96" i="45" s="1"/>
  <c r="E95" i="45"/>
  <c r="L95" i="45" s="1"/>
  <c r="E94" i="45"/>
  <c r="E93" i="45"/>
  <c r="L93" i="45" s="1"/>
  <c r="E90" i="45"/>
  <c r="L90" i="45" s="1"/>
  <c r="E89" i="45"/>
  <c r="L89" i="45" s="1"/>
  <c r="E88" i="45"/>
  <c r="L88" i="45" s="1"/>
  <c r="E87" i="45"/>
  <c r="L87" i="45" s="1"/>
  <c r="E86" i="45"/>
  <c r="L86" i="45" s="1"/>
  <c r="E85" i="45"/>
  <c r="L85" i="45" s="1"/>
  <c r="E84" i="45"/>
  <c r="L84" i="45" s="1"/>
  <c r="E83" i="45"/>
  <c r="L83" i="45" s="1"/>
  <c r="E82" i="45"/>
  <c r="L82" i="45" s="1"/>
  <c r="E81" i="45"/>
  <c r="L81" i="45" s="1"/>
  <c r="E80" i="45"/>
  <c r="L80" i="45" s="1"/>
  <c r="E79" i="45"/>
  <c r="L79" i="45" s="1"/>
  <c r="E78" i="45"/>
  <c r="L78" i="45" s="1"/>
  <c r="E75" i="45"/>
  <c r="L75" i="45" s="1"/>
  <c r="E74" i="45"/>
  <c r="L74" i="45" s="1"/>
  <c r="E73" i="45"/>
  <c r="L73" i="45" s="1"/>
  <c r="E72" i="45"/>
  <c r="L72" i="45" s="1"/>
  <c r="E71" i="45"/>
  <c r="L71" i="45" s="1"/>
  <c r="E70" i="45"/>
  <c r="L70" i="45" s="1"/>
  <c r="E69" i="45"/>
  <c r="L69" i="45" s="1"/>
  <c r="E68" i="45"/>
  <c r="L68" i="45" s="1"/>
  <c r="E67" i="45"/>
  <c r="L67" i="45" s="1"/>
  <c r="E66" i="45"/>
  <c r="L66" i="45" s="1"/>
  <c r="E65" i="45"/>
  <c r="L65" i="45" s="1"/>
  <c r="E64" i="45"/>
  <c r="L64" i="45" s="1"/>
  <c r="E63" i="45"/>
  <c r="L63" i="45" s="1"/>
  <c r="E60" i="45"/>
  <c r="L60" i="45" s="1"/>
  <c r="E59" i="45"/>
  <c r="L59" i="45" s="1"/>
  <c r="E58" i="45"/>
  <c r="L58" i="45" s="1"/>
  <c r="E57" i="45"/>
  <c r="L57" i="45" s="1"/>
  <c r="E56" i="45"/>
  <c r="L56" i="45" s="1"/>
  <c r="E55" i="45"/>
  <c r="E54" i="45"/>
  <c r="L54" i="45" s="1"/>
  <c r="E53" i="45"/>
  <c r="L53" i="45" s="1"/>
  <c r="E52" i="45"/>
  <c r="L52" i="45" s="1"/>
  <c r="E51" i="45"/>
  <c r="L51" i="45" s="1"/>
  <c r="E50" i="45"/>
  <c r="L50" i="45" s="1"/>
  <c r="E49" i="45"/>
  <c r="L49" i="45" s="1"/>
  <c r="E46" i="45"/>
  <c r="L46" i="45" s="1"/>
  <c r="E45" i="45"/>
  <c r="L45" i="45" s="1"/>
  <c r="E44" i="45"/>
  <c r="L44" i="45" s="1"/>
  <c r="E43" i="45"/>
  <c r="L43" i="45" s="1"/>
  <c r="E42" i="45"/>
  <c r="L42" i="45" s="1"/>
  <c r="E41" i="45"/>
  <c r="L41" i="45" s="1"/>
  <c r="E40" i="45"/>
  <c r="L40" i="45" s="1"/>
  <c r="E39" i="45"/>
  <c r="L39" i="45" s="1"/>
  <c r="E38" i="45"/>
  <c r="L38" i="45" s="1"/>
  <c r="E37" i="45"/>
  <c r="L37" i="45" s="1"/>
  <c r="E36" i="45"/>
  <c r="L36" i="45" s="1"/>
  <c r="E35" i="45"/>
  <c r="L35" i="45" s="1"/>
  <c r="E34" i="45"/>
  <c r="L34" i="45" s="1"/>
  <c r="E31" i="45"/>
  <c r="L31" i="45" s="1"/>
  <c r="E30" i="45"/>
  <c r="L30" i="45" s="1"/>
  <c r="E29" i="45"/>
  <c r="L29" i="45" s="1"/>
  <c r="E28" i="45"/>
  <c r="L28" i="45" s="1"/>
  <c r="E27" i="45"/>
  <c r="L27" i="45" s="1"/>
  <c r="E26" i="45"/>
  <c r="L26" i="45" s="1"/>
  <c r="E25" i="45"/>
  <c r="L25" i="45" s="1"/>
  <c r="E24" i="45"/>
  <c r="L24" i="45" s="1"/>
  <c r="E23" i="45"/>
  <c r="L23" i="45" s="1"/>
  <c r="E22" i="45"/>
  <c r="L22" i="45" s="1"/>
  <c r="E21" i="45"/>
  <c r="L21" i="45" s="1"/>
  <c r="E20" i="45"/>
  <c r="L20" i="45" s="1"/>
  <c r="E19" i="45"/>
  <c r="L19" i="45" s="1"/>
  <c r="E5" i="45"/>
  <c r="L5" i="45" s="1"/>
  <c r="E6" i="45"/>
  <c r="L6" i="45" s="1"/>
  <c r="E7" i="45"/>
  <c r="L7" i="45" s="1"/>
  <c r="E8" i="45"/>
  <c r="L8" i="45" s="1"/>
  <c r="E9" i="45"/>
  <c r="L9" i="45" s="1"/>
  <c r="E10" i="45"/>
  <c r="L10" i="45" s="1"/>
  <c r="E11" i="45"/>
  <c r="L11" i="45" s="1"/>
  <c r="E12" i="45"/>
  <c r="L12" i="45" s="1"/>
  <c r="E13" i="45"/>
  <c r="L13" i="45" s="1"/>
  <c r="E14" i="45"/>
  <c r="L14" i="45" s="1"/>
  <c r="E15" i="45"/>
  <c r="L15" i="45" s="1"/>
  <c r="E16" i="45"/>
  <c r="L16" i="45" s="1"/>
  <c r="E4" i="45"/>
  <c r="L4" i="45" s="1"/>
  <c r="J146" i="45"/>
  <c r="J147" i="45"/>
  <c r="J148" i="45"/>
  <c r="J149" i="45"/>
  <c r="J150" i="45"/>
  <c r="J151" i="45"/>
  <c r="J152" i="45"/>
  <c r="J153" i="45"/>
  <c r="J130" i="45"/>
  <c r="J131" i="45"/>
  <c r="J132" i="45"/>
  <c r="J133" i="45"/>
  <c r="J134" i="45"/>
  <c r="J135" i="45"/>
  <c r="J136" i="45"/>
  <c r="J137" i="45"/>
  <c r="J114" i="45"/>
  <c r="J115" i="45"/>
  <c r="J116" i="45"/>
  <c r="J117" i="45"/>
  <c r="J118" i="45"/>
  <c r="J119" i="45"/>
  <c r="J120" i="45"/>
  <c r="J121" i="45"/>
  <c r="J98" i="45"/>
  <c r="J99" i="45"/>
  <c r="J100" i="45"/>
  <c r="J101" i="45"/>
  <c r="J102" i="45"/>
  <c r="J103" i="45"/>
  <c r="J104" i="45"/>
  <c r="J105" i="45"/>
  <c r="J83" i="45"/>
  <c r="J84" i="45"/>
  <c r="J85" i="45"/>
  <c r="J86" i="45"/>
  <c r="J87" i="45"/>
  <c r="J88" i="45"/>
  <c r="J89" i="45"/>
  <c r="J90" i="45"/>
  <c r="J63" i="45"/>
  <c r="J64" i="45"/>
  <c r="J65" i="45"/>
  <c r="J66" i="45"/>
  <c r="J67" i="45"/>
  <c r="J68" i="45"/>
  <c r="J69" i="45"/>
  <c r="J70" i="45"/>
  <c r="J71" i="45"/>
  <c r="J72" i="45"/>
  <c r="J73" i="45"/>
  <c r="J74" i="45"/>
  <c r="J75" i="45"/>
  <c r="J49" i="45"/>
  <c r="J50" i="45"/>
  <c r="J51" i="45"/>
  <c r="J52" i="45"/>
  <c r="J53" i="45"/>
  <c r="J54" i="45"/>
  <c r="J55" i="45"/>
  <c r="J56" i="45"/>
  <c r="J57" i="45"/>
  <c r="J58" i="45"/>
  <c r="J59" i="45"/>
  <c r="J60" i="45"/>
  <c r="J34" i="45"/>
  <c r="J35" i="45"/>
  <c r="J36" i="45"/>
  <c r="J37" i="45"/>
  <c r="J38" i="45"/>
  <c r="J39" i="45"/>
  <c r="J40" i="45"/>
  <c r="J41" i="45"/>
  <c r="J42" i="45"/>
  <c r="J43" i="45"/>
  <c r="J44" i="45"/>
  <c r="J45" i="45"/>
  <c r="J46" i="45"/>
  <c r="J19" i="45"/>
  <c r="J20" i="45"/>
  <c r="J21" i="45"/>
  <c r="J22" i="45"/>
  <c r="J23" i="45"/>
  <c r="J24" i="45"/>
  <c r="J25" i="45"/>
  <c r="J26" i="45"/>
  <c r="J27" i="45"/>
  <c r="J28" i="45"/>
  <c r="J29" i="45"/>
  <c r="J30" i="45"/>
  <c r="J31" i="45"/>
  <c r="J4" i="45"/>
  <c r="J5" i="45"/>
  <c r="J6" i="45"/>
  <c r="J7" i="45"/>
  <c r="J8" i="45"/>
  <c r="J9" i="45"/>
  <c r="J10" i="45"/>
  <c r="J11" i="45"/>
  <c r="J12" i="45"/>
  <c r="J13" i="45"/>
  <c r="J14" i="45"/>
  <c r="J15" i="45"/>
  <c r="J16" i="45"/>
  <c r="I154" i="45"/>
  <c r="L13" i="24" s="1"/>
  <c r="B154" i="45"/>
  <c r="B138" i="45"/>
  <c r="B122" i="45"/>
  <c r="B106" i="45"/>
  <c r="B91" i="45"/>
  <c r="B76" i="45"/>
  <c r="B17" i="45"/>
  <c r="AE13" i="45"/>
  <c r="N14" i="45"/>
  <c r="N15" i="45"/>
  <c r="U15" i="45" s="1"/>
  <c r="N16" i="45"/>
  <c r="U16" i="45" s="1"/>
  <c r="I138" i="45"/>
  <c r="L12" i="24" s="1"/>
  <c r="I122" i="45"/>
  <c r="L11" i="24" s="1"/>
  <c r="I106" i="45"/>
  <c r="L10" i="24" s="1"/>
  <c r="I91" i="45"/>
  <c r="L9" i="24" s="1"/>
  <c r="I76" i="45"/>
  <c r="L8" i="24" s="1"/>
  <c r="I61" i="45"/>
  <c r="L7" i="24" s="1"/>
  <c r="I47" i="45"/>
  <c r="L6" i="24" s="1"/>
  <c r="I32" i="45"/>
  <c r="L5" i="24" s="1"/>
  <c r="I17" i="45"/>
  <c r="L4" i="24" s="1"/>
  <c r="N4" i="45"/>
  <c r="N5" i="45"/>
  <c r="N6" i="45"/>
  <c r="N7" i="45"/>
  <c r="U7" i="45" s="1"/>
  <c r="N8" i="45"/>
  <c r="U8" i="45" s="1"/>
  <c r="N9" i="45"/>
  <c r="N10" i="45"/>
  <c r="U10" i="45" s="1"/>
  <c r="N11" i="45"/>
  <c r="N12" i="45"/>
  <c r="N13" i="45"/>
  <c r="B61" i="45"/>
  <c r="B47" i="45"/>
  <c r="B32" i="45"/>
  <c r="O47" i="45"/>
  <c r="N34" i="45"/>
  <c r="N35" i="45"/>
  <c r="N36" i="45"/>
  <c r="N37" i="45"/>
  <c r="N38" i="45"/>
  <c r="N39" i="45"/>
  <c r="N40" i="45"/>
  <c r="N41" i="45"/>
  <c r="N42" i="45"/>
  <c r="N43" i="45"/>
  <c r="N44" i="45"/>
  <c r="N45" i="45"/>
  <c r="N46" i="45"/>
  <c r="M47" i="45"/>
  <c r="O32" i="45"/>
  <c r="N19" i="45"/>
  <c r="N20" i="45"/>
  <c r="N21" i="45"/>
  <c r="N22" i="45"/>
  <c r="N23" i="45"/>
  <c r="N24" i="45"/>
  <c r="N25" i="45"/>
  <c r="N26" i="45"/>
  <c r="N27" i="45"/>
  <c r="N28" i="45"/>
  <c r="N29" i="45"/>
  <c r="N30" i="45"/>
  <c r="N31" i="45"/>
  <c r="M32" i="45"/>
  <c r="N49" i="45"/>
  <c r="N50" i="45"/>
  <c r="N51" i="45"/>
  <c r="N52" i="45"/>
  <c r="N53" i="45"/>
  <c r="N54" i="45"/>
  <c r="N55" i="45"/>
  <c r="N56" i="45"/>
  <c r="N57" i="45"/>
  <c r="N58" i="45"/>
  <c r="N59" i="45"/>
  <c r="N60" i="45"/>
  <c r="N108" i="45"/>
  <c r="N109" i="45"/>
  <c r="N110" i="45"/>
  <c r="N111" i="45"/>
  <c r="N112" i="45"/>
  <c r="N113" i="45"/>
  <c r="N114" i="45"/>
  <c r="N115" i="45"/>
  <c r="N116" i="45"/>
  <c r="N117" i="45"/>
  <c r="N118" i="45"/>
  <c r="N119" i="45"/>
  <c r="N120" i="45"/>
  <c r="N121" i="45"/>
  <c r="N63" i="45"/>
  <c r="N64" i="45"/>
  <c r="N65" i="45"/>
  <c r="N66" i="45"/>
  <c r="N67" i="45"/>
  <c r="N68" i="45"/>
  <c r="N69" i="45"/>
  <c r="N70" i="45"/>
  <c r="N71" i="45"/>
  <c r="N72" i="45"/>
  <c r="N73" i="45"/>
  <c r="N74" i="45"/>
  <c r="N75" i="45"/>
  <c r="N78" i="45"/>
  <c r="N79" i="45"/>
  <c r="N80" i="45"/>
  <c r="N81" i="45"/>
  <c r="N82" i="45"/>
  <c r="N83" i="45"/>
  <c r="N84" i="45"/>
  <c r="N85" i="45"/>
  <c r="N86" i="45"/>
  <c r="N87" i="45"/>
  <c r="N88" i="45"/>
  <c r="N89" i="45"/>
  <c r="N90" i="45"/>
  <c r="N93" i="45"/>
  <c r="N94" i="45"/>
  <c r="N95" i="45"/>
  <c r="N96" i="45"/>
  <c r="N97" i="45"/>
  <c r="N98" i="45"/>
  <c r="N99" i="45"/>
  <c r="N100" i="45"/>
  <c r="N101" i="45"/>
  <c r="N102" i="45"/>
  <c r="N103" i="45"/>
  <c r="N104" i="45"/>
  <c r="N105" i="45"/>
  <c r="N124" i="45"/>
  <c r="N125" i="45"/>
  <c r="N126" i="45"/>
  <c r="N127" i="45"/>
  <c r="N128" i="45"/>
  <c r="N129" i="45"/>
  <c r="N130" i="45"/>
  <c r="N131" i="45"/>
  <c r="N132" i="45"/>
  <c r="N133" i="45"/>
  <c r="N134" i="45"/>
  <c r="N135" i="45"/>
  <c r="N136" i="45"/>
  <c r="N137" i="45"/>
  <c r="AE5" i="45"/>
  <c r="AE6" i="45"/>
  <c r="O154" i="45"/>
  <c r="M154" i="45"/>
  <c r="O138" i="45"/>
  <c r="M138" i="45"/>
  <c r="O122" i="45"/>
  <c r="M122" i="45"/>
  <c r="O106" i="45"/>
  <c r="M106" i="45"/>
  <c r="O91" i="45"/>
  <c r="M91" i="45"/>
  <c r="O76" i="45"/>
  <c r="M76" i="45"/>
  <c r="O61" i="45"/>
  <c r="M61" i="45"/>
  <c r="O17" i="45"/>
  <c r="M17" i="45"/>
  <c r="D7" i="42"/>
  <c r="N141" i="45"/>
  <c r="N142" i="45"/>
  <c r="N143" i="45"/>
  <c r="N144" i="45"/>
  <c r="N145" i="45"/>
  <c r="N146" i="45"/>
  <c r="N147" i="45"/>
  <c r="N148" i="45"/>
  <c r="N149" i="45"/>
  <c r="N150" i="45"/>
  <c r="N151" i="45"/>
  <c r="N152" i="45"/>
  <c r="N140" i="45"/>
  <c r="J23" i="25"/>
  <c r="L149" i="45"/>
  <c r="L94" i="45"/>
  <c r="AV34" i="47"/>
  <c r="AU34" i="47"/>
  <c r="AT34" i="47"/>
  <c r="AS34" i="47"/>
  <c r="AR34" i="47"/>
  <c r="AQ34" i="47"/>
  <c r="AP34" i="47"/>
  <c r="AO34" i="47"/>
  <c r="AN34" i="47"/>
  <c r="AM34" i="47"/>
  <c r="AV24" i="47"/>
  <c r="AU24" i="47"/>
  <c r="AT24" i="47"/>
  <c r="AS24" i="47"/>
  <c r="AR24" i="47"/>
  <c r="AQ24" i="47"/>
  <c r="AP24" i="47"/>
  <c r="AO24" i="47"/>
  <c r="AN24" i="47"/>
  <c r="AM24" i="47"/>
  <c r="AV23" i="47"/>
  <c r="AU23" i="47"/>
  <c r="AT23" i="47"/>
  <c r="AS23" i="47"/>
  <c r="AR23" i="47"/>
  <c r="AQ23" i="47"/>
  <c r="AP23" i="47"/>
  <c r="AO23" i="47"/>
  <c r="AN23" i="47"/>
  <c r="AM23" i="47"/>
  <c r="AV15" i="47"/>
  <c r="AU15" i="47"/>
  <c r="AT15" i="47"/>
  <c r="AS15" i="47"/>
  <c r="AR15" i="47"/>
  <c r="AQ15" i="47"/>
  <c r="AP15" i="47"/>
  <c r="AO15" i="47"/>
  <c r="AN15" i="47"/>
  <c r="AM15" i="47"/>
  <c r="AE34" i="47"/>
  <c r="AD34" i="47"/>
  <c r="AC34" i="47"/>
  <c r="AB34" i="47"/>
  <c r="AA34" i="47"/>
  <c r="Z34" i="47"/>
  <c r="Y34" i="47"/>
  <c r="X34" i="47"/>
  <c r="W34" i="47"/>
  <c r="V34" i="47"/>
  <c r="AE24" i="47"/>
  <c r="AD24" i="47"/>
  <c r="AC24" i="47"/>
  <c r="AB24" i="47"/>
  <c r="AA24" i="47"/>
  <c r="Z24" i="47"/>
  <c r="Y24" i="47"/>
  <c r="X24" i="47"/>
  <c r="W24" i="47"/>
  <c r="V24" i="47"/>
  <c r="AE15" i="47"/>
  <c r="AD15" i="47"/>
  <c r="AC15" i="47"/>
  <c r="AB15" i="47"/>
  <c r="AA15" i="47"/>
  <c r="Z15" i="47"/>
  <c r="Y15" i="47"/>
  <c r="X15" i="47"/>
  <c r="W15" i="47"/>
  <c r="V15" i="47"/>
  <c r="O23" i="37"/>
  <c r="O23" i="36"/>
  <c r="O23" i="35"/>
  <c r="O23" i="32"/>
  <c r="O23" i="31"/>
  <c r="O23" i="30"/>
  <c r="O23" i="29"/>
  <c r="O23" i="28"/>
  <c r="O23" i="46"/>
  <c r="N34" i="47"/>
  <c r="N24" i="47"/>
  <c r="N15" i="47"/>
  <c r="M34" i="47"/>
  <c r="M24" i="47"/>
  <c r="M15" i="47"/>
  <c r="L34" i="47"/>
  <c r="L24" i="47"/>
  <c r="L15" i="47"/>
  <c r="K34" i="47"/>
  <c r="K24" i="47"/>
  <c r="K15" i="47"/>
  <c r="J34" i="47"/>
  <c r="J24" i="47"/>
  <c r="J15" i="47"/>
  <c r="I34" i="47"/>
  <c r="I24" i="47"/>
  <c r="I15" i="47"/>
  <c r="H34" i="47"/>
  <c r="H24" i="47"/>
  <c r="H15" i="47"/>
  <c r="G34" i="47"/>
  <c r="G24" i="47"/>
  <c r="G15" i="47"/>
  <c r="F34" i="47"/>
  <c r="F24" i="47"/>
  <c r="F15" i="47"/>
  <c r="E34" i="47"/>
  <c r="E24" i="47"/>
  <c r="E15" i="47"/>
  <c r="O23" i="25"/>
  <c r="D208" i="42"/>
  <c r="D209" i="42"/>
  <c r="D203" i="42"/>
  <c r="D204" i="42"/>
  <c r="D186" i="42"/>
  <c r="D187" i="42"/>
  <c r="D181" i="42"/>
  <c r="D182" i="42"/>
  <c r="D164" i="42"/>
  <c r="D165" i="42"/>
  <c r="D159" i="42"/>
  <c r="D160" i="42"/>
  <c r="D142" i="42"/>
  <c r="D143" i="42"/>
  <c r="D137" i="42"/>
  <c r="D138" i="42"/>
  <c r="D120" i="42"/>
  <c r="D121" i="42"/>
  <c r="D115" i="42"/>
  <c r="D116" i="42"/>
  <c r="D98" i="42"/>
  <c r="D99" i="42"/>
  <c r="D93" i="42"/>
  <c r="D94" i="42"/>
  <c r="D76" i="42"/>
  <c r="D77" i="42"/>
  <c r="D71" i="42"/>
  <c r="D72" i="42"/>
  <c r="D54" i="42"/>
  <c r="D55" i="42"/>
  <c r="D49" i="42"/>
  <c r="D50" i="42"/>
  <c r="D27" i="42"/>
  <c r="D32" i="42"/>
  <c r="O34" i="37"/>
  <c r="J34" i="37"/>
  <c r="E34" i="37"/>
  <c r="E24" i="37"/>
  <c r="O15" i="37"/>
  <c r="J15" i="37"/>
  <c r="J13" i="37"/>
  <c r="O7" i="37"/>
  <c r="E7" i="37"/>
  <c r="E15" i="37"/>
  <c r="O5" i="37"/>
  <c r="O34" i="36"/>
  <c r="J34" i="36"/>
  <c r="E34" i="36"/>
  <c r="E24" i="36"/>
  <c r="J15" i="36"/>
  <c r="O13" i="36"/>
  <c r="J13" i="36"/>
  <c r="O7" i="36"/>
  <c r="O15" i="36"/>
  <c r="E7" i="36"/>
  <c r="E15" i="36"/>
  <c r="O5" i="36"/>
  <c r="O34" i="35"/>
  <c r="J34" i="35"/>
  <c r="E34" i="35"/>
  <c r="E24" i="35"/>
  <c r="O15" i="35"/>
  <c r="J15" i="35"/>
  <c r="J13" i="35"/>
  <c r="O7" i="35"/>
  <c r="E7" i="35"/>
  <c r="E15" i="35"/>
  <c r="O5" i="35"/>
  <c r="O13" i="35"/>
  <c r="O34" i="32"/>
  <c r="J34" i="32"/>
  <c r="E34" i="32"/>
  <c r="E24" i="32"/>
  <c r="O15" i="32"/>
  <c r="J15" i="32"/>
  <c r="J13" i="32"/>
  <c r="O7" i="32"/>
  <c r="E7" i="32"/>
  <c r="E15" i="32"/>
  <c r="O5" i="32"/>
  <c r="O34" i="31"/>
  <c r="J34" i="31"/>
  <c r="E34" i="31"/>
  <c r="E24" i="31"/>
  <c r="O15" i="31"/>
  <c r="J15" i="31"/>
  <c r="J13" i="31"/>
  <c r="O7" i="31"/>
  <c r="E7" i="31"/>
  <c r="E15" i="31"/>
  <c r="O5" i="31"/>
  <c r="O34" i="30"/>
  <c r="J34" i="30"/>
  <c r="E34" i="30"/>
  <c r="E24" i="30"/>
  <c r="O15" i="30"/>
  <c r="J15" i="30"/>
  <c r="J13" i="30"/>
  <c r="O7" i="30"/>
  <c r="E7" i="30"/>
  <c r="E15" i="30"/>
  <c r="O5" i="30"/>
  <c r="O13" i="30"/>
  <c r="O34" i="29"/>
  <c r="J34" i="29"/>
  <c r="E34" i="29"/>
  <c r="E24" i="29"/>
  <c r="J15" i="29"/>
  <c r="O13" i="29"/>
  <c r="J13" i="29"/>
  <c r="O7" i="29"/>
  <c r="O15" i="29"/>
  <c r="E7" i="29"/>
  <c r="E15" i="29"/>
  <c r="O5" i="29"/>
  <c r="O34" i="28"/>
  <c r="J34" i="28"/>
  <c r="E34" i="28"/>
  <c r="E24" i="28"/>
  <c r="O15" i="28"/>
  <c r="J15" i="28"/>
  <c r="J13" i="28"/>
  <c r="O7" i="28"/>
  <c r="E7" i="28"/>
  <c r="E15" i="28"/>
  <c r="O5" i="28"/>
  <c r="O13" i="28"/>
  <c r="O34" i="46"/>
  <c r="J34" i="46"/>
  <c r="E34" i="46"/>
  <c r="E24" i="46"/>
  <c r="O15" i="46"/>
  <c r="J15" i="46"/>
  <c r="J13" i="46"/>
  <c r="O7" i="46"/>
  <c r="E7" i="46"/>
  <c r="E15" i="46"/>
  <c r="O5" i="46"/>
  <c r="O13" i="46"/>
  <c r="O13" i="37"/>
  <c r="O13" i="32"/>
  <c r="O13" i="31"/>
  <c r="C18" i="43"/>
  <c r="A21" i="43"/>
  <c r="C21" i="43"/>
  <c r="C7" i="43"/>
  <c r="A10" i="43"/>
  <c r="C10" i="43"/>
  <c r="O5" i="25"/>
  <c r="O7" i="25"/>
  <c r="E24" i="25"/>
  <c r="E7" i="25"/>
  <c r="H12" i="24"/>
  <c r="H11" i="24"/>
  <c r="H10" i="24"/>
  <c r="H8" i="24"/>
  <c r="H7" i="24"/>
  <c r="H6" i="24"/>
  <c r="H4" i="24"/>
  <c r="H9" i="24"/>
  <c r="D28" i="42"/>
  <c r="H5" i="24"/>
  <c r="I12" i="24"/>
  <c r="I11" i="24"/>
  <c r="I10" i="24"/>
  <c r="I9" i="24"/>
  <c r="I8" i="24"/>
  <c r="I7" i="24"/>
  <c r="I6" i="24"/>
  <c r="D33" i="42"/>
  <c r="I5" i="24"/>
  <c r="D12" i="42"/>
  <c r="I4" i="24" s="1"/>
  <c r="E34" i="25"/>
  <c r="O34" i="25"/>
  <c r="J34" i="25"/>
  <c r="E15" i="25"/>
  <c r="O15" i="25"/>
  <c r="O13" i="25"/>
  <c r="J15" i="25"/>
  <c r="J13" i="25"/>
  <c r="I17" i="24" l="1"/>
  <c r="U12" i="45"/>
  <c r="U4" i="45"/>
  <c r="X150" i="45"/>
  <c r="U150" i="45"/>
  <c r="U134" i="45"/>
  <c r="X134" i="45"/>
  <c r="X100" i="45"/>
  <c r="U100" i="45"/>
  <c r="U82" i="45"/>
  <c r="X82" i="45"/>
  <c r="U64" i="45"/>
  <c r="X64" i="45"/>
  <c r="U115" i="45"/>
  <c r="X115" i="45"/>
  <c r="AA52" i="45"/>
  <c r="U52" i="45"/>
  <c r="X52" i="45"/>
  <c r="AA28" i="45"/>
  <c r="U28" i="45"/>
  <c r="X28" i="45"/>
  <c r="AA42" i="45"/>
  <c r="X42" i="45"/>
  <c r="U42" i="45"/>
  <c r="AA34" i="45"/>
  <c r="X34" i="45"/>
  <c r="U34" i="45"/>
  <c r="X141" i="45"/>
  <c r="U141" i="45"/>
  <c r="X133" i="45"/>
  <c r="U133" i="45"/>
  <c r="X99" i="45"/>
  <c r="U99" i="45"/>
  <c r="X81" i="45"/>
  <c r="U81" i="45"/>
  <c r="X63" i="45"/>
  <c r="U63" i="45"/>
  <c r="X114" i="45"/>
  <c r="U114" i="45"/>
  <c r="AA51" i="45"/>
  <c r="X51" i="45"/>
  <c r="U51" i="45"/>
  <c r="U41" i="45"/>
  <c r="X41" i="45"/>
  <c r="W94" i="45"/>
  <c r="T94" i="45"/>
  <c r="U148" i="45"/>
  <c r="X148" i="45"/>
  <c r="AA132" i="45"/>
  <c r="X132" i="45"/>
  <c r="U132" i="45"/>
  <c r="AA124" i="45"/>
  <c r="U124" i="45"/>
  <c r="X124" i="45"/>
  <c r="X98" i="45"/>
  <c r="U98" i="45"/>
  <c r="AA88" i="45"/>
  <c r="X88" i="45"/>
  <c r="U88" i="45"/>
  <c r="X80" i="45"/>
  <c r="U80" i="45"/>
  <c r="X70" i="45"/>
  <c r="U70" i="45"/>
  <c r="U121" i="45"/>
  <c r="X121" i="45"/>
  <c r="AA113" i="45"/>
  <c r="X113" i="45"/>
  <c r="U113" i="45"/>
  <c r="AA58" i="45"/>
  <c r="U58" i="45"/>
  <c r="X58" i="45"/>
  <c r="X50" i="45"/>
  <c r="U50" i="45"/>
  <c r="U26" i="45"/>
  <c r="X26" i="45"/>
  <c r="X40" i="45"/>
  <c r="U40" i="45"/>
  <c r="Z20" i="45"/>
  <c r="W20" i="45"/>
  <c r="T20" i="45"/>
  <c r="Z28" i="45"/>
  <c r="T28" i="45"/>
  <c r="V28" i="45" s="1"/>
  <c r="W28" i="45"/>
  <c r="Y28" i="45" s="1"/>
  <c r="Z38" i="45"/>
  <c r="W38" i="45"/>
  <c r="T38" i="45"/>
  <c r="Z46" i="45"/>
  <c r="W46" i="45"/>
  <c r="T46" i="45"/>
  <c r="Z56" i="45"/>
  <c r="T56" i="45"/>
  <c r="W56" i="45"/>
  <c r="Z66" i="45"/>
  <c r="T66" i="45"/>
  <c r="W66" i="45"/>
  <c r="Z74" i="45"/>
  <c r="T74" i="45"/>
  <c r="W74" i="45"/>
  <c r="Z84" i="45"/>
  <c r="T84" i="45"/>
  <c r="W84" i="45"/>
  <c r="Z102" i="45"/>
  <c r="W102" i="45"/>
  <c r="T102" i="45"/>
  <c r="T112" i="45"/>
  <c r="W112" i="45"/>
  <c r="Z120" i="45"/>
  <c r="W120" i="45"/>
  <c r="T120" i="45"/>
  <c r="Z130" i="45"/>
  <c r="W130" i="45"/>
  <c r="T130" i="45"/>
  <c r="T140" i="45"/>
  <c r="W140" i="45"/>
  <c r="Z148" i="45"/>
  <c r="T148" i="45"/>
  <c r="V148" i="45" s="1"/>
  <c r="W148" i="45"/>
  <c r="Z175" i="45"/>
  <c r="T175" i="45"/>
  <c r="W175" i="45"/>
  <c r="Z185" i="45"/>
  <c r="W185" i="45"/>
  <c r="T185" i="45"/>
  <c r="Z203" i="45"/>
  <c r="W203" i="45"/>
  <c r="T203" i="45"/>
  <c r="Z211" i="45"/>
  <c r="W211" i="45"/>
  <c r="T211" i="45"/>
  <c r="Z219" i="45"/>
  <c r="W219" i="45"/>
  <c r="T219" i="45"/>
  <c r="AA215" i="45"/>
  <c r="U215" i="45"/>
  <c r="X215" i="45"/>
  <c r="AA207" i="45"/>
  <c r="X207" i="45"/>
  <c r="U207" i="45"/>
  <c r="AA179" i="45"/>
  <c r="X179" i="45"/>
  <c r="U179" i="45"/>
  <c r="AA187" i="45"/>
  <c r="U187" i="45"/>
  <c r="X187" i="45"/>
  <c r="AA195" i="45"/>
  <c r="U195" i="45"/>
  <c r="X195" i="45"/>
  <c r="AA161" i="45"/>
  <c r="X161" i="45"/>
  <c r="U161" i="45"/>
  <c r="AA169" i="45"/>
  <c r="U169" i="45"/>
  <c r="X169" i="45"/>
  <c r="Z21" i="45"/>
  <c r="W21" i="45"/>
  <c r="T21" i="45"/>
  <c r="Z39" i="45"/>
  <c r="W39" i="45"/>
  <c r="T39" i="45"/>
  <c r="Z57" i="45"/>
  <c r="T57" i="45"/>
  <c r="W57" i="45"/>
  <c r="Z85" i="45"/>
  <c r="T85" i="45"/>
  <c r="W85" i="45"/>
  <c r="Z103" i="45"/>
  <c r="W103" i="45"/>
  <c r="T103" i="45"/>
  <c r="Z113" i="45"/>
  <c r="T113" i="45"/>
  <c r="W113" i="45"/>
  <c r="Z121" i="45"/>
  <c r="W121" i="45"/>
  <c r="T121" i="45"/>
  <c r="W141" i="45"/>
  <c r="T141" i="45"/>
  <c r="Z167" i="45"/>
  <c r="W167" i="45"/>
  <c r="T167" i="45"/>
  <c r="Z206" i="45"/>
  <c r="W206" i="45"/>
  <c r="T206" i="45"/>
  <c r="Z214" i="45"/>
  <c r="T214" i="45"/>
  <c r="W214" i="45"/>
  <c r="Y214" i="45" s="1"/>
  <c r="AA214" i="45"/>
  <c r="U214" i="45"/>
  <c r="X214" i="45"/>
  <c r="AA206" i="45"/>
  <c r="U206" i="45"/>
  <c r="X206" i="45"/>
  <c r="AA180" i="45"/>
  <c r="X180" i="45"/>
  <c r="U180" i="45"/>
  <c r="AA188" i="45"/>
  <c r="U188" i="45"/>
  <c r="X188" i="45"/>
  <c r="AA196" i="45"/>
  <c r="X196" i="45"/>
  <c r="U196" i="45"/>
  <c r="AA162" i="45"/>
  <c r="U162" i="45"/>
  <c r="X162" i="45"/>
  <c r="AA170" i="45"/>
  <c r="U170" i="45"/>
  <c r="X170" i="45"/>
  <c r="X143" i="45"/>
  <c r="U143" i="45"/>
  <c r="AA147" i="45"/>
  <c r="U147" i="45"/>
  <c r="X147" i="45"/>
  <c r="AA97" i="45"/>
  <c r="U97" i="45"/>
  <c r="X97" i="45"/>
  <c r="X79" i="45"/>
  <c r="U79" i="45"/>
  <c r="AA112" i="45"/>
  <c r="X112" i="45"/>
  <c r="U112" i="45"/>
  <c r="X39" i="45"/>
  <c r="U39" i="45"/>
  <c r="Z29" i="45"/>
  <c r="W29" i="45"/>
  <c r="T29" i="45"/>
  <c r="T49" i="45"/>
  <c r="W49" i="45"/>
  <c r="Z95" i="45"/>
  <c r="W95" i="45"/>
  <c r="T95" i="45"/>
  <c r="Z131" i="45"/>
  <c r="T131" i="45"/>
  <c r="W131" i="45"/>
  <c r="U146" i="45"/>
  <c r="X146" i="45"/>
  <c r="U130" i="45"/>
  <c r="X130" i="45"/>
  <c r="AA104" i="45"/>
  <c r="X104" i="45"/>
  <c r="U104" i="45"/>
  <c r="U96" i="45"/>
  <c r="X96" i="45"/>
  <c r="X86" i="45"/>
  <c r="U86" i="45"/>
  <c r="U78" i="45"/>
  <c r="X78" i="45"/>
  <c r="AA68" i="45"/>
  <c r="X68" i="45"/>
  <c r="U68" i="45"/>
  <c r="AA119" i="45"/>
  <c r="U119" i="45"/>
  <c r="X119" i="45"/>
  <c r="U111" i="45"/>
  <c r="X111" i="45"/>
  <c r="X56" i="45"/>
  <c r="U56" i="45"/>
  <c r="U24" i="45"/>
  <c r="X24" i="45"/>
  <c r="X46" i="45"/>
  <c r="U46" i="45"/>
  <c r="U38" i="45"/>
  <c r="X38" i="45"/>
  <c r="T4" i="45"/>
  <c r="Z22" i="45"/>
  <c r="T22" i="45"/>
  <c r="W22" i="45"/>
  <c r="T30" i="45"/>
  <c r="W30" i="45"/>
  <c r="Z40" i="45"/>
  <c r="T40" i="45"/>
  <c r="V40" i="45" s="1"/>
  <c r="W40" i="45"/>
  <c r="Z50" i="45"/>
  <c r="W50" i="45"/>
  <c r="Y50" i="45" s="1"/>
  <c r="T50" i="45"/>
  <c r="Z58" i="45"/>
  <c r="W58" i="45"/>
  <c r="T58" i="45"/>
  <c r="V58" i="45" s="1"/>
  <c r="T68" i="45"/>
  <c r="W68" i="45"/>
  <c r="Z78" i="45"/>
  <c r="W78" i="45"/>
  <c r="T78" i="45"/>
  <c r="Z86" i="45"/>
  <c r="W86" i="45"/>
  <c r="T86" i="45"/>
  <c r="Z96" i="45"/>
  <c r="T96" i="45"/>
  <c r="W96" i="45"/>
  <c r="Z104" i="45"/>
  <c r="W104" i="45"/>
  <c r="Y104" i="45" s="1"/>
  <c r="T104" i="45"/>
  <c r="V104" i="45" s="1"/>
  <c r="Z114" i="45"/>
  <c r="T114" i="45"/>
  <c r="V114" i="45" s="1"/>
  <c r="W114" i="45"/>
  <c r="Y114" i="45" s="1"/>
  <c r="W124" i="45"/>
  <c r="T124" i="45"/>
  <c r="T132" i="45"/>
  <c r="W132" i="45"/>
  <c r="Y132" i="45" s="1"/>
  <c r="Z142" i="45"/>
  <c r="W142" i="45"/>
  <c r="T142" i="45"/>
  <c r="Z150" i="45"/>
  <c r="W150" i="45"/>
  <c r="T150" i="45"/>
  <c r="V150" i="45" s="1"/>
  <c r="Z183" i="45"/>
  <c r="T183" i="45"/>
  <c r="W183" i="45"/>
  <c r="Z191" i="45"/>
  <c r="W191" i="45"/>
  <c r="T191" i="45"/>
  <c r="Z201" i="45"/>
  <c r="W201" i="45"/>
  <c r="T201" i="45"/>
  <c r="Z209" i="45"/>
  <c r="T209" i="45"/>
  <c r="W209" i="45"/>
  <c r="Z217" i="45"/>
  <c r="T217" i="45"/>
  <c r="W217" i="45"/>
  <c r="AA213" i="45"/>
  <c r="X213" i="45"/>
  <c r="U213" i="45"/>
  <c r="AA205" i="45"/>
  <c r="X205" i="45"/>
  <c r="U205" i="45"/>
  <c r="AA181" i="45"/>
  <c r="X181" i="45"/>
  <c r="U181" i="45"/>
  <c r="AA189" i="45"/>
  <c r="X189" i="45"/>
  <c r="U189" i="45"/>
  <c r="AA197" i="45"/>
  <c r="X197" i="45"/>
  <c r="U197" i="45"/>
  <c r="AA163" i="45"/>
  <c r="X163" i="45"/>
  <c r="U163" i="45"/>
  <c r="AA171" i="45"/>
  <c r="X171" i="45"/>
  <c r="U171" i="45"/>
  <c r="AA135" i="45"/>
  <c r="U135" i="45"/>
  <c r="X135" i="45"/>
  <c r="W149" i="45"/>
  <c r="T149" i="45"/>
  <c r="X105" i="45"/>
  <c r="U105" i="45"/>
  <c r="X87" i="45"/>
  <c r="U87" i="45"/>
  <c r="U120" i="45"/>
  <c r="X120" i="45"/>
  <c r="X57" i="45"/>
  <c r="U57" i="45"/>
  <c r="X25" i="45"/>
  <c r="U25" i="45"/>
  <c r="Z67" i="45"/>
  <c r="W67" i="45"/>
  <c r="T67" i="45"/>
  <c r="AA145" i="45"/>
  <c r="X145" i="45"/>
  <c r="U145" i="45"/>
  <c r="X103" i="45"/>
  <c r="U103" i="45"/>
  <c r="X85" i="45"/>
  <c r="U85" i="45"/>
  <c r="U67" i="45"/>
  <c r="X67" i="45"/>
  <c r="U110" i="45"/>
  <c r="X110" i="45"/>
  <c r="X45" i="45"/>
  <c r="U45" i="45"/>
  <c r="Z23" i="45"/>
  <c r="W23" i="45"/>
  <c r="T23" i="45"/>
  <c r="Z31" i="45"/>
  <c r="W31" i="45"/>
  <c r="T31" i="45"/>
  <c r="Z41" i="45"/>
  <c r="T41" i="45"/>
  <c r="V41" i="45" s="1"/>
  <c r="W41" i="45"/>
  <c r="Y41" i="45" s="1"/>
  <c r="Z51" i="45"/>
  <c r="W51" i="45"/>
  <c r="T51" i="45"/>
  <c r="Z59" i="45"/>
  <c r="W59" i="45"/>
  <c r="T59" i="45"/>
  <c r="Z69" i="45"/>
  <c r="W69" i="45"/>
  <c r="T69" i="45"/>
  <c r="T79" i="45"/>
  <c r="W79" i="45"/>
  <c r="Z87" i="45"/>
  <c r="W87" i="45"/>
  <c r="T87" i="45"/>
  <c r="T97" i="45"/>
  <c r="W97" i="45"/>
  <c r="Y97" i="45" s="1"/>
  <c r="Z105" i="45"/>
  <c r="W105" i="45"/>
  <c r="T105" i="45"/>
  <c r="W115" i="45"/>
  <c r="T115" i="45"/>
  <c r="V115" i="45" s="1"/>
  <c r="Z125" i="45"/>
  <c r="T125" i="45"/>
  <c r="W125" i="45"/>
  <c r="Z133" i="45"/>
  <c r="W133" i="45"/>
  <c r="T133" i="45"/>
  <c r="V133" i="45" s="1"/>
  <c r="Z143" i="45"/>
  <c r="W143" i="45"/>
  <c r="T143" i="45"/>
  <c r="Z151" i="45"/>
  <c r="W151" i="45"/>
  <c r="T151" i="45"/>
  <c r="Z186" i="45"/>
  <c r="W186" i="45"/>
  <c r="T186" i="45"/>
  <c r="Z204" i="45"/>
  <c r="W204" i="45"/>
  <c r="Y204" i="45" s="1"/>
  <c r="T204" i="45"/>
  <c r="Z212" i="45"/>
  <c r="W212" i="45"/>
  <c r="T212" i="45"/>
  <c r="AA200" i="45"/>
  <c r="X200" i="45"/>
  <c r="U200" i="45"/>
  <c r="AA212" i="45"/>
  <c r="U212" i="45"/>
  <c r="X212" i="45"/>
  <c r="AA204" i="45"/>
  <c r="U204" i="45"/>
  <c r="X204" i="45"/>
  <c r="AA182" i="45"/>
  <c r="U182" i="45"/>
  <c r="X182" i="45"/>
  <c r="AA190" i="45"/>
  <c r="X190" i="45"/>
  <c r="U190" i="45"/>
  <c r="AA156" i="45"/>
  <c r="X156" i="45"/>
  <c r="U156" i="45"/>
  <c r="AA164" i="45"/>
  <c r="U164" i="45"/>
  <c r="X164" i="45"/>
  <c r="AA172" i="45"/>
  <c r="U172" i="45"/>
  <c r="X172" i="45"/>
  <c r="X131" i="45"/>
  <c r="U131" i="45"/>
  <c r="U69" i="45"/>
  <c r="X69" i="45"/>
  <c r="Y69" i="45" s="1"/>
  <c r="X49" i="45"/>
  <c r="U49" i="45"/>
  <c r="Z75" i="45"/>
  <c r="T75" i="45"/>
  <c r="W75" i="45"/>
  <c r="X140" i="45"/>
  <c r="U140" i="45"/>
  <c r="U137" i="45"/>
  <c r="X137" i="45"/>
  <c r="AA129" i="45"/>
  <c r="U129" i="45"/>
  <c r="X129" i="45"/>
  <c r="U95" i="45"/>
  <c r="X95" i="45"/>
  <c r="U75" i="45"/>
  <c r="X75" i="45"/>
  <c r="U118" i="45"/>
  <c r="X118" i="45"/>
  <c r="U55" i="45"/>
  <c r="X55" i="45"/>
  <c r="AA31" i="45"/>
  <c r="X31" i="45"/>
  <c r="U31" i="45"/>
  <c r="AA23" i="45"/>
  <c r="U23" i="45"/>
  <c r="X23" i="45"/>
  <c r="X37" i="45"/>
  <c r="U37" i="45"/>
  <c r="AA152" i="45"/>
  <c r="U152" i="45"/>
  <c r="X152" i="45"/>
  <c r="X144" i="45"/>
  <c r="U144" i="45"/>
  <c r="AA136" i="45"/>
  <c r="U136" i="45"/>
  <c r="X136" i="45"/>
  <c r="X128" i="45"/>
  <c r="U128" i="45"/>
  <c r="X102" i="45"/>
  <c r="U102" i="45"/>
  <c r="AA94" i="45"/>
  <c r="U94" i="45"/>
  <c r="X94" i="45"/>
  <c r="X84" i="45"/>
  <c r="Y84" i="45" s="1"/>
  <c r="U84" i="45"/>
  <c r="V84" i="45" s="1"/>
  <c r="U74" i="45"/>
  <c r="X74" i="45"/>
  <c r="X66" i="45"/>
  <c r="Y66" i="45" s="1"/>
  <c r="U66" i="45"/>
  <c r="X117" i="45"/>
  <c r="U117" i="45"/>
  <c r="U109" i="45"/>
  <c r="X109" i="45"/>
  <c r="X54" i="45"/>
  <c r="U54" i="45"/>
  <c r="X30" i="45"/>
  <c r="U30" i="45"/>
  <c r="V30" i="45" s="1"/>
  <c r="AA22" i="45"/>
  <c r="X22" i="45"/>
  <c r="U22" i="45"/>
  <c r="X44" i="45"/>
  <c r="U44" i="45"/>
  <c r="AA36" i="45"/>
  <c r="X36" i="45"/>
  <c r="U36" i="45"/>
  <c r="Z24" i="45"/>
  <c r="W24" i="45"/>
  <c r="T24" i="45"/>
  <c r="Z34" i="45"/>
  <c r="T34" i="45"/>
  <c r="W34" i="45"/>
  <c r="W42" i="45"/>
  <c r="Y42" i="45" s="1"/>
  <c r="T42" i="45"/>
  <c r="V42" i="45" s="1"/>
  <c r="Z52" i="45"/>
  <c r="T52" i="45"/>
  <c r="W52" i="45"/>
  <c r="Y52" i="45" s="1"/>
  <c r="Z60" i="45"/>
  <c r="W60" i="45"/>
  <c r="T60" i="45"/>
  <c r="V60" i="45" s="1"/>
  <c r="Z70" i="45"/>
  <c r="W70" i="45"/>
  <c r="Y70" i="45" s="1"/>
  <c r="T70" i="45"/>
  <c r="V70" i="45" s="1"/>
  <c r="Z80" i="45"/>
  <c r="T80" i="45"/>
  <c r="V80" i="45" s="1"/>
  <c r="W80" i="45"/>
  <c r="Y80" i="45" s="1"/>
  <c r="Z88" i="45"/>
  <c r="W88" i="45"/>
  <c r="Y88" i="45" s="1"/>
  <c r="T88" i="45"/>
  <c r="V88" i="45" s="1"/>
  <c r="Z98" i="45"/>
  <c r="T98" i="45"/>
  <c r="V98" i="45" s="1"/>
  <c r="W98" i="45"/>
  <c r="Y98" i="45" s="1"/>
  <c r="Z108" i="45"/>
  <c r="W108" i="45"/>
  <c r="T108" i="45"/>
  <c r="Z116" i="45"/>
  <c r="W116" i="45"/>
  <c r="T116" i="45"/>
  <c r="V116" i="45" s="1"/>
  <c r="Z126" i="45"/>
  <c r="T126" i="45"/>
  <c r="W126" i="45"/>
  <c r="Z134" i="45"/>
  <c r="T134" i="45"/>
  <c r="V134" i="45" s="1"/>
  <c r="W134" i="45"/>
  <c r="Y134" i="45" s="1"/>
  <c r="W144" i="45"/>
  <c r="Y144" i="45" s="1"/>
  <c r="T144" i="45"/>
  <c r="W152" i="45"/>
  <c r="T152" i="45"/>
  <c r="Z207" i="45"/>
  <c r="W207" i="45"/>
  <c r="T207" i="45"/>
  <c r="Z215" i="45"/>
  <c r="T215" i="45"/>
  <c r="V215" i="45" s="1"/>
  <c r="W215" i="45"/>
  <c r="Y215" i="45" s="1"/>
  <c r="AA219" i="45"/>
  <c r="U219" i="45"/>
  <c r="X219" i="45"/>
  <c r="AA211" i="45"/>
  <c r="X211" i="45"/>
  <c r="U211" i="45"/>
  <c r="AA203" i="45"/>
  <c r="U203" i="45"/>
  <c r="V203" i="45" s="1"/>
  <c r="X203" i="45"/>
  <c r="AA183" i="45"/>
  <c r="X183" i="45"/>
  <c r="U183" i="45"/>
  <c r="AA191" i="45"/>
  <c r="X191" i="45"/>
  <c r="U191" i="45"/>
  <c r="AA157" i="45"/>
  <c r="X157" i="45"/>
  <c r="U157" i="45"/>
  <c r="AA165" i="45"/>
  <c r="U165" i="45"/>
  <c r="X165" i="45"/>
  <c r="AA173" i="45"/>
  <c r="X173" i="45"/>
  <c r="U173" i="45"/>
  <c r="X127" i="45"/>
  <c r="U127" i="45"/>
  <c r="X83" i="45"/>
  <c r="U83" i="45"/>
  <c r="U116" i="45"/>
  <c r="X116" i="45"/>
  <c r="X43" i="45"/>
  <c r="U43" i="45"/>
  <c r="Z25" i="45"/>
  <c r="W25" i="45"/>
  <c r="T25" i="45"/>
  <c r="Z35" i="45"/>
  <c r="W35" i="45"/>
  <c r="T35" i="45"/>
  <c r="T43" i="45"/>
  <c r="W43" i="45"/>
  <c r="T53" i="45"/>
  <c r="W53" i="45"/>
  <c r="Z63" i="45"/>
  <c r="T63" i="45"/>
  <c r="W63" i="45"/>
  <c r="Z71" i="45"/>
  <c r="W71" i="45"/>
  <c r="T71" i="45"/>
  <c r="W81" i="45"/>
  <c r="T81" i="45"/>
  <c r="Z89" i="45"/>
  <c r="W89" i="45"/>
  <c r="T89" i="45"/>
  <c r="Z99" i="45"/>
  <c r="W99" i="45"/>
  <c r="T99" i="45"/>
  <c r="Z109" i="45"/>
  <c r="T109" i="45"/>
  <c r="W109" i="45"/>
  <c r="Z117" i="45"/>
  <c r="W117" i="45"/>
  <c r="T117" i="45"/>
  <c r="V117" i="45" s="1"/>
  <c r="T127" i="45"/>
  <c r="V127" i="45" s="1"/>
  <c r="W127" i="45"/>
  <c r="Y127" i="45" s="1"/>
  <c r="W135" i="45"/>
  <c r="Y135" i="45" s="1"/>
  <c r="T135" i="45"/>
  <c r="V135" i="45" s="1"/>
  <c r="Z145" i="45"/>
  <c r="W145" i="45"/>
  <c r="T145" i="45"/>
  <c r="U153" i="45"/>
  <c r="X153" i="45"/>
  <c r="Z156" i="45"/>
  <c r="T156" i="45"/>
  <c r="W156" i="45"/>
  <c r="Z184" i="45"/>
  <c r="W184" i="45"/>
  <c r="T184" i="45"/>
  <c r="Z202" i="45"/>
  <c r="W202" i="45"/>
  <c r="T202" i="45"/>
  <c r="Z210" i="45"/>
  <c r="T210" i="45"/>
  <c r="V210" i="45" s="1"/>
  <c r="W210" i="45"/>
  <c r="Z218" i="45"/>
  <c r="W218" i="45"/>
  <c r="T218" i="45"/>
  <c r="V218" i="45" s="1"/>
  <c r="AA218" i="45"/>
  <c r="U218" i="45"/>
  <c r="X218" i="45"/>
  <c r="AA210" i="45"/>
  <c r="U210" i="45"/>
  <c r="X210" i="45"/>
  <c r="AA202" i="45"/>
  <c r="X202" i="45"/>
  <c r="U202" i="45"/>
  <c r="AA184" i="45"/>
  <c r="X184" i="45"/>
  <c r="U184" i="45"/>
  <c r="AA192" i="45"/>
  <c r="U192" i="45"/>
  <c r="X192" i="45"/>
  <c r="AA158" i="45"/>
  <c r="X158" i="45"/>
  <c r="U158" i="45"/>
  <c r="AA166" i="45"/>
  <c r="U166" i="45"/>
  <c r="X166" i="45"/>
  <c r="AA174" i="45"/>
  <c r="U174" i="45"/>
  <c r="X174" i="45"/>
  <c r="Z26" i="45"/>
  <c r="W26" i="45"/>
  <c r="T26" i="45"/>
  <c r="V26" i="45" s="1"/>
  <c r="Z36" i="45"/>
  <c r="W36" i="45"/>
  <c r="T36" i="45"/>
  <c r="Z44" i="45"/>
  <c r="W44" i="45"/>
  <c r="Y44" i="45" s="1"/>
  <c r="T44" i="45"/>
  <c r="V44" i="45" s="1"/>
  <c r="T54" i="45"/>
  <c r="W54" i="45"/>
  <c r="Z64" i="45"/>
  <c r="W64" i="45"/>
  <c r="T64" i="45"/>
  <c r="Z72" i="45"/>
  <c r="W72" i="45"/>
  <c r="Y72" i="45" s="1"/>
  <c r="T72" i="45"/>
  <c r="Z82" i="45"/>
  <c r="T82" i="45"/>
  <c r="V82" i="45" s="1"/>
  <c r="W82" i="45"/>
  <c r="Z90" i="45"/>
  <c r="W90" i="45"/>
  <c r="T90" i="45"/>
  <c r="Z100" i="45"/>
  <c r="W100" i="45"/>
  <c r="Y100" i="45" s="1"/>
  <c r="T100" i="45"/>
  <c r="W110" i="45"/>
  <c r="T110" i="45"/>
  <c r="V110" i="45" s="1"/>
  <c r="Z118" i="45"/>
  <c r="T118" i="45"/>
  <c r="W118" i="45"/>
  <c r="Y118" i="45" s="1"/>
  <c r="Z128" i="45"/>
  <c r="W128" i="45"/>
  <c r="Y128" i="45" s="1"/>
  <c r="T128" i="45"/>
  <c r="V128" i="45" s="1"/>
  <c r="Z136" i="45"/>
  <c r="T136" i="45"/>
  <c r="W136" i="45"/>
  <c r="Y136" i="45" s="1"/>
  <c r="W146" i="45"/>
  <c r="T146" i="45"/>
  <c r="Z187" i="45"/>
  <c r="T187" i="45"/>
  <c r="V187" i="45" s="1"/>
  <c r="W187" i="45"/>
  <c r="Z205" i="45"/>
  <c r="W205" i="45"/>
  <c r="Y205" i="45" s="1"/>
  <c r="T205" i="45"/>
  <c r="V205" i="45" s="1"/>
  <c r="Z213" i="45"/>
  <c r="W213" i="45"/>
  <c r="T213" i="45"/>
  <c r="AA217" i="45"/>
  <c r="U217" i="45"/>
  <c r="X217" i="45"/>
  <c r="AA209" i="45"/>
  <c r="X209" i="45"/>
  <c r="U209" i="45"/>
  <c r="AA201" i="45"/>
  <c r="X201" i="45"/>
  <c r="U201" i="45"/>
  <c r="AA185" i="45"/>
  <c r="U185" i="45"/>
  <c r="X185" i="45"/>
  <c r="AA193" i="45"/>
  <c r="U193" i="45"/>
  <c r="X193" i="45"/>
  <c r="AA159" i="45"/>
  <c r="X159" i="45"/>
  <c r="U159" i="45"/>
  <c r="AA167" i="45"/>
  <c r="X167" i="45"/>
  <c r="U167" i="45"/>
  <c r="AA175" i="45"/>
  <c r="X175" i="45"/>
  <c r="U175" i="45"/>
  <c r="U151" i="45"/>
  <c r="X151" i="45"/>
  <c r="U101" i="45"/>
  <c r="X101" i="45"/>
  <c r="AA93" i="45"/>
  <c r="U93" i="45"/>
  <c r="X93" i="45"/>
  <c r="U73" i="45"/>
  <c r="X73" i="45"/>
  <c r="U65" i="45"/>
  <c r="X65" i="45"/>
  <c r="U108" i="45"/>
  <c r="X108" i="45"/>
  <c r="X53" i="45"/>
  <c r="U53" i="45"/>
  <c r="X29" i="45"/>
  <c r="U29" i="45"/>
  <c r="AA21" i="45"/>
  <c r="X21" i="45"/>
  <c r="U21" i="45"/>
  <c r="X35" i="45"/>
  <c r="U35" i="45"/>
  <c r="X142" i="45"/>
  <c r="U142" i="45"/>
  <c r="U126" i="45"/>
  <c r="X126" i="45"/>
  <c r="U90" i="45"/>
  <c r="X90" i="45"/>
  <c r="U72" i="45"/>
  <c r="X72" i="45"/>
  <c r="U60" i="45"/>
  <c r="X60" i="45"/>
  <c r="AA20" i="45"/>
  <c r="X20" i="45"/>
  <c r="U20" i="45"/>
  <c r="X149" i="45"/>
  <c r="U149" i="45"/>
  <c r="U125" i="45"/>
  <c r="X125" i="45"/>
  <c r="U89" i="45"/>
  <c r="X89" i="45"/>
  <c r="AA71" i="45"/>
  <c r="X71" i="45"/>
  <c r="U71" i="45"/>
  <c r="X59" i="45"/>
  <c r="U59" i="45"/>
  <c r="X27" i="45"/>
  <c r="U27" i="45"/>
  <c r="X19" i="45"/>
  <c r="U19" i="45"/>
  <c r="U9" i="45"/>
  <c r="Z19" i="45"/>
  <c r="W19" i="45"/>
  <c r="T19" i="45"/>
  <c r="Z27" i="45"/>
  <c r="T27" i="45"/>
  <c r="V27" i="45" s="1"/>
  <c r="W27" i="45"/>
  <c r="W37" i="45"/>
  <c r="Y37" i="45" s="1"/>
  <c r="T37" i="45"/>
  <c r="V37" i="45" s="1"/>
  <c r="Z45" i="45"/>
  <c r="T45" i="45"/>
  <c r="W45" i="45"/>
  <c r="W65" i="45"/>
  <c r="T65" i="45"/>
  <c r="V65" i="45" s="1"/>
  <c r="T73" i="45"/>
  <c r="W73" i="45"/>
  <c r="Z83" i="45"/>
  <c r="T83" i="45"/>
  <c r="V83" i="45" s="1"/>
  <c r="W83" i="45"/>
  <c r="Y83" i="45" s="1"/>
  <c r="Z93" i="45"/>
  <c r="W93" i="45"/>
  <c r="T93" i="45"/>
  <c r="Z101" i="45"/>
  <c r="W101" i="45"/>
  <c r="Y101" i="45" s="1"/>
  <c r="T101" i="45"/>
  <c r="V101" i="45" s="1"/>
  <c r="W111" i="45"/>
  <c r="Y111" i="45" s="1"/>
  <c r="T111" i="45"/>
  <c r="V111" i="45" s="1"/>
  <c r="Z119" i="45"/>
  <c r="W119" i="45"/>
  <c r="Y119" i="45" s="1"/>
  <c r="T119" i="45"/>
  <c r="Z129" i="45"/>
  <c r="W129" i="45"/>
  <c r="Y129" i="45" s="1"/>
  <c r="T129" i="45"/>
  <c r="V129" i="45" s="1"/>
  <c r="Z137" i="45"/>
  <c r="T137" i="45"/>
  <c r="W137" i="45"/>
  <c r="T147" i="45"/>
  <c r="W147" i="45"/>
  <c r="Y147" i="45" s="1"/>
  <c r="Z182" i="45"/>
  <c r="W182" i="45"/>
  <c r="T182" i="45"/>
  <c r="Z200" i="45"/>
  <c r="W200" i="45"/>
  <c r="T200" i="45"/>
  <c r="Z208" i="45"/>
  <c r="T208" i="45"/>
  <c r="W208" i="45"/>
  <c r="Y208" i="45" s="1"/>
  <c r="Z216" i="45"/>
  <c r="W216" i="45"/>
  <c r="T216" i="45"/>
  <c r="V216" i="45" s="1"/>
  <c r="AA216" i="45"/>
  <c r="X216" i="45"/>
  <c r="U216" i="45"/>
  <c r="AA208" i="45"/>
  <c r="U208" i="45"/>
  <c r="X208" i="45"/>
  <c r="AA178" i="45"/>
  <c r="X178" i="45"/>
  <c r="U178" i="45"/>
  <c r="AA186" i="45"/>
  <c r="U186" i="45"/>
  <c r="V186" i="45" s="1"/>
  <c r="X186" i="45"/>
  <c r="AA194" i="45"/>
  <c r="X194" i="45"/>
  <c r="U194" i="45"/>
  <c r="AA160" i="45"/>
  <c r="U160" i="45"/>
  <c r="X160" i="45"/>
  <c r="AA168" i="45"/>
  <c r="U168" i="45"/>
  <c r="X168" i="45"/>
  <c r="U14" i="45"/>
  <c r="T11" i="45"/>
  <c r="Z12" i="45"/>
  <c r="T12" i="45"/>
  <c r="V12" i="45" s="1"/>
  <c r="Z10" i="45"/>
  <c r="T10" i="45"/>
  <c r="V10" i="45" s="1"/>
  <c r="AA6" i="45"/>
  <c r="U6" i="45"/>
  <c r="V4" i="45"/>
  <c r="Q4" i="45"/>
  <c r="Z9" i="45"/>
  <c r="T9" i="45"/>
  <c r="V9" i="45" s="1"/>
  <c r="U13" i="45"/>
  <c r="AA5" i="45"/>
  <c r="U5" i="45"/>
  <c r="U17" i="45" s="1"/>
  <c r="AK18" i="45" s="1"/>
  <c r="Z16" i="45"/>
  <c r="T16" i="45"/>
  <c r="V16" i="45" s="1"/>
  <c r="Z8" i="45"/>
  <c r="T8" i="45"/>
  <c r="V8" i="45" s="1"/>
  <c r="Z15" i="45"/>
  <c r="T15" i="45"/>
  <c r="V15" i="45" s="1"/>
  <c r="Z7" i="45"/>
  <c r="T7" i="45"/>
  <c r="V7" i="45" s="1"/>
  <c r="U11" i="45"/>
  <c r="Z14" i="45"/>
  <c r="T14" i="45"/>
  <c r="Z6" i="45"/>
  <c r="T6" i="45"/>
  <c r="Z13" i="45"/>
  <c r="T13" i="45"/>
  <c r="Z5" i="45"/>
  <c r="T5" i="45"/>
  <c r="Z11" i="45"/>
  <c r="Q11" i="45"/>
  <c r="Q94" i="45"/>
  <c r="Z94" i="45"/>
  <c r="AA148" i="45"/>
  <c r="AA98" i="45"/>
  <c r="AA80" i="45"/>
  <c r="AA70" i="45"/>
  <c r="AA121" i="45"/>
  <c r="AA50" i="45"/>
  <c r="AA26" i="45"/>
  <c r="AA40" i="45"/>
  <c r="X8" i="45"/>
  <c r="AA8" i="45"/>
  <c r="X14" i="45"/>
  <c r="AA14" i="45"/>
  <c r="Z112" i="45"/>
  <c r="AA149" i="45"/>
  <c r="AA63" i="45"/>
  <c r="Z65" i="45"/>
  <c r="Q111" i="45"/>
  <c r="Z111" i="45"/>
  <c r="Z147" i="45"/>
  <c r="Z149" i="45"/>
  <c r="AA79" i="45"/>
  <c r="AA57" i="45"/>
  <c r="AA25" i="45"/>
  <c r="AA39" i="45"/>
  <c r="Z49" i="45"/>
  <c r="Z141" i="45"/>
  <c r="AA81" i="45"/>
  <c r="AA27" i="45"/>
  <c r="AA131" i="45"/>
  <c r="AA105" i="45"/>
  <c r="AA87" i="45"/>
  <c r="AA69" i="45"/>
  <c r="AA120" i="45"/>
  <c r="AA49" i="45"/>
  <c r="X7" i="45"/>
  <c r="AA7" i="45"/>
  <c r="AA146" i="45"/>
  <c r="AA130" i="45"/>
  <c r="AA96" i="45"/>
  <c r="AA86" i="45"/>
  <c r="R78" i="45"/>
  <c r="AA78" i="45"/>
  <c r="AA111" i="45"/>
  <c r="AA56" i="45"/>
  <c r="AA24" i="45"/>
  <c r="AA46" i="45"/>
  <c r="AA38" i="45"/>
  <c r="AB4" i="45"/>
  <c r="Z4" i="45"/>
  <c r="Z30" i="45"/>
  <c r="Z68" i="45"/>
  <c r="Q124" i="45"/>
  <c r="Z124" i="45"/>
  <c r="Z132" i="45"/>
  <c r="AA19" i="45"/>
  <c r="X15" i="45"/>
  <c r="AA15" i="45"/>
  <c r="Z37" i="45"/>
  <c r="Z73" i="45"/>
  <c r="AA140" i="45"/>
  <c r="AA137" i="45"/>
  <c r="AA103" i="45"/>
  <c r="AA95" i="45"/>
  <c r="AA85" i="45"/>
  <c r="AA75" i="45"/>
  <c r="AA67" i="45"/>
  <c r="AA118" i="45"/>
  <c r="AA110" i="45"/>
  <c r="AA55" i="45"/>
  <c r="AA45" i="45"/>
  <c r="AA37" i="45"/>
  <c r="X13" i="45"/>
  <c r="AA13" i="45"/>
  <c r="Q79" i="45"/>
  <c r="Z79" i="45"/>
  <c r="Z97" i="45"/>
  <c r="Z115" i="45"/>
  <c r="AA99" i="45"/>
  <c r="AA114" i="45"/>
  <c r="AA144" i="45"/>
  <c r="AA74" i="45"/>
  <c r="AA66" i="45"/>
  <c r="AA117" i="45"/>
  <c r="AA54" i="45"/>
  <c r="AA44" i="45"/>
  <c r="X12" i="45"/>
  <c r="AA12" i="45"/>
  <c r="X4" i="45"/>
  <c r="AA4" i="45"/>
  <c r="Z42" i="45"/>
  <c r="Q144" i="45"/>
  <c r="Z144" i="45"/>
  <c r="Z152" i="45"/>
  <c r="AA133" i="45"/>
  <c r="AA89" i="45"/>
  <c r="AA59" i="45"/>
  <c r="AA41" i="45"/>
  <c r="AA102" i="45"/>
  <c r="AA109" i="45"/>
  <c r="AA143" i="45"/>
  <c r="AA73" i="45"/>
  <c r="AA116" i="45"/>
  <c r="AA53" i="45"/>
  <c r="AA35" i="45"/>
  <c r="X11" i="45"/>
  <c r="AA11" i="45"/>
  <c r="Z43" i="45"/>
  <c r="Z53" i="45"/>
  <c r="Q81" i="45"/>
  <c r="Z81" i="45"/>
  <c r="Q127" i="45"/>
  <c r="Z127" i="45"/>
  <c r="Z135" i="45"/>
  <c r="AA153" i="45"/>
  <c r="AA141" i="45"/>
  <c r="AA125" i="45"/>
  <c r="X9" i="45"/>
  <c r="AA9" i="45"/>
  <c r="AA128" i="45"/>
  <c r="AA84" i="45"/>
  <c r="AA30" i="45"/>
  <c r="AA151" i="45"/>
  <c r="AA127" i="45"/>
  <c r="AA101" i="45"/>
  <c r="AA83" i="45"/>
  <c r="AA65" i="45"/>
  <c r="AA108" i="45"/>
  <c r="AA29" i="45"/>
  <c r="AA43" i="45"/>
  <c r="AA150" i="45"/>
  <c r="AA142" i="45"/>
  <c r="AA134" i="45"/>
  <c r="AA126" i="45"/>
  <c r="AA100" i="45"/>
  <c r="AA90" i="45"/>
  <c r="R82" i="45"/>
  <c r="AA82" i="45"/>
  <c r="AA72" i="45"/>
  <c r="AA64" i="45"/>
  <c r="AA115" i="45"/>
  <c r="AA60" i="45"/>
  <c r="X10" i="45"/>
  <c r="AA10" i="45"/>
  <c r="X16" i="45"/>
  <c r="AA16" i="45"/>
  <c r="Z54" i="45"/>
  <c r="Z110" i="45"/>
  <c r="Z146" i="45"/>
  <c r="AB9" i="45"/>
  <c r="AB15" i="45"/>
  <c r="AB11" i="45"/>
  <c r="AB10" i="45"/>
  <c r="AB16" i="45"/>
  <c r="W14" i="45"/>
  <c r="AB14" i="45"/>
  <c r="W6" i="45"/>
  <c r="AB6" i="45"/>
  <c r="AB13" i="45"/>
  <c r="AB5" i="45"/>
  <c r="AB8" i="45"/>
  <c r="AB7" i="45"/>
  <c r="AB12" i="45"/>
  <c r="N220" i="45"/>
  <c r="AB121" i="45"/>
  <c r="R110" i="45"/>
  <c r="L55" i="45"/>
  <c r="N176" i="45"/>
  <c r="L220" i="45"/>
  <c r="R41" i="45"/>
  <c r="N198" i="45"/>
  <c r="AE9" i="45"/>
  <c r="AE12" i="45" s="1"/>
  <c r="L17" i="24"/>
  <c r="O13" i="50"/>
  <c r="O13" i="49"/>
  <c r="O13" i="48"/>
  <c r="R142" i="45"/>
  <c r="R151" i="45"/>
  <c r="R98" i="45"/>
  <c r="AB151" i="45"/>
  <c r="R53" i="45"/>
  <c r="R141" i="45"/>
  <c r="L153" i="45"/>
  <c r="AB57" i="45"/>
  <c r="R148" i="45"/>
  <c r="R15" i="45"/>
  <c r="AB132" i="45"/>
  <c r="AB49" i="45"/>
  <c r="R150" i="45"/>
  <c r="R75" i="45"/>
  <c r="AB85" i="45"/>
  <c r="R125" i="45"/>
  <c r="R205" i="45"/>
  <c r="R99" i="45"/>
  <c r="L196" i="45"/>
  <c r="AB29" i="45"/>
  <c r="R121" i="45"/>
  <c r="R120" i="45"/>
  <c r="R11" i="45"/>
  <c r="R203" i="45"/>
  <c r="AB100" i="45"/>
  <c r="R135" i="45"/>
  <c r="R66" i="45"/>
  <c r="R180" i="45"/>
  <c r="Q66" i="45"/>
  <c r="R24" i="45"/>
  <c r="R9" i="45"/>
  <c r="Q73" i="45"/>
  <c r="Q87" i="45"/>
  <c r="L193" i="45"/>
  <c r="R84" i="45"/>
  <c r="R16" i="45"/>
  <c r="R22" i="45"/>
  <c r="R46" i="45"/>
  <c r="R38" i="45"/>
  <c r="R64" i="45"/>
  <c r="R103" i="45"/>
  <c r="R117" i="45"/>
  <c r="AB183" i="45"/>
  <c r="AB185" i="45"/>
  <c r="AB187" i="45"/>
  <c r="L189" i="45"/>
  <c r="R191" i="45"/>
  <c r="R90" i="45"/>
  <c r="AB38" i="45"/>
  <c r="Q58" i="45"/>
  <c r="Q101" i="45"/>
  <c r="AB125" i="45"/>
  <c r="R100" i="45"/>
  <c r="R131" i="45"/>
  <c r="R126" i="45"/>
  <c r="Q146" i="45"/>
  <c r="L194" i="45"/>
  <c r="Q26" i="45"/>
  <c r="Q50" i="45"/>
  <c r="AB70" i="45"/>
  <c r="Q70" i="45"/>
  <c r="Q113" i="45"/>
  <c r="AB113" i="45"/>
  <c r="Q145" i="45"/>
  <c r="R193" i="45"/>
  <c r="AB99" i="45"/>
  <c r="Q99" i="45"/>
  <c r="W13" i="45"/>
  <c r="Q131" i="45"/>
  <c r="Q22" i="45"/>
  <c r="Q64" i="45"/>
  <c r="Q83" i="45"/>
  <c r="R114" i="45"/>
  <c r="L180" i="45"/>
  <c r="L178" i="45"/>
  <c r="R108" i="45"/>
  <c r="R65" i="45"/>
  <c r="R118" i="45"/>
  <c r="R36" i="45"/>
  <c r="R96" i="45"/>
  <c r="R189" i="45"/>
  <c r="R215" i="45"/>
  <c r="R218" i="45"/>
  <c r="R216" i="45"/>
  <c r="R219" i="45"/>
  <c r="R214" i="45"/>
  <c r="R217" i="45"/>
  <c r="R212" i="45"/>
  <c r="R210" i="45"/>
  <c r="Q213" i="45"/>
  <c r="AB211" i="45"/>
  <c r="Q211" i="45"/>
  <c r="AB209" i="45"/>
  <c r="Q209" i="45"/>
  <c r="R208" i="45"/>
  <c r="R209" i="45"/>
  <c r="R211" i="45"/>
  <c r="R202" i="45"/>
  <c r="R206" i="45"/>
  <c r="R204" i="45"/>
  <c r="Q205" i="45"/>
  <c r="Q207" i="45"/>
  <c r="R200" i="45"/>
  <c r="R201" i="45"/>
  <c r="R194" i="45"/>
  <c r="R196" i="45"/>
  <c r="R197" i="45"/>
  <c r="R195" i="45"/>
  <c r="L195" i="45"/>
  <c r="L197" i="45"/>
  <c r="R188" i="45"/>
  <c r="R190" i="45"/>
  <c r="R192" i="45"/>
  <c r="Q191" i="45"/>
  <c r="L188" i="45"/>
  <c r="L190" i="45"/>
  <c r="L192" i="45"/>
  <c r="Q184" i="45"/>
  <c r="Q183" i="45"/>
  <c r="Q185" i="45"/>
  <c r="Q187" i="45"/>
  <c r="Q182" i="45"/>
  <c r="Q186" i="45"/>
  <c r="AB182" i="45"/>
  <c r="AB186" i="45"/>
  <c r="R178" i="45"/>
  <c r="R179" i="45"/>
  <c r="R181" i="45"/>
  <c r="L179" i="45"/>
  <c r="L181" i="45"/>
  <c r="R174" i="45"/>
  <c r="Q175" i="45"/>
  <c r="L174" i="45"/>
  <c r="Q103" i="45"/>
  <c r="AB103" i="45"/>
  <c r="W4" i="45"/>
  <c r="Q132" i="45"/>
  <c r="Q100" i="45"/>
  <c r="R12" i="45"/>
  <c r="R21" i="45"/>
  <c r="Q8" i="45"/>
  <c r="AB41" i="45"/>
  <c r="AB128" i="45"/>
  <c r="AB137" i="45"/>
  <c r="AB115" i="45"/>
  <c r="Q104" i="45"/>
  <c r="R69" i="45"/>
  <c r="AB120" i="45"/>
  <c r="R79" i="45"/>
  <c r="R60" i="45"/>
  <c r="Q10" i="45"/>
  <c r="Q30" i="45"/>
  <c r="R49" i="45"/>
  <c r="R105" i="45"/>
  <c r="Q147" i="45"/>
  <c r="L158" i="45"/>
  <c r="Q148" i="45"/>
  <c r="AB148" i="45"/>
  <c r="AB117" i="45"/>
  <c r="Q117" i="45"/>
  <c r="Q129" i="45"/>
  <c r="Q136" i="45"/>
  <c r="AB24" i="45"/>
  <c r="Q24" i="45"/>
  <c r="Q23" i="45"/>
  <c r="W7" i="45"/>
  <c r="W16" i="45"/>
  <c r="AB36" i="45"/>
  <c r="R43" i="45"/>
  <c r="AB149" i="45"/>
  <c r="R55" i="45"/>
  <c r="Q21" i="45"/>
  <c r="Q119" i="45"/>
  <c r="R30" i="45"/>
  <c r="R45" i="45"/>
  <c r="Q37" i="45"/>
  <c r="R54" i="45"/>
  <c r="R63" i="45"/>
  <c r="R89" i="45"/>
  <c r="R116" i="45"/>
  <c r="Q49" i="45"/>
  <c r="AB22" i="45"/>
  <c r="R74" i="45"/>
  <c r="R29" i="45"/>
  <c r="Q53" i="45"/>
  <c r="R44" i="45"/>
  <c r="R146" i="45"/>
  <c r="Q9" i="45"/>
  <c r="AB30" i="45"/>
  <c r="R35" i="45"/>
  <c r="AB44" i="45"/>
  <c r="Q125" i="45"/>
  <c r="R83" i="45"/>
  <c r="AB83" i="45"/>
  <c r="R109" i="45"/>
  <c r="Q98" i="45"/>
  <c r="AB98" i="45"/>
  <c r="Q150" i="45"/>
  <c r="AB35" i="45"/>
  <c r="Q35" i="45"/>
  <c r="Q78" i="45"/>
  <c r="AB142" i="45"/>
  <c r="Q142" i="45"/>
  <c r="Q67" i="45"/>
  <c r="AB25" i="45"/>
  <c r="AB130" i="45"/>
  <c r="Q86" i="45"/>
  <c r="AB86" i="45"/>
  <c r="Q118" i="45"/>
  <c r="AB118" i="45"/>
  <c r="AB135" i="45"/>
  <c r="R14" i="45"/>
  <c r="R70" i="45"/>
  <c r="R101" i="45"/>
  <c r="W8" i="45"/>
  <c r="Q13" i="45"/>
  <c r="Q25" i="45"/>
  <c r="Q19" i="45"/>
  <c r="Q130" i="45"/>
  <c r="Q85" i="45"/>
  <c r="AB101" i="45"/>
  <c r="R8" i="45"/>
  <c r="AB124" i="45"/>
  <c r="R39" i="45"/>
  <c r="R25" i="45"/>
  <c r="R85" i="45"/>
  <c r="R72" i="45"/>
  <c r="R59" i="45"/>
  <c r="R95" i="45"/>
  <c r="R153" i="45"/>
  <c r="AB90" i="45"/>
  <c r="Q90" i="45"/>
  <c r="R68" i="45"/>
  <c r="L169" i="45"/>
  <c r="AB75" i="45"/>
  <c r="Q75" i="45"/>
  <c r="AB111" i="45"/>
  <c r="AB129" i="45"/>
  <c r="R129" i="45"/>
  <c r="AB145" i="45"/>
  <c r="R145" i="45"/>
  <c r="AB69" i="45"/>
  <c r="Q69" i="45"/>
  <c r="Q93" i="45"/>
  <c r="AB93" i="45"/>
  <c r="AB143" i="45"/>
  <c r="Q143" i="45"/>
  <c r="R97" i="45"/>
  <c r="R88" i="45"/>
  <c r="R112" i="45"/>
  <c r="X5" i="45"/>
  <c r="R5" i="45"/>
  <c r="R119" i="45"/>
  <c r="R58" i="45"/>
  <c r="Q63" i="45"/>
  <c r="Q109" i="45"/>
  <c r="AB109" i="45"/>
  <c r="AB58" i="45"/>
  <c r="R28" i="45"/>
  <c r="R20" i="45"/>
  <c r="R42" i="45"/>
  <c r="R34" i="45"/>
  <c r="P220" i="45"/>
  <c r="R173" i="45"/>
  <c r="AB105" i="45"/>
  <c r="Q105" i="45"/>
  <c r="Q12" i="45"/>
  <c r="W12" i="45"/>
  <c r="AB19" i="45"/>
  <c r="AB39" i="45"/>
  <c r="Q39" i="45"/>
  <c r="Q51" i="45"/>
  <c r="AB63" i="45"/>
  <c r="AB71" i="45"/>
  <c r="Q71" i="45"/>
  <c r="Q82" i="45"/>
  <c r="AB82" i="45"/>
  <c r="AB102" i="45"/>
  <c r="AB114" i="45"/>
  <c r="Q114" i="45"/>
  <c r="AB126" i="45"/>
  <c r="Q126" i="45"/>
  <c r="Q134" i="45"/>
  <c r="AB134" i="45"/>
  <c r="Q7" i="45"/>
  <c r="R7" i="45"/>
  <c r="W5" i="45"/>
  <c r="Q5" i="45"/>
  <c r="R27" i="45"/>
  <c r="Q27" i="45"/>
  <c r="AB40" i="45"/>
  <c r="Q40" i="45"/>
  <c r="AB21" i="45"/>
  <c r="R52" i="45"/>
  <c r="AB28" i="45"/>
  <c r="Q28" i="45"/>
  <c r="AB52" i="45"/>
  <c r="Q52" i="45"/>
  <c r="AB60" i="45"/>
  <c r="Q60" i="45"/>
  <c r="Q95" i="45"/>
  <c r="AB127" i="45"/>
  <c r="R171" i="45"/>
  <c r="AB68" i="45"/>
  <c r="AB20" i="45"/>
  <c r="AB34" i="45"/>
  <c r="R144" i="45"/>
  <c r="AB88" i="45"/>
  <c r="L91" i="45"/>
  <c r="J198" i="45"/>
  <c r="K15" i="24" s="1"/>
  <c r="D256" i="42" s="1"/>
  <c r="D259" i="42" s="1"/>
  <c r="J15" i="24" s="1"/>
  <c r="AB150" i="45"/>
  <c r="L162" i="45"/>
  <c r="L164" i="45"/>
  <c r="L171" i="45"/>
  <c r="Q151" i="45"/>
  <c r="Q38" i="45"/>
  <c r="N154" i="45"/>
  <c r="R143" i="45"/>
  <c r="Q120" i="45"/>
  <c r="R57" i="45"/>
  <c r="AB87" i="45"/>
  <c r="R56" i="45"/>
  <c r="R134" i="45"/>
  <c r="L173" i="45"/>
  <c r="Q135" i="45"/>
  <c r="Q20" i="45"/>
  <c r="Q128" i="45"/>
  <c r="Q68" i="45"/>
  <c r="N122" i="45"/>
  <c r="N76" i="45"/>
  <c r="Q57" i="45"/>
  <c r="R102" i="45"/>
  <c r="R13" i="45"/>
  <c r="R133" i="45"/>
  <c r="AB26" i="45"/>
  <c r="AB67" i="45"/>
  <c r="R81" i="45"/>
  <c r="S81" i="45" s="1"/>
  <c r="R19" i="45"/>
  <c r="L160" i="45"/>
  <c r="N91" i="45"/>
  <c r="Q36" i="45"/>
  <c r="N17" i="45"/>
  <c r="R86" i="45"/>
  <c r="N61" i="45"/>
  <c r="Q34" i="45"/>
  <c r="AB110" i="45"/>
  <c r="Q15" i="45"/>
  <c r="R40" i="45"/>
  <c r="R111" i="45"/>
  <c r="AB50" i="45"/>
  <c r="AB66" i="45"/>
  <c r="Q41" i="45"/>
  <c r="Q110" i="45"/>
  <c r="AB144" i="45"/>
  <c r="AB81" i="45"/>
  <c r="R87" i="45"/>
  <c r="R50" i="45"/>
  <c r="R4" i="45"/>
  <c r="R67" i="45"/>
  <c r="R10" i="45"/>
  <c r="R73" i="45"/>
  <c r="R128" i="45"/>
  <c r="R127" i="45"/>
  <c r="R26" i="45"/>
  <c r="P198" i="45"/>
  <c r="Q156" i="45"/>
  <c r="L163" i="45"/>
  <c r="R168" i="45"/>
  <c r="R170" i="45"/>
  <c r="R172" i="45"/>
  <c r="L168" i="45"/>
  <c r="L170" i="45"/>
  <c r="L172" i="45"/>
  <c r="R163" i="45"/>
  <c r="R165" i="45"/>
  <c r="R166" i="45"/>
  <c r="R164" i="45"/>
  <c r="Q167" i="45"/>
  <c r="L165" i="45"/>
  <c r="R162" i="45"/>
  <c r="L166" i="45"/>
  <c r="R160" i="45"/>
  <c r="R158" i="45"/>
  <c r="R156" i="45"/>
  <c r="R161" i="45"/>
  <c r="R159" i="45"/>
  <c r="R157" i="45"/>
  <c r="L157" i="45"/>
  <c r="L159" i="45"/>
  <c r="L161" i="45"/>
  <c r="Q96" i="45"/>
  <c r="AB96" i="45"/>
  <c r="L106" i="45"/>
  <c r="AB108" i="45"/>
  <c r="L122" i="45"/>
  <c r="AB116" i="45"/>
  <c r="Q116" i="45"/>
  <c r="J154" i="45"/>
  <c r="AB84" i="45"/>
  <c r="J76" i="45"/>
  <c r="K8" i="24" s="1"/>
  <c r="D102" i="42" s="1"/>
  <c r="D105" i="42" s="1"/>
  <c r="J8" i="24" s="1"/>
  <c r="P176" i="45"/>
  <c r="Q29" i="45"/>
  <c r="AB119" i="45"/>
  <c r="AB37" i="45"/>
  <c r="Q88" i="45"/>
  <c r="Q102" i="45"/>
  <c r="AB141" i="45"/>
  <c r="R93" i="45"/>
  <c r="R31" i="45"/>
  <c r="Q84" i="45"/>
  <c r="Q141" i="45"/>
  <c r="R37" i="45"/>
  <c r="AB23" i="45"/>
  <c r="R124" i="45"/>
  <c r="P61" i="45"/>
  <c r="J220" i="45"/>
  <c r="K16" i="24" s="1"/>
  <c r="D278" i="42" s="1"/>
  <c r="D281" i="42" s="1"/>
  <c r="L76" i="45"/>
  <c r="W9" i="45"/>
  <c r="Y9" i="45" s="1"/>
  <c r="Q121" i="45"/>
  <c r="L47" i="45"/>
  <c r="P32" i="45"/>
  <c r="R23" i="45"/>
  <c r="AB131" i="45"/>
  <c r="W10" i="45"/>
  <c r="Q149" i="45"/>
  <c r="AB56" i="45"/>
  <c r="N47" i="45"/>
  <c r="N106" i="45"/>
  <c r="Q16" i="45"/>
  <c r="Q152" i="45"/>
  <c r="AB53" i="45"/>
  <c r="P76" i="45"/>
  <c r="AB54" i="45"/>
  <c r="AB73" i="45"/>
  <c r="P17" i="45"/>
  <c r="Q115" i="45"/>
  <c r="R115" i="45"/>
  <c r="Q133" i="45"/>
  <c r="W11" i="45"/>
  <c r="L17" i="45"/>
  <c r="AB133" i="45"/>
  <c r="R136" i="45"/>
  <c r="N138" i="45"/>
  <c r="J138" i="45"/>
  <c r="K12" i="24" s="1"/>
  <c r="D190" i="42" s="1"/>
  <c r="R130" i="45"/>
  <c r="J17" i="45"/>
  <c r="K4" i="24" s="1"/>
  <c r="R137" i="45"/>
  <c r="Q137" i="45"/>
  <c r="AB59" i="45"/>
  <c r="Q59" i="45"/>
  <c r="AB65" i="45"/>
  <c r="Q65" i="45"/>
  <c r="Q6" i="45"/>
  <c r="R152" i="45"/>
  <c r="Q54" i="45"/>
  <c r="L32" i="45"/>
  <c r="Q80" i="45"/>
  <c r="AB80" i="45"/>
  <c r="Q97" i="45"/>
  <c r="AB97" i="45"/>
  <c r="AB147" i="45"/>
  <c r="R113" i="45"/>
  <c r="Q46" i="45"/>
  <c r="AB46" i="45"/>
  <c r="AB74" i="45"/>
  <c r="AB79" i="45"/>
  <c r="AB112" i="45"/>
  <c r="Q112" i="45"/>
  <c r="AB94" i="45"/>
  <c r="R94" i="45"/>
  <c r="S94" i="45" s="1"/>
  <c r="R51" i="45"/>
  <c r="P91" i="45"/>
  <c r="AB140" i="45"/>
  <c r="Q140" i="45"/>
  <c r="AB64" i="45"/>
  <c r="AB31" i="45"/>
  <c r="AB72" i="45"/>
  <c r="Q72" i="45"/>
  <c r="AB89" i="45"/>
  <c r="R104" i="45"/>
  <c r="AB95" i="45"/>
  <c r="Q45" i="45"/>
  <c r="AB45" i="45"/>
  <c r="Q14" i="45"/>
  <c r="AB42" i="45"/>
  <c r="Q42" i="45"/>
  <c r="X6" i="45"/>
  <c r="R6" i="45"/>
  <c r="J176" i="45"/>
  <c r="K14" i="24" s="1"/>
  <c r="D234" i="42" s="1"/>
  <c r="D237" i="42" s="1"/>
  <c r="J14" i="24" s="1"/>
  <c r="Q74" i="45"/>
  <c r="Q89" i="45"/>
  <c r="Q44" i="45"/>
  <c r="Q108" i="45"/>
  <c r="AB146" i="45"/>
  <c r="Q31" i="45"/>
  <c r="AB43" i="45"/>
  <c r="Q43" i="45"/>
  <c r="R147" i="45"/>
  <c r="R132" i="45"/>
  <c r="L138" i="45"/>
  <c r="Q56" i="45"/>
  <c r="AB78" i="45"/>
  <c r="R71" i="45"/>
  <c r="AB27" i="45"/>
  <c r="R149" i="45"/>
  <c r="W15" i="45"/>
  <c r="R80" i="45"/>
  <c r="N32" i="45"/>
  <c r="J47" i="45"/>
  <c r="K6" i="24" s="1"/>
  <c r="D58" i="42" s="1"/>
  <c r="J122" i="45"/>
  <c r="K11" i="24" s="1"/>
  <c r="D168" i="42" s="1"/>
  <c r="P47" i="45"/>
  <c r="AB104" i="45"/>
  <c r="R140" i="45"/>
  <c r="J106" i="45"/>
  <c r="K10" i="24" s="1"/>
  <c r="D146" i="42" s="1"/>
  <c r="AB51" i="45"/>
  <c r="AB152" i="45"/>
  <c r="J61" i="45"/>
  <c r="K7" i="24" s="1"/>
  <c r="D80" i="42" s="1"/>
  <c r="J91" i="45"/>
  <c r="K9" i="24" s="1"/>
  <c r="D124" i="42" s="1"/>
  <c r="P122" i="45"/>
  <c r="P154" i="45"/>
  <c r="P138" i="45"/>
  <c r="AB136" i="45"/>
  <c r="J32" i="45"/>
  <c r="K5" i="24" s="1"/>
  <c r="D36" i="42" s="1"/>
  <c r="P106" i="45"/>
  <c r="Y65" i="45" l="1"/>
  <c r="Y213" i="45"/>
  <c r="V145" i="45"/>
  <c r="Y143" i="45"/>
  <c r="V39" i="45"/>
  <c r="Y184" i="45"/>
  <c r="V24" i="45"/>
  <c r="V75" i="45"/>
  <c r="Y51" i="45"/>
  <c r="V68" i="45"/>
  <c r="Y121" i="45"/>
  <c r="AA176" i="45"/>
  <c r="AI28" i="45" s="1"/>
  <c r="V52" i="45"/>
  <c r="V69" i="45"/>
  <c r="Y67" i="45"/>
  <c r="Y216" i="45"/>
  <c r="V182" i="45"/>
  <c r="Y110" i="45"/>
  <c r="Y152" i="45"/>
  <c r="Y212" i="45"/>
  <c r="Y56" i="45"/>
  <c r="Y40" i="45"/>
  <c r="Y7" i="45"/>
  <c r="Y187" i="45"/>
  <c r="V100" i="45"/>
  <c r="V54" i="45"/>
  <c r="V118" i="45"/>
  <c r="AA198" i="45"/>
  <c r="AI29" i="45" s="1"/>
  <c r="V204" i="45"/>
  <c r="V125" i="45"/>
  <c r="V209" i="45"/>
  <c r="Y167" i="45"/>
  <c r="V207" i="45"/>
  <c r="Y185" i="45"/>
  <c r="V56" i="45"/>
  <c r="V73" i="45"/>
  <c r="X32" i="45"/>
  <c r="AO19" i="45" s="1"/>
  <c r="Y202" i="45"/>
  <c r="Y71" i="45"/>
  <c r="AA220" i="45"/>
  <c r="AI30" i="45" s="1"/>
  <c r="Y36" i="45"/>
  <c r="V143" i="45"/>
  <c r="V59" i="45"/>
  <c r="V183" i="45"/>
  <c r="V50" i="45"/>
  <c r="Y96" i="45"/>
  <c r="V35" i="45"/>
  <c r="V97" i="45"/>
  <c r="V79" i="45"/>
  <c r="Y116" i="45"/>
  <c r="V102" i="45"/>
  <c r="Y58" i="45"/>
  <c r="Y57" i="45"/>
  <c r="X61" i="45"/>
  <c r="AO21" i="45" s="1"/>
  <c r="Y14" i="45"/>
  <c r="V13" i="45"/>
  <c r="Y49" i="45"/>
  <c r="U47" i="45"/>
  <c r="AK20" i="45" s="1"/>
  <c r="W47" i="45"/>
  <c r="AN20" i="45" s="1"/>
  <c r="Y34" i="45"/>
  <c r="V213" i="45"/>
  <c r="V78" i="45"/>
  <c r="T91" i="45"/>
  <c r="AG23" i="45" s="1"/>
  <c r="V49" i="45"/>
  <c r="V211" i="45"/>
  <c r="V140" i="45"/>
  <c r="Y112" i="45"/>
  <c r="Y74" i="45"/>
  <c r="V51" i="45"/>
  <c r="Y81" i="45"/>
  <c r="X47" i="45"/>
  <c r="AO20" i="45" s="1"/>
  <c r="V119" i="45"/>
  <c r="Z161" i="45"/>
  <c r="W161" i="45"/>
  <c r="Y161" i="45" s="1"/>
  <c r="T161" i="45"/>
  <c r="V161" i="45" s="1"/>
  <c r="Z197" i="45"/>
  <c r="T197" i="45"/>
  <c r="V197" i="45" s="1"/>
  <c r="W197" i="45"/>
  <c r="Y197" i="45" s="1"/>
  <c r="T189" i="45"/>
  <c r="V189" i="45" s="1"/>
  <c r="W189" i="45"/>
  <c r="Y189" i="45" s="1"/>
  <c r="V147" i="45"/>
  <c r="Y93" i="45"/>
  <c r="W106" i="45"/>
  <c r="AN24" i="45" s="1"/>
  <c r="Y27" i="45"/>
  <c r="X106" i="45"/>
  <c r="AO24" i="45" s="1"/>
  <c r="V146" i="45"/>
  <c r="V90" i="45"/>
  <c r="Y218" i="45"/>
  <c r="V184" i="45"/>
  <c r="Y117" i="45"/>
  <c r="V89" i="45"/>
  <c r="W76" i="45"/>
  <c r="AN22" i="45" s="1"/>
  <c r="Y63" i="45"/>
  <c r="Y35" i="45"/>
  <c r="V108" i="45"/>
  <c r="T122" i="45"/>
  <c r="AG25" i="45" s="1"/>
  <c r="Y60" i="45"/>
  <c r="V34" i="45"/>
  <c r="T47" i="45"/>
  <c r="AG20" i="45" s="1"/>
  <c r="U154" i="45"/>
  <c r="AK27" i="45" s="1"/>
  <c r="U220" i="45"/>
  <c r="AK30" i="45" s="1"/>
  <c r="Y87" i="45"/>
  <c r="Y59" i="45"/>
  <c r="V31" i="45"/>
  <c r="V57" i="45"/>
  <c r="V149" i="45"/>
  <c r="V201" i="45"/>
  <c r="V132" i="45"/>
  <c r="W91" i="45"/>
  <c r="AN23" i="45" s="1"/>
  <c r="Y78" i="45"/>
  <c r="V22" i="45"/>
  <c r="V96" i="45"/>
  <c r="Y131" i="45"/>
  <c r="V29" i="45"/>
  <c r="V214" i="45"/>
  <c r="V103" i="45"/>
  <c r="Y211" i="45"/>
  <c r="Y175" i="45"/>
  <c r="V112" i="45"/>
  <c r="V74" i="45"/>
  <c r="V46" i="45"/>
  <c r="V99" i="45"/>
  <c r="Z159" i="45"/>
  <c r="W159" i="45"/>
  <c r="Y159" i="45" s="1"/>
  <c r="T159" i="45"/>
  <c r="V159" i="45" s="1"/>
  <c r="Z166" i="45"/>
  <c r="W166" i="45"/>
  <c r="T166" i="45"/>
  <c r="V166" i="45" s="1"/>
  <c r="Z172" i="45"/>
  <c r="T172" i="45"/>
  <c r="W172" i="45"/>
  <c r="Y172" i="45" s="1"/>
  <c r="Z174" i="45"/>
  <c r="T174" i="45"/>
  <c r="V174" i="45" s="1"/>
  <c r="W174" i="45"/>
  <c r="Y174" i="45" s="1"/>
  <c r="Z192" i="45"/>
  <c r="T192" i="45"/>
  <c r="V192" i="45" s="1"/>
  <c r="W192" i="45"/>
  <c r="Y192" i="45" s="1"/>
  <c r="Z195" i="45"/>
  <c r="T195" i="45"/>
  <c r="W195" i="45"/>
  <c r="Y195" i="45" s="1"/>
  <c r="V200" i="45"/>
  <c r="T220" i="45"/>
  <c r="AG30" i="45" s="1"/>
  <c r="Y137" i="45"/>
  <c r="Y45" i="45"/>
  <c r="V19" i="45"/>
  <c r="V32" i="45" s="1"/>
  <c r="T32" i="45"/>
  <c r="AG19" i="45" s="1"/>
  <c r="U106" i="45"/>
  <c r="AK24" i="45" s="1"/>
  <c r="Y146" i="45"/>
  <c r="Y90" i="45"/>
  <c r="V36" i="45"/>
  <c r="Y89" i="45"/>
  <c r="V63" i="45"/>
  <c r="T76" i="45"/>
  <c r="AG22" i="45" s="1"/>
  <c r="Y207" i="45"/>
  <c r="W122" i="45"/>
  <c r="AN25" i="45" s="1"/>
  <c r="Y108" i="45"/>
  <c r="Y54" i="45"/>
  <c r="X154" i="45"/>
  <c r="AO27" i="45" s="1"/>
  <c r="U176" i="45"/>
  <c r="AK28" i="45" s="1"/>
  <c r="Y200" i="45"/>
  <c r="X220" i="45"/>
  <c r="Y31" i="45"/>
  <c r="Y145" i="45"/>
  <c r="Y149" i="45"/>
  <c r="Y201" i="45"/>
  <c r="V124" i="45"/>
  <c r="T138" i="45"/>
  <c r="AG26" i="45" s="1"/>
  <c r="V131" i="45"/>
  <c r="Y29" i="45"/>
  <c r="Y103" i="45"/>
  <c r="V175" i="45"/>
  <c r="V130" i="45"/>
  <c r="Y46" i="45"/>
  <c r="V20" i="45"/>
  <c r="Y99" i="45"/>
  <c r="W162" i="45"/>
  <c r="Y162" i="45" s="1"/>
  <c r="T162" i="45"/>
  <c r="V162" i="45" s="1"/>
  <c r="Y4" i="45"/>
  <c r="W17" i="45"/>
  <c r="AN18" i="45" s="1"/>
  <c r="T153" i="45"/>
  <c r="V153" i="45" s="1"/>
  <c r="W153" i="45"/>
  <c r="Y153" i="45" s="1"/>
  <c r="Z157" i="45"/>
  <c r="T157" i="45"/>
  <c r="W157" i="45"/>
  <c r="W176" i="45" s="1"/>
  <c r="AN28" i="45" s="1"/>
  <c r="AP28" i="45" s="1"/>
  <c r="Z170" i="45"/>
  <c r="T170" i="45"/>
  <c r="V170" i="45" s="1"/>
  <c r="W170" i="45"/>
  <c r="Y170" i="45" s="1"/>
  <c r="T173" i="45"/>
  <c r="V173" i="45" s="1"/>
  <c r="W173" i="45"/>
  <c r="Y173" i="45" s="1"/>
  <c r="W158" i="45"/>
  <c r="Y158" i="45" s="1"/>
  <c r="T158" i="45"/>
  <c r="V158" i="45" s="1"/>
  <c r="Z190" i="45"/>
  <c r="T190" i="45"/>
  <c r="V190" i="45" s="1"/>
  <c r="W190" i="45"/>
  <c r="Y190" i="45" s="1"/>
  <c r="U198" i="45"/>
  <c r="AK29" i="45" s="1"/>
  <c r="W220" i="45"/>
  <c r="AN30" i="45" s="1"/>
  <c r="V137" i="45"/>
  <c r="V45" i="45"/>
  <c r="Y19" i="45"/>
  <c r="W32" i="45"/>
  <c r="AN19" i="45" s="1"/>
  <c r="AP19" i="45" s="1"/>
  <c r="V72" i="45"/>
  <c r="X122" i="45"/>
  <c r="AO25" i="45" s="1"/>
  <c r="Y166" i="45"/>
  <c r="Y210" i="45"/>
  <c r="V25" i="45"/>
  <c r="Y183" i="45"/>
  <c r="Y126" i="45"/>
  <c r="Y109" i="45"/>
  <c r="Y75" i="45"/>
  <c r="X176" i="45"/>
  <c r="AO28" i="45" s="1"/>
  <c r="Y186" i="45"/>
  <c r="V105" i="45"/>
  <c r="Y79" i="45"/>
  <c r="Y217" i="45"/>
  <c r="W138" i="45"/>
  <c r="AN26" i="45" s="1"/>
  <c r="Y68" i="45"/>
  <c r="T17" i="45"/>
  <c r="AG18" i="45" s="1"/>
  <c r="V206" i="45"/>
  <c r="V121" i="45"/>
  <c r="Y39" i="45"/>
  <c r="Y130" i="45"/>
  <c r="Y102" i="45"/>
  <c r="Y20" i="45"/>
  <c r="Y115" i="45"/>
  <c r="W163" i="45"/>
  <c r="Y163" i="45" s="1"/>
  <c r="T163" i="45"/>
  <c r="V163" i="45" s="1"/>
  <c r="W55" i="45"/>
  <c r="Y55" i="45" s="1"/>
  <c r="T55" i="45"/>
  <c r="V55" i="45" s="1"/>
  <c r="V93" i="45"/>
  <c r="T106" i="45"/>
  <c r="AG24" i="45" s="1"/>
  <c r="Z165" i="45"/>
  <c r="W165" i="45"/>
  <c r="Y165" i="45" s="1"/>
  <c r="T165" i="45"/>
  <c r="V165" i="45" s="1"/>
  <c r="Z168" i="45"/>
  <c r="W168" i="45"/>
  <c r="Y168" i="45" s="1"/>
  <c r="T168" i="45"/>
  <c r="V168" i="45" s="1"/>
  <c r="W160" i="45"/>
  <c r="Y160" i="45" s="1"/>
  <c r="T160" i="45"/>
  <c r="V160" i="45" s="1"/>
  <c r="Z188" i="45"/>
  <c r="T188" i="45"/>
  <c r="V188" i="45" s="1"/>
  <c r="W188" i="45"/>
  <c r="Y188" i="45" s="1"/>
  <c r="Z178" i="45"/>
  <c r="T178" i="45"/>
  <c r="W178" i="45"/>
  <c r="T196" i="45"/>
  <c r="V196" i="45" s="1"/>
  <c r="W196" i="45"/>
  <c r="Y196" i="45" s="1"/>
  <c r="X198" i="45"/>
  <c r="AO29" i="45" s="1"/>
  <c r="Z220" i="45"/>
  <c r="AE30" i="45" s="1"/>
  <c r="AH30" i="45" s="1"/>
  <c r="U122" i="45"/>
  <c r="AK25" i="45" s="1"/>
  <c r="Y82" i="45"/>
  <c r="Y156" i="45"/>
  <c r="V81" i="45"/>
  <c r="Y53" i="45"/>
  <c r="Y25" i="45"/>
  <c r="V157" i="45"/>
  <c r="V152" i="45"/>
  <c r="V126" i="45"/>
  <c r="Y24" i="45"/>
  <c r="V109" i="45"/>
  <c r="V212" i="45"/>
  <c r="Y105" i="45"/>
  <c r="V23" i="45"/>
  <c r="V67" i="45"/>
  <c r="V217" i="45"/>
  <c r="V191" i="45"/>
  <c r="X91" i="45"/>
  <c r="AO23" i="45" s="1"/>
  <c r="V95" i="45"/>
  <c r="Y206" i="45"/>
  <c r="Y85" i="45"/>
  <c r="Y203" i="45"/>
  <c r="Y148" i="45"/>
  <c r="V66" i="45"/>
  <c r="V38" i="45"/>
  <c r="Y124" i="45"/>
  <c r="X138" i="45"/>
  <c r="AO26" i="45" s="1"/>
  <c r="V94" i="45"/>
  <c r="Y133" i="45"/>
  <c r="V195" i="45"/>
  <c r="V208" i="45"/>
  <c r="T171" i="45"/>
  <c r="V171" i="45" s="1"/>
  <c r="W171" i="45"/>
  <c r="Y171" i="45" s="1"/>
  <c r="T169" i="45"/>
  <c r="V169" i="45" s="1"/>
  <c r="W169" i="45"/>
  <c r="Y169" i="45" s="1"/>
  <c r="Z181" i="45"/>
  <c r="W181" i="45"/>
  <c r="Y181" i="45" s="1"/>
  <c r="T181" i="45"/>
  <c r="V181" i="45" s="1"/>
  <c r="T180" i="45"/>
  <c r="V180" i="45" s="1"/>
  <c r="W180" i="45"/>
  <c r="Y180" i="45" s="1"/>
  <c r="T193" i="45"/>
  <c r="V193" i="45" s="1"/>
  <c r="W193" i="45"/>
  <c r="Y193" i="45" s="1"/>
  <c r="V5" i="45"/>
  <c r="V156" i="45"/>
  <c r="V53" i="45"/>
  <c r="Y22" i="45"/>
  <c r="V136" i="45"/>
  <c r="V172" i="45"/>
  <c r="V151" i="45"/>
  <c r="Y23" i="45"/>
  <c r="V87" i="45"/>
  <c r="Y191" i="45"/>
  <c r="V142" i="45"/>
  <c r="V86" i="45"/>
  <c r="U91" i="45"/>
  <c r="AK23" i="45" s="1"/>
  <c r="Y95" i="45"/>
  <c r="V85" i="45"/>
  <c r="V21" i="45"/>
  <c r="V219" i="45"/>
  <c r="V120" i="45"/>
  <c r="Y38" i="45"/>
  <c r="U138" i="45"/>
  <c r="AK26" i="45" s="1"/>
  <c r="Y94" i="45"/>
  <c r="U76" i="45"/>
  <c r="AK22" i="45" s="1"/>
  <c r="V141" i="45"/>
  <c r="Y64" i="45"/>
  <c r="Y140" i="45"/>
  <c r="W164" i="45"/>
  <c r="Y164" i="45" s="1"/>
  <c r="T164" i="45"/>
  <c r="V164" i="45" s="1"/>
  <c r="Z179" i="45"/>
  <c r="W179" i="45"/>
  <c r="Y179" i="45" s="1"/>
  <c r="T179" i="45"/>
  <c r="V179" i="45" s="1"/>
  <c r="W194" i="45"/>
  <c r="Y194" i="45" s="1"/>
  <c r="T194" i="45"/>
  <c r="V194" i="45" s="1"/>
  <c r="X17" i="45"/>
  <c r="AO18" i="45" s="1"/>
  <c r="Z32" i="45"/>
  <c r="AE19" i="45" s="1"/>
  <c r="Y182" i="45"/>
  <c r="Y73" i="45"/>
  <c r="U32" i="45"/>
  <c r="AK19" i="45" s="1"/>
  <c r="Y26" i="45"/>
  <c r="V202" i="45"/>
  <c r="V71" i="45"/>
  <c r="Y43" i="45"/>
  <c r="V43" i="45"/>
  <c r="V144" i="45"/>
  <c r="U61" i="45"/>
  <c r="AK21" i="45" s="1"/>
  <c r="Y151" i="45"/>
  <c r="Y125" i="45"/>
  <c r="Y209" i="45"/>
  <c r="Y142" i="45"/>
  <c r="Y86" i="45"/>
  <c r="Y30" i="45"/>
  <c r="V167" i="45"/>
  <c r="Y113" i="45"/>
  <c r="Y21" i="45"/>
  <c r="Y219" i="45"/>
  <c r="V185" i="45"/>
  <c r="Y120" i="45"/>
  <c r="V113" i="45"/>
  <c r="X76" i="45"/>
  <c r="AO22" i="45" s="1"/>
  <c r="Y141" i="45"/>
  <c r="V64" i="45"/>
  <c r="Y150" i="45"/>
  <c r="V6" i="45"/>
  <c r="V14" i="45"/>
  <c r="V11" i="45"/>
  <c r="S127" i="45"/>
  <c r="Y11" i="45"/>
  <c r="Y16" i="45"/>
  <c r="Y12" i="45"/>
  <c r="S78" i="45"/>
  <c r="Z17" i="45"/>
  <c r="AE18" i="45" s="1"/>
  <c r="Z122" i="45"/>
  <c r="AE25" i="45" s="1"/>
  <c r="Y10" i="45"/>
  <c r="S42" i="45"/>
  <c r="S82" i="45"/>
  <c r="Z106" i="45"/>
  <c r="AE24" i="45" s="1"/>
  <c r="Y13" i="45"/>
  <c r="Z91" i="45"/>
  <c r="AE23" i="45" s="1"/>
  <c r="Y8" i="45"/>
  <c r="AA91" i="45"/>
  <c r="AI23" i="45" s="1"/>
  <c r="AA138" i="45"/>
  <c r="AI26" i="45" s="1"/>
  <c r="S111" i="45"/>
  <c r="AA47" i="45"/>
  <c r="AI20" i="45" s="1"/>
  <c r="Z76" i="45"/>
  <c r="AE22" i="45" s="1"/>
  <c r="Y6" i="45"/>
  <c r="Z47" i="45"/>
  <c r="AE20" i="45" s="1"/>
  <c r="AA106" i="45"/>
  <c r="AI24" i="45" s="1"/>
  <c r="AA154" i="45"/>
  <c r="AI27" i="45" s="1"/>
  <c r="AL27" i="45" s="1"/>
  <c r="O6" i="37" s="1"/>
  <c r="AA32" i="45"/>
  <c r="AI19" i="45" s="1"/>
  <c r="S11" i="45"/>
  <c r="Q194" i="45"/>
  <c r="S194" i="45" s="1"/>
  <c r="Z194" i="45"/>
  <c r="AB193" i="45"/>
  <c r="Z193" i="45"/>
  <c r="AB171" i="45"/>
  <c r="Z171" i="45"/>
  <c r="Q153" i="45"/>
  <c r="S153" i="45" s="1"/>
  <c r="Z153" i="45"/>
  <c r="Z154" i="45" s="1"/>
  <c r="AE27" i="45" s="1"/>
  <c r="AA76" i="45"/>
  <c r="AI22" i="45" s="1"/>
  <c r="AL22" i="45" s="1"/>
  <c r="O6" i="30" s="1"/>
  <c r="AB163" i="45"/>
  <c r="Z163" i="45"/>
  <c r="Q160" i="45"/>
  <c r="S160" i="45" s="1"/>
  <c r="Z160" i="45"/>
  <c r="Z169" i="45"/>
  <c r="AB55" i="45"/>
  <c r="Z55" i="45"/>
  <c r="Z61" i="45" s="1"/>
  <c r="AE21" i="45" s="1"/>
  <c r="AA61" i="45"/>
  <c r="AI21" i="45" s="1"/>
  <c r="S144" i="45"/>
  <c r="Y15" i="45"/>
  <c r="S124" i="45"/>
  <c r="Q164" i="45"/>
  <c r="S164" i="45" s="1"/>
  <c r="Z164" i="45"/>
  <c r="AA17" i="45"/>
  <c r="AI18" i="45" s="1"/>
  <c r="Z138" i="45"/>
  <c r="AE26" i="45" s="1"/>
  <c r="AH26" i="45" s="1"/>
  <c r="AB173" i="45"/>
  <c r="Z173" i="45"/>
  <c r="Z162" i="45"/>
  <c r="AB189" i="45"/>
  <c r="Z189" i="45"/>
  <c r="Q196" i="45"/>
  <c r="S196" i="45" s="1"/>
  <c r="Z196" i="45"/>
  <c r="AA122" i="45"/>
  <c r="AI25" i="45" s="1"/>
  <c r="S79" i="45"/>
  <c r="Q158" i="45"/>
  <c r="S158" i="45" s="1"/>
  <c r="Z158" i="45"/>
  <c r="Q180" i="45"/>
  <c r="S180" i="45" s="1"/>
  <c r="Z180" i="45"/>
  <c r="S10" i="45"/>
  <c r="S96" i="45"/>
  <c r="S26" i="45"/>
  <c r="AB196" i="45"/>
  <c r="L61" i="45"/>
  <c r="S16" i="45"/>
  <c r="S151" i="45"/>
  <c r="S89" i="45"/>
  <c r="S110" i="45"/>
  <c r="Q55" i="45"/>
  <c r="S55" i="45" s="1"/>
  <c r="Q189" i="45"/>
  <c r="S189" i="45" s="1"/>
  <c r="S150" i="45"/>
  <c r="L176" i="45"/>
  <c r="S113" i="45"/>
  <c r="S41" i="45"/>
  <c r="S46" i="45"/>
  <c r="S148" i="45"/>
  <c r="S100" i="45"/>
  <c r="S142" i="45"/>
  <c r="S132" i="45"/>
  <c r="Q178" i="45"/>
  <c r="S178" i="45" s="1"/>
  <c r="L198" i="45"/>
  <c r="K13" i="24"/>
  <c r="K17" i="24" s="1"/>
  <c r="S156" i="45"/>
  <c r="S29" i="45"/>
  <c r="S136" i="45"/>
  <c r="S141" i="45"/>
  <c r="S66" i="45"/>
  <c r="S53" i="45"/>
  <c r="J16" i="24"/>
  <c r="S120" i="45"/>
  <c r="R207" i="45"/>
  <c r="S207" i="45" s="1"/>
  <c r="S36" i="45"/>
  <c r="S99" i="45"/>
  <c r="S135" i="45"/>
  <c r="S121" i="45"/>
  <c r="S101" i="45"/>
  <c r="S118" i="45"/>
  <c r="AB158" i="45"/>
  <c r="S70" i="45"/>
  <c r="S90" i="45"/>
  <c r="S75" i="45"/>
  <c r="S98" i="45"/>
  <c r="S72" i="45"/>
  <c r="S63" i="45"/>
  <c r="S44" i="45"/>
  <c r="R213" i="45"/>
  <c r="S213" i="45" s="1"/>
  <c r="AB213" i="45"/>
  <c r="S12" i="45"/>
  <c r="S205" i="45"/>
  <c r="AB205" i="45"/>
  <c r="S73" i="45"/>
  <c r="S60" i="45"/>
  <c r="Y5" i="45"/>
  <c r="S9" i="45"/>
  <c r="S64" i="45"/>
  <c r="L154" i="45"/>
  <c r="S38" i="45"/>
  <c r="S30" i="45"/>
  <c r="AB203" i="45"/>
  <c r="S54" i="45"/>
  <c r="S50" i="45"/>
  <c r="S68" i="45"/>
  <c r="S114" i="45"/>
  <c r="S191" i="45"/>
  <c r="AB160" i="45"/>
  <c r="S35" i="45"/>
  <c r="S24" i="45"/>
  <c r="S15" i="45"/>
  <c r="S109" i="45"/>
  <c r="AB153" i="45"/>
  <c r="AB154" i="45" s="1"/>
  <c r="S83" i="45"/>
  <c r="AB194" i="45"/>
  <c r="S125" i="45"/>
  <c r="Q203" i="45"/>
  <c r="S203" i="45" s="1"/>
  <c r="S22" i="45"/>
  <c r="S19" i="45"/>
  <c r="S119" i="45"/>
  <c r="AB191" i="45"/>
  <c r="S102" i="45"/>
  <c r="S103" i="45"/>
  <c r="S133" i="45"/>
  <c r="S131" i="45"/>
  <c r="AB175" i="45"/>
  <c r="AB207" i="45"/>
  <c r="S87" i="45"/>
  <c r="R175" i="45"/>
  <c r="S175" i="45" s="1"/>
  <c r="S69" i="45"/>
  <c r="S145" i="45"/>
  <c r="S58" i="45"/>
  <c r="S14" i="45"/>
  <c r="S117" i="45"/>
  <c r="S105" i="45"/>
  <c r="S146" i="45"/>
  <c r="Q193" i="45"/>
  <c r="S193" i="45" s="1"/>
  <c r="S147" i="45"/>
  <c r="S13" i="45"/>
  <c r="S95" i="45"/>
  <c r="R183" i="45"/>
  <c r="S183" i="45" s="1"/>
  <c r="S84" i="45"/>
  <c r="S126" i="45"/>
  <c r="R187" i="45"/>
  <c r="S187" i="45" s="1"/>
  <c r="S59" i="45"/>
  <c r="R185" i="45"/>
  <c r="S185" i="45" s="1"/>
  <c r="S74" i="45"/>
  <c r="S104" i="45"/>
  <c r="S37" i="45"/>
  <c r="Q173" i="45"/>
  <c r="S173" i="45" s="1"/>
  <c r="AB180" i="45"/>
  <c r="S71" i="45"/>
  <c r="Q169" i="45"/>
  <c r="S4" i="45"/>
  <c r="S49" i="45"/>
  <c r="AB178" i="45"/>
  <c r="S8" i="45"/>
  <c r="S21" i="45"/>
  <c r="S209" i="45"/>
  <c r="Q218" i="45"/>
  <c r="S218" i="45" s="1"/>
  <c r="AB218" i="45"/>
  <c r="AB215" i="45"/>
  <c r="Q215" i="45"/>
  <c r="S215" i="45" s="1"/>
  <c r="Q216" i="45"/>
  <c r="S216" i="45" s="1"/>
  <c r="AB216" i="45"/>
  <c r="Q214" i="45"/>
  <c r="S214" i="45" s="1"/>
  <c r="AB214" i="45"/>
  <c r="AB219" i="45"/>
  <c r="Q219" i="45"/>
  <c r="S219" i="45" s="1"/>
  <c r="AB217" i="45"/>
  <c r="Q217" i="45"/>
  <c r="S217" i="45" s="1"/>
  <c r="Q208" i="45"/>
  <c r="S208" i="45" s="1"/>
  <c r="AB208" i="45"/>
  <c r="Q212" i="45"/>
  <c r="S212" i="45" s="1"/>
  <c r="AB212" i="45"/>
  <c r="Q210" i="45"/>
  <c r="S210" i="45" s="1"/>
  <c r="AB210" i="45"/>
  <c r="S211" i="45"/>
  <c r="Q206" i="45"/>
  <c r="S206" i="45" s="1"/>
  <c r="AB206" i="45"/>
  <c r="Q204" i="45"/>
  <c r="S204" i="45" s="1"/>
  <c r="AB204" i="45"/>
  <c r="Q202" i="45"/>
  <c r="S202" i="45" s="1"/>
  <c r="AB202" i="45"/>
  <c r="AB201" i="45"/>
  <c r="Q201" i="45"/>
  <c r="S201" i="45" s="1"/>
  <c r="Q200" i="45"/>
  <c r="S200" i="45" s="1"/>
  <c r="AB200" i="45"/>
  <c r="AB197" i="45"/>
  <c r="Q197" i="45"/>
  <c r="S197" i="45" s="1"/>
  <c r="AB195" i="45"/>
  <c r="Q195" i="45"/>
  <c r="S195" i="45" s="1"/>
  <c r="Q192" i="45"/>
  <c r="S192" i="45" s="1"/>
  <c r="AB192" i="45"/>
  <c r="Q190" i="45"/>
  <c r="S190" i="45" s="1"/>
  <c r="AB190" i="45"/>
  <c r="Q188" i="45"/>
  <c r="S188" i="45" s="1"/>
  <c r="AB188" i="45"/>
  <c r="R186" i="45"/>
  <c r="S186" i="45" s="1"/>
  <c r="R184" i="45"/>
  <c r="S184" i="45" s="1"/>
  <c r="R182" i="45"/>
  <c r="S182" i="45" s="1"/>
  <c r="AB184" i="45"/>
  <c r="AB181" i="45"/>
  <c r="Q181" i="45"/>
  <c r="S181" i="45" s="1"/>
  <c r="AB179" i="45"/>
  <c r="Q179" i="45"/>
  <c r="S179" i="45" s="1"/>
  <c r="Q174" i="45"/>
  <c r="S174" i="45" s="1"/>
  <c r="AB174" i="45"/>
  <c r="S116" i="45"/>
  <c r="S57" i="45"/>
  <c r="S43" i="45"/>
  <c r="S143" i="45"/>
  <c r="S85" i="45"/>
  <c r="S51" i="45"/>
  <c r="S7" i="45"/>
  <c r="S129" i="45"/>
  <c r="S93" i="45"/>
  <c r="R167" i="45"/>
  <c r="S167" i="45" s="1"/>
  <c r="S23" i="45"/>
  <c r="S67" i="45"/>
  <c r="S86" i="45"/>
  <c r="S28" i="45"/>
  <c r="S45" i="45"/>
  <c r="S52" i="45"/>
  <c r="S20" i="45"/>
  <c r="S112" i="45"/>
  <c r="S25" i="45"/>
  <c r="S137" i="45"/>
  <c r="AB164" i="45"/>
  <c r="S39" i="45"/>
  <c r="S56" i="45"/>
  <c r="S130" i="45"/>
  <c r="AB167" i="45"/>
  <c r="S134" i="45"/>
  <c r="S40" i="45"/>
  <c r="S152" i="45"/>
  <c r="AV6" i="47"/>
  <c r="AB156" i="45"/>
  <c r="AB162" i="45"/>
  <c r="Q171" i="45"/>
  <c r="S171" i="45" s="1"/>
  <c r="Q163" i="45"/>
  <c r="S163" i="45" s="1"/>
  <c r="S5" i="45"/>
  <c r="Q162" i="45"/>
  <c r="S162" i="45" s="1"/>
  <c r="S31" i="45"/>
  <c r="S88" i="45"/>
  <c r="AB169" i="45"/>
  <c r="S149" i="45"/>
  <c r="S34" i="45"/>
  <c r="S27" i="45"/>
  <c r="R169" i="45"/>
  <c r="S128" i="45"/>
  <c r="Q172" i="45"/>
  <c r="S172" i="45" s="1"/>
  <c r="AB172" i="45"/>
  <c r="Q170" i="45"/>
  <c r="S170" i="45" s="1"/>
  <c r="AB170" i="45"/>
  <c r="Q168" i="45"/>
  <c r="S168" i="45" s="1"/>
  <c r="AB168" i="45"/>
  <c r="Q166" i="45"/>
  <c r="S166" i="45" s="1"/>
  <c r="AB166" i="45"/>
  <c r="Q165" i="45"/>
  <c r="S165" i="45" s="1"/>
  <c r="AB165" i="45"/>
  <c r="AB161" i="45"/>
  <c r="Q161" i="45"/>
  <c r="S161" i="45" s="1"/>
  <c r="AB159" i="45"/>
  <c r="Q159" i="45"/>
  <c r="S159" i="45" s="1"/>
  <c r="AB157" i="45"/>
  <c r="Q157" i="45"/>
  <c r="S157" i="45" s="1"/>
  <c r="AR6" i="47"/>
  <c r="R91" i="45"/>
  <c r="AJ23" i="45" s="1"/>
  <c r="AB91" i="45"/>
  <c r="Q17" i="45"/>
  <c r="AF18" i="45" s="1"/>
  <c r="D127" i="42"/>
  <c r="J9" i="24" s="1"/>
  <c r="S115" i="45"/>
  <c r="D83" i="42"/>
  <c r="J7" i="24" s="1"/>
  <c r="S140" i="45"/>
  <c r="S97" i="45"/>
  <c r="S6" i="45"/>
  <c r="D15" i="42"/>
  <c r="D61" i="42"/>
  <c r="J6" i="24" s="1"/>
  <c r="AB32" i="45"/>
  <c r="S108" i="45"/>
  <c r="D193" i="42"/>
  <c r="J12" i="24" s="1"/>
  <c r="AN6" i="47"/>
  <c r="R32" i="45"/>
  <c r="AJ19" i="45" s="1"/>
  <c r="S65" i="45"/>
  <c r="D39" i="42"/>
  <c r="J5" i="24" s="1"/>
  <c r="AS6" i="47"/>
  <c r="R106" i="45"/>
  <c r="AJ24" i="45" s="1"/>
  <c r="AT6" i="47"/>
  <c r="D149" i="42"/>
  <c r="J10" i="24" s="1"/>
  <c r="D171" i="42"/>
  <c r="J11" i="24" s="1"/>
  <c r="S80" i="45"/>
  <c r="AL30" i="45" l="1"/>
  <c r="O6" i="50" s="1"/>
  <c r="AH22" i="45"/>
  <c r="AL19" i="45"/>
  <c r="O6" i="46" s="1"/>
  <c r="AL26" i="45"/>
  <c r="O6" i="36" s="1"/>
  <c r="AP22" i="45"/>
  <c r="AL29" i="45"/>
  <c r="O6" i="49" s="1"/>
  <c r="AL28" i="45"/>
  <c r="O6" i="48" s="1"/>
  <c r="AL24" i="45"/>
  <c r="O6" i="32" s="1"/>
  <c r="J6" i="50"/>
  <c r="AM30" i="45"/>
  <c r="E6" i="50" s="1"/>
  <c r="AY6" i="47"/>
  <c r="AO30" i="45"/>
  <c r="AP30" i="45" s="1"/>
  <c r="AP26" i="45"/>
  <c r="J6" i="36"/>
  <c r="AM26" i="45"/>
  <c r="E6" i="36" s="1"/>
  <c r="W154" i="45"/>
  <c r="AN27" i="45" s="1"/>
  <c r="AP27" i="45" s="1"/>
  <c r="T154" i="45"/>
  <c r="AG27" i="45" s="1"/>
  <c r="AH27" i="45" s="1"/>
  <c r="AP25" i="45"/>
  <c r="AP24" i="45"/>
  <c r="Y106" i="45"/>
  <c r="AP23" i="45"/>
  <c r="AL23" i="45"/>
  <c r="O6" i="31" s="1"/>
  <c r="O10" i="31" s="1"/>
  <c r="O27" i="31" s="1"/>
  <c r="AP20" i="45"/>
  <c r="AP18" i="45"/>
  <c r="AH18" i="45"/>
  <c r="V17" i="45"/>
  <c r="Y157" i="45"/>
  <c r="Y17" i="45"/>
  <c r="V47" i="45"/>
  <c r="V91" i="45"/>
  <c r="T176" i="45"/>
  <c r="AG28" i="45" s="1"/>
  <c r="Y32" i="45"/>
  <c r="Y220" i="45"/>
  <c r="V76" i="45"/>
  <c r="V154" i="45"/>
  <c r="Y47" i="45"/>
  <c r="V176" i="45"/>
  <c r="V122" i="45"/>
  <c r="Y154" i="45"/>
  <c r="V106" i="45"/>
  <c r="V138" i="45"/>
  <c r="Y91" i="45"/>
  <c r="N9" i="24" s="1"/>
  <c r="W198" i="45"/>
  <c r="AN29" i="45" s="1"/>
  <c r="AP29" i="45" s="1"/>
  <c r="Y178" i="45"/>
  <c r="Y198" i="45" s="1"/>
  <c r="V220" i="45"/>
  <c r="Y76" i="45"/>
  <c r="T61" i="45"/>
  <c r="AG21" i="45" s="1"/>
  <c r="W61" i="45"/>
  <c r="Y138" i="45"/>
  <c r="Y176" i="45"/>
  <c r="V178" i="45"/>
  <c r="V198" i="45" s="1"/>
  <c r="T198" i="45"/>
  <c r="AG29" i="45" s="1"/>
  <c r="Y122" i="45"/>
  <c r="V61" i="45"/>
  <c r="Y61" i="45"/>
  <c r="Z198" i="45"/>
  <c r="AE29" i="45" s="1"/>
  <c r="Q154" i="45"/>
  <c r="Z176" i="45"/>
  <c r="AE28" i="45" s="1"/>
  <c r="AH28" i="45" s="1"/>
  <c r="O10" i="46"/>
  <c r="O27" i="46" s="1"/>
  <c r="AY14" i="47"/>
  <c r="AY18" i="47" s="1"/>
  <c r="AY28" i="47" s="1"/>
  <c r="AY10" i="47"/>
  <c r="AY27" i="47" s="1"/>
  <c r="Q176" i="45"/>
  <c r="AF28" i="45" s="1"/>
  <c r="R176" i="45"/>
  <c r="AJ28" i="45" s="1"/>
  <c r="D212" i="42"/>
  <c r="D215" i="42" s="1"/>
  <c r="J13" i="24" s="1"/>
  <c r="AW6" i="47"/>
  <c r="Q91" i="45"/>
  <c r="AF23" i="45" s="1"/>
  <c r="AH23" i="45" s="1"/>
  <c r="AB220" i="45"/>
  <c r="Q220" i="45"/>
  <c r="AA6" i="47"/>
  <c r="AA14" i="47" s="1"/>
  <c r="AA18" i="47" s="1"/>
  <c r="AA28" i="47" s="1"/>
  <c r="AB106" i="45"/>
  <c r="R47" i="45"/>
  <c r="AJ20" i="45" s="1"/>
  <c r="AL20" i="45" s="1"/>
  <c r="O6" i="28" s="1"/>
  <c r="R220" i="45"/>
  <c r="AJ30" i="45" s="1"/>
  <c r="AU6" i="47"/>
  <c r="AU14" i="47" s="1"/>
  <c r="AU18" i="47" s="1"/>
  <c r="AU28" i="47" s="1"/>
  <c r="AO6" i="47"/>
  <c r="AO14" i="47" s="1"/>
  <c r="AO18" i="47" s="1"/>
  <c r="AO28" i="47" s="1"/>
  <c r="AB61" i="45"/>
  <c r="R122" i="45"/>
  <c r="AJ25" i="45" s="1"/>
  <c r="AL25" i="45" s="1"/>
  <c r="O6" i="35" s="1"/>
  <c r="R154" i="45"/>
  <c r="AJ27" i="45" s="1"/>
  <c r="Q122" i="45"/>
  <c r="AF25" i="45" s="1"/>
  <c r="AH25" i="45" s="1"/>
  <c r="N13" i="24"/>
  <c r="S169" i="45"/>
  <c r="S176" i="45" s="1"/>
  <c r="AB198" i="45"/>
  <c r="S47" i="45"/>
  <c r="AX6" i="47"/>
  <c r="AB138" i="45"/>
  <c r="R61" i="45"/>
  <c r="AJ21" i="45" s="1"/>
  <c r="AL21" i="45" s="1"/>
  <c r="O6" i="29" s="1"/>
  <c r="AD6" i="47"/>
  <c r="AD10" i="47" s="1"/>
  <c r="AD27" i="47" s="1"/>
  <c r="R198" i="45"/>
  <c r="AJ29" i="45" s="1"/>
  <c r="AB47" i="45"/>
  <c r="Q198" i="45"/>
  <c r="AB176" i="45"/>
  <c r="R138" i="45"/>
  <c r="AJ26" i="45" s="1"/>
  <c r="AB76" i="45"/>
  <c r="S91" i="45"/>
  <c r="AG6" i="47"/>
  <c r="AP6" i="47"/>
  <c r="AP14" i="47" s="1"/>
  <c r="AP18" i="47" s="1"/>
  <c r="AP28" i="47" s="1"/>
  <c r="S154" i="45"/>
  <c r="AH6" i="47"/>
  <c r="S220" i="45"/>
  <c r="Q76" i="45"/>
  <c r="AF22" i="45" s="1"/>
  <c r="AB122" i="45"/>
  <c r="AB17" i="45"/>
  <c r="X6" i="47"/>
  <c r="X14" i="47" s="1"/>
  <c r="X18" i="47" s="1"/>
  <c r="X28" i="47" s="1"/>
  <c r="AT10" i="47"/>
  <c r="AT27" i="47" s="1"/>
  <c r="AT14" i="47"/>
  <c r="AT18" i="47" s="1"/>
  <c r="AT28" i="47" s="1"/>
  <c r="AN10" i="47"/>
  <c r="AN27" i="47" s="1"/>
  <c r="AN14" i="47"/>
  <c r="AN18" i="47" s="1"/>
  <c r="AN28" i="47" s="1"/>
  <c r="V6" i="47"/>
  <c r="O10" i="32"/>
  <c r="O27" i="32" s="1"/>
  <c r="O14" i="32"/>
  <c r="O18" i="32" s="1"/>
  <c r="O28" i="32" s="1"/>
  <c r="S106" i="45"/>
  <c r="S32" i="45"/>
  <c r="AS14" i="47"/>
  <c r="AS18" i="47" s="1"/>
  <c r="AS28" i="47" s="1"/>
  <c r="AS10" i="47"/>
  <c r="AS27" i="47" s="1"/>
  <c r="AB6" i="47"/>
  <c r="D18" i="42"/>
  <c r="J4" i="24" s="1"/>
  <c r="AF6" i="47"/>
  <c r="AC6" i="47"/>
  <c r="W6" i="47"/>
  <c r="Q138" i="45"/>
  <c r="R76" i="45"/>
  <c r="AJ22" i="45" s="1"/>
  <c r="R17" i="45"/>
  <c r="AJ18" i="45" s="1"/>
  <c r="Q61" i="45"/>
  <c r="Q47" i="45"/>
  <c r="AF20" i="45" s="1"/>
  <c r="AH20" i="45" s="1"/>
  <c r="Q106" i="45"/>
  <c r="Z6" i="47"/>
  <c r="AQ6" i="47"/>
  <c r="Q32" i="45"/>
  <c r="AF19" i="45" s="1"/>
  <c r="AH19" i="45" s="1"/>
  <c r="AR14" i="47"/>
  <c r="AR18" i="47" s="1"/>
  <c r="AR28" i="47" s="1"/>
  <c r="AR10" i="47"/>
  <c r="AR27" i="47" s="1"/>
  <c r="AV10" i="47"/>
  <c r="AV27" i="47" s="1"/>
  <c r="AV14" i="47"/>
  <c r="AV18" i="47" s="1"/>
  <c r="AV28" i="47" s="1"/>
  <c r="S17" i="45"/>
  <c r="J6" i="48" l="1"/>
  <c r="AM28" i="45"/>
  <c r="E6" i="48" s="1"/>
  <c r="J6" i="30"/>
  <c r="J14" i="30" s="1"/>
  <c r="J18" i="30" s="1"/>
  <c r="J28" i="30" s="1"/>
  <c r="AM22" i="45"/>
  <c r="E6" i="30" s="1"/>
  <c r="J6" i="46"/>
  <c r="J14" i="46" s="1"/>
  <c r="J18" i="46" s="1"/>
  <c r="J28" i="46" s="1"/>
  <c r="AM19" i="45"/>
  <c r="E6" i="46" s="1"/>
  <c r="O14" i="31"/>
  <c r="O18" i="31" s="1"/>
  <c r="O28" i="31" s="1"/>
  <c r="J6" i="37"/>
  <c r="AM27" i="45"/>
  <c r="E6" i="37" s="1"/>
  <c r="E10" i="37" s="1"/>
  <c r="AE6" i="47"/>
  <c r="AE10" i="47" s="1"/>
  <c r="AE27" i="47" s="1"/>
  <c r="J6" i="35"/>
  <c r="J10" i="35" s="1"/>
  <c r="J27" i="35" s="1"/>
  <c r="AM25" i="45"/>
  <c r="E6" i="35" s="1"/>
  <c r="J6" i="31"/>
  <c r="AM23" i="45"/>
  <c r="E6" i="31" s="1"/>
  <c r="Y6" i="47"/>
  <c r="Y10" i="47" s="1"/>
  <c r="Y27" i="47" s="1"/>
  <c r="AN21" i="45"/>
  <c r="AP21" i="45" s="1"/>
  <c r="J6" i="28"/>
  <c r="AM20" i="45"/>
  <c r="E6" i="28" s="1"/>
  <c r="AL18" i="45"/>
  <c r="O6" i="25" s="1"/>
  <c r="J6" i="25"/>
  <c r="J10" i="25" s="1"/>
  <c r="J27" i="25" s="1"/>
  <c r="O14" i="50"/>
  <c r="O18" i="50" s="1"/>
  <c r="O28" i="50" s="1"/>
  <c r="O14" i="49"/>
  <c r="O18" i="49" s="1"/>
  <c r="O28" i="49" s="1"/>
  <c r="AF27" i="45"/>
  <c r="AF30" i="45"/>
  <c r="AF21" i="45"/>
  <c r="J10" i="36"/>
  <c r="J27" i="36" s="1"/>
  <c r="AF26" i="45"/>
  <c r="AF29" i="45"/>
  <c r="AF24" i="45"/>
  <c r="AH24" i="45" s="1"/>
  <c r="O10" i="29"/>
  <c r="O27" i="29" s="1"/>
  <c r="O14" i="46"/>
  <c r="O18" i="46" s="1"/>
  <c r="O28" i="46" s="1"/>
  <c r="O31" i="46" s="1"/>
  <c r="O36" i="46" s="1"/>
  <c r="O37" i="46" s="1"/>
  <c r="D5" i="24" s="1"/>
  <c r="N6" i="47"/>
  <c r="N23" i="47" s="1"/>
  <c r="J17" i="24"/>
  <c r="AE14" i="47"/>
  <c r="AE18" i="47" s="1"/>
  <c r="AE28" i="47" s="1"/>
  <c r="AE31" i="47" s="1"/>
  <c r="AE36" i="47" s="1"/>
  <c r="AE37" i="47" s="1"/>
  <c r="AY31" i="47"/>
  <c r="AY36" i="47" s="1"/>
  <c r="AY37" i="47" s="1"/>
  <c r="O14" i="36"/>
  <c r="O18" i="36" s="1"/>
  <c r="O28" i="36" s="1"/>
  <c r="O14" i="37"/>
  <c r="O18" i="37" s="1"/>
  <c r="O28" i="37" s="1"/>
  <c r="M13" i="24"/>
  <c r="O14" i="35"/>
  <c r="O18" i="35" s="1"/>
  <c r="O28" i="35" s="1"/>
  <c r="J10" i="31"/>
  <c r="J27" i="31" s="1"/>
  <c r="O6" i="47"/>
  <c r="O23" i="47" s="1"/>
  <c r="N14" i="24"/>
  <c r="AF14" i="47"/>
  <c r="AF18" i="47" s="1"/>
  <c r="AF28" i="47" s="1"/>
  <c r="AF10" i="47"/>
  <c r="AF27" i="47" s="1"/>
  <c r="AG14" i="47"/>
  <c r="AG18" i="47" s="1"/>
  <c r="AG28" i="47" s="1"/>
  <c r="AG10" i="47"/>
  <c r="AG27" i="47" s="1"/>
  <c r="AW10" i="47"/>
  <c r="AW27" i="47" s="1"/>
  <c r="AW14" i="47"/>
  <c r="AW18" i="47" s="1"/>
  <c r="AW28" i="47" s="1"/>
  <c r="AX10" i="47"/>
  <c r="AX27" i="47" s="1"/>
  <c r="AX14" i="47"/>
  <c r="AX18" i="47" s="1"/>
  <c r="AX28" i="47" s="1"/>
  <c r="Q6" i="47"/>
  <c r="Q23" i="47" s="1"/>
  <c r="N16" i="24"/>
  <c r="AH10" i="47"/>
  <c r="AH27" i="47" s="1"/>
  <c r="AH14" i="47"/>
  <c r="AH18" i="47" s="1"/>
  <c r="AH28" i="47" s="1"/>
  <c r="AU10" i="47"/>
  <c r="AU27" i="47" s="1"/>
  <c r="AU31" i="47" s="1"/>
  <c r="AU36" i="47" s="1"/>
  <c r="AU37" i="47" s="1"/>
  <c r="S61" i="45"/>
  <c r="I6" i="47"/>
  <c r="I23" i="47" s="1"/>
  <c r="AD14" i="47"/>
  <c r="AD18" i="47" s="1"/>
  <c r="AD28" i="47" s="1"/>
  <c r="AD31" i="47" s="1"/>
  <c r="AD36" i="47" s="1"/>
  <c r="AD37" i="47" s="1"/>
  <c r="S122" i="45"/>
  <c r="AA10" i="47"/>
  <c r="AA27" i="47" s="1"/>
  <c r="AA31" i="47" s="1"/>
  <c r="AA36" i="47" s="1"/>
  <c r="AA37" i="47" s="1"/>
  <c r="O31" i="31"/>
  <c r="O36" i="31" s="1"/>
  <c r="O37" i="31" s="1"/>
  <c r="D9" i="24" s="1"/>
  <c r="S198" i="45"/>
  <c r="S138" i="45"/>
  <c r="M6" i="47"/>
  <c r="AO10" i="47"/>
  <c r="AO27" i="47" s="1"/>
  <c r="AO31" i="47" s="1"/>
  <c r="AO36" i="47" s="1"/>
  <c r="AO37" i="47" s="1"/>
  <c r="AS31" i="47"/>
  <c r="AS36" i="47" s="1"/>
  <c r="AS37" i="47" s="1"/>
  <c r="S76" i="45"/>
  <c r="M9" i="24"/>
  <c r="X10" i="47"/>
  <c r="X27" i="47" s="1"/>
  <c r="X31" i="47" s="1"/>
  <c r="X36" i="47" s="1"/>
  <c r="X37" i="47" s="1"/>
  <c r="J6" i="47"/>
  <c r="J23" i="47" s="1"/>
  <c r="AT31" i="47"/>
  <c r="AT36" i="47" s="1"/>
  <c r="AT37" i="47" s="1"/>
  <c r="AV31" i="47"/>
  <c r="AV36" i="47" s="1"/>
  <c r="AV37" i="47" s="1"/>
  <c r="AP10" i="47"/>
  <c r="AP27" i="47" s="1"/>
  <c r="AP31" i="47" s="1"/>
  <c r="AP36" i="47" s="1"/>
  <c r="AP37" i="47" s="1"/>
  <c r="M10" i="24"/>
  <c r="L6" i="47"/>
  <c r="L23" i="47" s="1"/>
  <c r="N11" i="24"/>
  <c r="V14" i="47"/>
  <c r="V18" i="47" s="1"/>
  <c r="V28" i="47" s="1"/>
  <c r="V10" i="47"/>
  <c r="V27" i="47" s="1"/>
  <c r="AM6" i="47"/>
  <c r="G6" i="47"/>
  <c r="N6" i="24"/>
  <c r="O31" i="32"/>
  <c r="O36" i="32" s="1"/>
  <c r="O37" i="32" s="1"/>
  <c r="D10" i="24" s="1"/>
  <c r="AR31" i="47"/>
  <c r="AR36" i="47" s="1"/>
  <c r="AR37" i="47" s="1"/>
  <c r="E6" i="47"/>
  <c r="N4" i="24"/>
  <c r="M4" i="24"/>
  <c r="AQ14" i="47"/>
  <c r="AQ18" i="47" s="1"/>
  <c r="AQ28" i="47" s="1"/>
  <c r="AQ10" i="47"/>
  <c r="AQ27" i="47" s="1"/>
  <c r="K6" i="47"/>
  <c r="K23" i="47" s="1"/>
  <c r="N10" i="24"/>
  <c r="Z10" i="47"/>
  <c r="Z27" i="47" s="1"/>
  <c r="Z14" i="47"/>
  <c r="Z18" i="47" s="1"/>
  <c r="Z28" i="47" s="1"/>
  <c r="Y14" i="47"/>
  <c r="Y18" i="47" s="1"/>
  <c r="Y28" i="47" s="1"/>
  <c r="W10" i="47"/>
  <c r="W27" i="47" s="1"/>
  <c r="W14" i="47"/>
  <c r="W18" i="47" s="1"/>
  <c r="W28" i="47" s="1"/>
  <c r="AB10" i="47"/>
  <c r="AB27" i="47" s="1"/>
  <c r="AB14" i="47"/>
  <c r="AB18" i="47" s="1"/>
  <c r="AB28" i="47" s="1"/>
  <c r="AN31" i="47"/>
  <c r="AN36" i="47" s="1"/>
  <c r="AN37" i="47" s="1"/>
  <c r="F6" i="47"/>
  <c r="N5" i="24"/>
  <c r="O10" i="30"/>
  <c r="O27" i="30" s="1"/>
  <c r="O14" i="30"/>
  <c r="O18" i="30" s="1"/>
  <c r="O28" i="30" s="1"/>
  <c r="AC14" i="47"/>
  <c r="AC18" i="47" s="1"/>
  <c r="AC28" i="47" s="1"/>
  <c r="AC10" i="47"/>
  <c r="AC27" i="47" s="1"/>
  <c r="M5" i="24"/>
  <c r="J6" i="49" l="1"/>
  <c r="J14" i="49" s="1"/>
  <c r="J18" i="49" s="1"/>
  <c r="J28" i="49" s="1"/>
  <c r="AM29" i="45"/>
  <c r="E6" i="49" s="1"/>
  <c r="AM24" i="45"/>
  <c r="E6" i="32" s="1"/>
  <c r="E10" i="32" s="1"/>
  <c r="J6" i="32"/>
  <c r="AH21" i="45"/>
  <c r="AM18" i="45"/>
  <c r="E6" i="25" s="1"/>
  <c r="E10" i="25" s="1"/>
  <c r="J14" i="25"/>
  <c r="J18" i="25" s="1"/>
  <c r="J28" i="25" s="1"/>
  <c r="J31" i="25" s="1"/>
  <c r="J36" i="25" s="1"/>
  <c r="J37" i="25" s="1"/>
  <c r="C4" i="24" s="1"/>
  <c r="N8" i="24"/>
  <c r="J14" i="36"/>
  <c r="J18" i="36" s="1"/>
  <c r="J28" i="36" s="1"/>
  <c r="J31" i="36" s="1"/>
  <c r="J36" i="36" s="1"/>
  <c r="J37" i="36" s="1"/>
  <c r="E23" i="46"/>
  <c r="J14" i="37"/>
  <c r="J18" i="37" s="1"/>
  <c r="J28" i="37" s="1"/>
  <c r="J10" i="37"/>
  <c r="J27" i="37" s="1"/>
  <c r="J10" i="46"/>
  <c r="J27" i="46" s="1"/>
  <c r="J31" i="46" s="1"/>
  <c r="J36" i="46" s="1"/>
  <c r="J37" i="46" s="1"/>
  <c r="N14" i="47"/>
  <c r="N18" i="47" s="1"/>
  <c r="N28" i="47" s="1"/>
  <c r="J14" i="50"/>
  <c r="J18" i="50" s="1"/>
  <c r="J28" i="50" s="1"/>
  <c r="O14" i="48"/>
  <c r="O18" i="48" s="1"/>
  <c r="O28" i="48" s="1"/>
  <c r="J14" i="28"/>
  <c r="J18" i="28" s="1"/>
  <c r="J28" i="28" s="1"/>
  <c r="O10" i="49"/>
  <c r="O27" i="49" s="1"/>
  <c r="O31" i="49" s="1"/>
  <c r="O36" i="49" s="1"/>
  <c r="O37" i="49" s="1"/>
  <c r="D15" i="24" s="1"/>
  <c r="J10" i="28"/>
  <c r="J27" i="28" s="1"/>
  <c r="N10" i="47"/>
  <c r="N27" i="47" s="1"/>
  <c r="O10" i="50"/>
  <c r="O27" i="50" s="1"/>
  <c r="O31" i="50" s="1"/>
  <c r="O36" i="50" s="1"/>
  <c r="O37" i="50" s="1"/>
  <c r="D16" i="24" s="1"/>
  <c r="E14" i="37"/>
  <c r="E18" i="37" s="1"/>
  <c r="J10" i="30"/>
  <c r="J27" i="30" s="1"/>
  <c r="J31" i="30" s="1"/>
  <c r="J36" i="30" s="1"/>
  <c r="J37" i="30" s="1"/>
  <c r="C8" i="24" s="1"/>
  <c r="O10" i="36"/>
  <c r="O27" i="36" s="1"/>
  <c r="O31" i="36" s="1"/>
  <c r="O36" i="36" s="1"/>
  <c r="O37" i="36" s="1"/>
  <c r="D12" i="24" s="1"/>
  <c r="J14" i="31"/>
  <c r="J18" i="31" s="1"/>
  <c r="J28" i="31" s="1"/>
  <c r="J31" i="31" s="1"/>
  <c r="J36" i="31" s="1"/>
  <c r="J37" i="31" s="1"/>
  <c r="E37" i="31" s="1"/>
  <c r="E9" i="24" s="1"/>
  <c r="E23" i="31"/>
  <c r="O14" i="29"/>
  <c r="O18" i="29" s="1"/>
  <c r="O28" i="29" s="1"/>
  <c r="O31" i="29" s="1"/>
  <c r="O36" i="29" s="1"/>
  <c r="O37" i="29" s="1"/>
  <c r="D7" i="24" s="1"/>
  <c r="AF31" i="47"/>
  <c r="AF36" i="47" s="1"/>
  <c r="AF37" i="47" s="1"/>
  <c r="O10" i="37"/>
  <c r="O27" i="37" s="1"/>
  <c r="O31" i="37" s="1"/>
  <c r="O36" i="37" s="1"/>
  <c r="O37" i="37" s="1"/>
  <c r="AW31" i="47"/>
  <c r="AW36" i="47" s="1"/>
  <c r="AW37" i="47" s="1"/>
  <c r="O10" i="35"/>
  <c r="O27" i="35" s="1"/>
  <c r="O31" i="35" s="1"/>
  <c r="O36" i="35" s="1"/>
  <c r="O37" i="35" s="1"/>
  <c r="E23" i="37"/>
  <c r="AX31" i="47"/>
  <c r="AX36" i="47" s="1"/>
  <c r="AX37" i="47" s="1"/>
  <c r="E23" i="36"/>
  <c r="P6" i="47"/>
  <c r="N15" i="24"/>
  <c r="AG31" i="47"/>
  <c r="AG36" i="47" s="1"/>
  <c r="AG37" i="47" s="1"/>
  <c r="O14" i="47"/>
  <c r="O18" i="47" s="1"/>
  <c r="O28" i="47" s="1"/>
  <c r="O10" i="47"/>
  <c r="O27" i="47" s="1"/>
  <c r="M8" i="24"/>
  <c r="E23" i="30"/>
  <c r="J14" i="35"/>
  <c r="J18" i="35" s="1"/>
  <c r="J28" i="35" s="1"/>
  <c r="J31" i="35" s="1"/>
  <c r="J36" i="35" s="1"/>
  <c r="J37" i="35" s="1"/>
  <c r="C11" i="24" s="1"/>
  <c r="AH31" i="47"/>
  <c r="AH36" i="47" s="1"/>
  <c r="AH37" i="47" s="1"/>
  <c r="Q37" i="47" s="1"/>
  <c r="F16" i="24" s="1"/>
  <c r="Q10" i="47"/>
  <c r="Q27" i="47" s="1"/>
  <c r="Q14" i="47"/>
  <c r="Q18" i="47" s="1"/>
  <c r="Q28" i="47" s="1"/>
  <c r="N37" i="47"/>
  <c r="M12" i="24"/>
  <c r="AC31" i="47"/>
  <c r="AC36" i="47" s="1"/>
  <c r="AC37" i="47" s="1"/>
  <c r="L37" i="47" s="1"/>
  <c r="F11" i="24" s="1"/>
  <c r="M37" i="47"/>
  <c r="F12" i="24" s="1"/>
  <c r="N12" i="24"/>
  <c r="M11" i="24"/>
  <c r="N7" i="24"/>
  <c r="H6" i="47"/>
  <c r="H23" i="47" s="1"/>
  <c r="Y31" i="47"/>
  <c r="Y36" i="47" s="1"/>
  <c r="Y37" i="47" s="1"/>
  <c r="H37" i="47" s="1"/>
  <c r="F7" i="24" s="1"/>
  <c r="I10" i="47"/>
  <c r="I27" i="47" s="1"/>
  <c r="G37" i="47"/>
  <c r="F6" i="24" s="1"/>
  <c r="I14" i="47"/>
  <c r="I18" i="47" s="1"/>
  <c r="I28" i="47" s="1"/>
  <c r="J37" i="47"/>
  <c r="F9" i="24" s="1"/>
  <c r="E14" i="31"/>
  <c r="E18" i="31" s="1"/>
  <c r="E10" i="31"/>
  <c r="J14" i="47"/>
  <c r="J18" i="47" s="1"/>
  <c r="J28" i="47" s="1"/>
  <c r="J10" i="47"/>
  <c r="J27" i="47" s="1"/>
  <c r="O31" i="30"/>
  <c r="O36" i="30" s="1"/>
  <c r="O37" i="30" s="1"/>
  <c r="D8" i="24" s="1"/>
  <c r="W31" i="47"/>
  <c r="W36" i="47" s="1"/>
  <c r="W37" i="47" s="1"/>
  <c r="F37" i="47" s="1"/>
  <c r="F5" i="24" s="1"/>
  <c r="V31" i="47"/>
  <c r="V36" i="47" s="1"/>
  <c r="V37" i="47" s="1"/>
  <c r="E23" i="47"/>
  <c r="Z31" i="47"/>
  <c r="Z36" i="47" s="1"/>
  <c r="Z37" i="47" s="1"/>
  <c r="L14" i="47"/>
  <c r="L18" i="47" s="1"/>
  <c r="L28" i="47" s="1"/>
  <c r="L10" i="47"/>
  <c r="L27" i="47" s="1"/>
  <c r="M10" i="47"/>
  <c r="M14" i="47"/>
  <c r="M18" i="47" s="1"/>
  <c r="M23" i="47"/>
  <c r="E10" i="47"/>
  <c r="E14" i="47"/>
  <c r="E18" i="47" s="1"/>
  <c r="F14" i="47"/>
  <c r="F18" i="47" s="1"/>
  <c r="F10" i="47"/>
  <c r="K10" i="47"/>
  <c r="K27" i="47" s="1"/>
  <c r="K14" i="47"/>
  <c r="K18" i="47" s="1"/>
  <c r="K28" i="47" s="1"/>
  <c r="E14" i="46"/>
  <c r="E18" i="46" s="1"/>
  <c r="E10" i="46"/>
  <c r="AB31" i="47"/>
  <c r="AB36" i="47" s="1"/>
  <c r="AB37" i="47" s="1"/>
  <c r="K37" i="47" s="1"/>
  <c r="F10" i="24" s="1"/>
  <c r="AQ31" i="47"/>
  <c r="AQ36" i="47" s="1"/>
  <c r="AQ37" i="47" s="1"/>
  <c r="G10" i="47"/>
  <c r="G14" i="47"/>
  <c r="G18" i="47" s="1"/>
  <c r="G23" i="47"/>
  <c r="AM10" i="47"/>
  <c r="AM27" i="47" s="1"/>
  <c r="AM14" i="47"/>
  <c r="AM18" i="47" s="1"/>
  <c r="AM28" i="47" s="1"/>
  <c r="O10" i="25"/>
  <c r="O27" i="25" s="1"/>
  <c r="O14" i="25"/>
  <c r="O18" i="25" s="1"/>
  <c r="O28" i="25" s="1"/>
  <c r="E14" i="35"/>
  <c r="E18" i="35" s="1"/>
  <c r="E10" i="35"/>
  <c r="E23" i="35"/>
  <c r="F23" i="47"/>
  <c r="E14" i="32" l="1"/>
  <c r="E18" i="32" s="1"/>
  <c r="J14" i="32"/>
  <c r="J18" i="32" s="1"/>
  <c r="J28" i="32" s="1"/>
  <c r="J10" i="32"/>
  <c r="J27" i="32" s="1"/>
  <c r="E23" i="32"/>
  <c r="E27" i="32" s="1"/>
  <c r="J6" i="29"/>
  <c r="AM21" i="45"/>
  <c r="E6" i="29" s="1"/>
  <c r="M7" i="24" s="1"/>
  <c r="E27" i="46"/>
  <c r="E28" i="46"/>
  <c r="E23" i="25"/>
  <c r="E27" i="25" s="1"/>
  <c r="E14" i="25"/>
  <c r="E18" i="25" s="1"/>
  <c r="O10" i="28"/>
  <c r="O27" i="28" s="1"/>
  <c r="J31" i="37"/>
  <c r="J36" i="37" s="1"/>
  <c r="J37" i="37" s="1"/>
  <c r="C13" i="24" s="1"/>
  <c r="O14" i="28"/>
  <c r="O18" i="28" s="1"/>
  <c r="O28" i="28" s="1"/>
  <c r="O31" i="28" s="1"/>
  <c r="O36" i="28" s="1"/>
  <c r="O37" i="28" s="1"/>
  <c r="D6" i="24" s="1"/>
  <c r="J31" i="28"/>
  <c r="J36" i="28" s="1"/>
  <c r="J37" i="28" s="1"/>
  <c r="C6" i="24" s="1"/>
  <c r="O10" i="48"/>
  <c r="O27" i="48" s="1"/>
  <c r="O31" i="48" s="1"/>
  <c r="O36" i="48" s="1"/>
  <c r="O37" i="48" s="1"/>
  <c r="D14" i="24" s="1"/>
  <c r="J10" i="50"/>
  <c r="J27" i="50" s="1"/>
  <c r="J31" i="50" s="1"/>
  <c r="J36" i="50" s="1"/>
  <c r="J37" i="50" s="1"/>
  <c r="M15" i="24"/>
  <c r="J10" i="49"/>
  <c r="J27" i="49" s="1"/>
  <c r="J31" i="49" s="1"/>
  <c r="J36" i="49" s="1"/>
  <c r="J37" i="49" s="1"/>
  <c r="C15" i="24" s="1"/>
  <c r="E28" i="37"/>
  <c r="N31" i="47"/>
  <c r="N36" i="47" s="1"/>
  <c r="E27" i="37"/>
  <c r="P37" i="47"/>
  <c r="F15" i="24" s="1"/>
  <c r="E37" i="36"/>
  <c r="E12" i="24" s="1"/>
  <c r="E27" i="31"/>
  <c r="E28" i="31"/>
  <c r="E10" i="36"/>
  <c r="E27" i="36" s="1"/>
  <c r="E14" i="36"/>
  <c r="E18" i="36" s="1"/>
  <c r="E28" i="36" s="1"/>
  <c r="O37" i="47"/>
  <c r="F14" i="24" s="1"/>
  <c r="D11" i="24"/>
  <c r="E37" i="35"/>
  <c r="E11" i="24" s="1"/>
  <c r="D13" i="24"/>
  <c r="O31" i="47"/>
  <c r="O36" i="47" s="1"/>
  <c r="C9" i="24"/>
  <c r="P10" i="47"/>
  <c r="P14" i="47"/>
  <c r="P18" i="47" s="1"/>
  <c r="P23" i="47"/>
  <c r="N17" i="24"/>
  <c r="Q31" i="47"/>
  <c r="Q36" i="47" s="1"/>
  <c r="H14" i="47"/>
  <c r="H18" i="47" s="1"/>
  <c r="H28" i="47" s="1"/>
  <c r="F13" i="24"/>
  <c r="H10" i="47"/>
  <c r="H27" i="47" s="1"/>
  <c r="E14" i="30"/>
  <c r="E18" i="30" s="1"/>
  <c r="E28" i="30" s="1"/>
  <c r="E10" i="30"/>
  <c r="E27" i="30" s="1"/>
  <c r="D130" i="42"/>
  <c r="C12" i="24"/>
  <c r="J31" i="47"/>
  <c r="J36" i="47" s="1"/>
  <c r="E27" i="47"/>
  <c r="E28" i="47"/>
  <c r="AM31" i="47"/>
  <c r="AM36" i="47" s="1"/>
  <c r="AM37" i="47" s="1"/>
  <c r="E37" i="47" s="1"/>
  <c r="F4" i="24" s="1"/>
  <c r="E37" i="30"/>
  <c r="D108" i="42" s="1"/>
  <c r="I31" i="47"/>
  <c r="I36" i="47" s="1"/>
  <c r="L31" i="47"/>
  <c r="L36" i="47" s="1"/>
  <c r="O31" i="25"/>
  <c r="O36" i="25" s="1"/>
  <c r="E28" i="35"/>
  <c r="G27" i="47"/>
  <c r="M27" i="47"/>
  <c r="M28" i="47"/>
  <c r="K31" i="47"/>
  <c r="K36" i="47" s="1"/>
  <c r="G28" i="47"/>
  <c r="F27" i="47"/>
  <c r="E27" i="35"/>
  <c r="F28" i="47"/>
  <c r="E37" i="46"/>
  <c r="C5" i="24"/>
  <c r="I37" i="47"/>
  <c r="F8" i="24" s="1"/>
  <c r="E28" i="32" l="1"/>
  <c r="E31" i="32" s="1"/>
  <c r="E36" i="32" s="1"/>
  <c r="J31" i="32"/>
  <c r="J36" i="32" s="1"/>
  <c r="J37" i="32" s="1"/>
  <c r="E37" i="32" s="1"/>
  <c r="E14" i="29"/>
  <c r="E18" i="29" s="1"/>
  <c r="E23" i="29"/>
  <c r="E28" i="29" s="1"/>
  <c r="E10" i="29"/>
  <c r="J10" i="29"/>
  <c r="J27" i="29" s="1"/>
  <c r="J14" i="29"/>
  <c r="J18" i="29" s="1"/>
  <c r="J28" i="29" s="1"/>
  <c r="E31" i="46"/>
  <c r="E36" i="46" s="1"/>
  <c r="E28" i="25"/>
  <c r="E31" i="25" s="1"/>
  <c r="E36" i="25" s="1"/>
  <c r="E14" i="49"/>
  <c r="E18" i="49" s="1"/>
  <c r="E37" i="37"/>
  <c r="E13" i="24" s="1"/>
  <c r="E31" i="37"/>
  <c r="E36" i="37" s="1"/>
  <c r="E37" i="28"/>
  <c r="D64" i="42" s="1"/>
  <c r="E37" i="50"/>
  <c r="E16" i="24" s="1"/>
  <c r="C16" i="24"/>
  <c r="E23" i="49"/>
  <c r="M6" i="24"/>
  <c r="E10" i="28"/>
  <c r="E14" i="28"/>
  <c r="E18" i="28" s="1"/>
  <c r="E23" i="28"/>
  <c r="E10" i="49"/>
  <c r="M16" i="24"/>
  <c r="E10" i="50"/>
  <c r="E23" i="50"/>
  <c r="E14" i="50"/>
  <c r="E18" i="50" s="1"/>
  <c r="E23" i="48"/>
  <c r="J14" i="48"/>
  <c r="J18" i="48" s="1"/>
  <c r="J28" i="48" s="1"/>
  <c r="J10" i="48"/>
  <c r="J27" i="48" s="1"/>
  <c r="E37" i="49"/>
  <c r="E15" i="24" s="1"/>
  <c r="D174" i="42"/>
  <c r="D196" i="42"/>
  <c r="E31" i="31"/>
  <c r="E36" i="31" s="1"/>
  <c r="E31" i="36"/>
  <c r="E36" i="36" s="1"/>
  <c r="P28" i="47"/>
  <c r="P27" i="47"/>
  <c r="O37" i="25"/>
  <c r="D4" i="24" s="1"/>
  <c r="D17" i="24" s="1"/>
  <c r="H31" i="47"/>
  <c r="H36" i="47" s="1"/>
  <c r="F17" i="24"/>
  <c r="E31" i="30"/>
  <c r="E36" i="30" s="1"/>
  <c r="E31" i="47"/>
  <c r="E36" i="47" s="1"/>
  <c r="E8" i="24"/>
  <c r="E31" i="35"/>
  <c r="E36" i="35" s="1"/>
  <c r="G31" i="47"/>
  <c r="G36" i="47" s="1"/>
  <c r="F31" i="47"/>
  <c r="F36" i="47" s="1"/>
  <c r="E5" i="24"/>
  <c r="D42" i="42"/>
  <c r="M31" i="47"/>
  <c r="M36" i="47" s="1"/>
  <c r="E27" i="29" l="1"/>
  <c r="J31" i="29"/>
  <c r="J36" i="29" s="1"/>
  <c r="J37" i="29" s="1"/>
  <c r="C7" i="24" s="1"/>
  <c r="D152" i="42"/>
  <c r="E10" i="24"/>
  <c r="C10" i="24"/>
  <c r="E6" i="24"/>
  <c r="E28" i="49"/>
  <c r="D218" i="42"/>
  <c r="E31" i="29"/>
  <c r="E36" i="29" s="1"/>
  <c r="E27" i="50"/>
  <c r="J31" i="48"/>
  <c r="J36" i="48" s="1"/>
  <c r="J37" i="48" s="1"/>
  <c r="C14" i="24" s="1"/>
  <c r="D284" i="42"/>
  <c r="E27" i="49"/>
  <c r="E28" i="50"/>
  <c r="E28" i="28"/>
  <c r="M14" i="24"/>
  <c r="M17" i="24" s="1"/>
  <c r="E10" i="48"/>
  <c r="E27" i="48" s="1"/>
  <c r="E14" i="48"/>
  <c r="E18" i="48" s="1"/>
  <c r="E28" i="48" s="1"/>
  <c r="E27" i="28"/>
  <c r="D262" i="42"/>
  <c r="P31" i="47"/>
  <c r="P36" i="47" s="1"/>
  <c r="E37" i="25"/>
  <c r="D21" i="42" s="1"/>
  <c r="E37" i="29" l="1"/>
  <c r="C17" i="24"/>
  <c r="E31" i="49"/>
  <c r="E36" i="49" s="1"/>
  <c r="E31" i="50"/>
  <c r="E36" i="50" s="1"/>
  <c r="E37" i="48"/>
  <c r="D240" i="42" s="1"/>
  <c r="E31" i="28"/>
  <c r="E36" i="28" s="1"/>
  <c r="E31" i="48"/>
  <c r="E36" i="48" s="1"/>
  <c r="E4" i="24"/>
  <c r="D86" i="42" l="1"/>
  <c r="E7" i="24"/>
  <c r="E14" i="24"/>
  <c r="E17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TorTennant</author>
  </authors>
  <commentList>
    <comment ref="F3" authorId="0" shapeId="0" xr:uid="{A31E7AA6-6061-4F3D-887D-2F316C37CAF5}">
      <text>
        <r>
          <rPr>
            <b/>
            <sz val="9"/>
            <color indexed="81"/>
            <rFont val="Tahoma"/>
            <family val="2"/>
          </rPr>
          <t>TorTennant:</t>
        </r>
        <r>
          <rPr>
            <sz val="9"/>
            <color indexed="81"/>
            <rFont val="Tahoma"/>
            <family val="2"/>
          </rPr>
          <t xml:space="preserve">
To enable comparison, the UNCAPPED ERs have been included here. 
Please note, they have been capped at 10,000 per annum as is the requirement for micro-scale projects. Please see SL_MP1_ER Calcs_v3_UNCAPPED for the completely uncapped ERs for MP1.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</author>
    <author>User</author>
  </authors>
  <commentList>
    <comment ref="D5" authorId="0" shapeId="0" xr:uid="{5E63A1E9-9A76-486B-9FF5-E7744E3FE5BF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Q17 Baseline Survey</t>
        </r>
      </text>
    </comment>
    <comment ref="D6" authorId="0" shapeId="0" xr:uid="{557360A8-53E7-4254-A05C-A9FDC2B7C69D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Q16 Project Survey</t>
        </r>
      </text>
    </comment>
    <comment ref="D11" authorId="1" shapeId="0" xr:uid="{9E5A6161-E689-4AAA-A2B3-B95A9233589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Source: Q14 Project Survey</t>
        </r>
      </text>
    </comment>
    <comment ref="D26" authorId="0" shapeId="0" xr:uid="{903FFAE9-060D-4142-B484-78651241C55C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Q17 Baseline Survey</t>
        </r>
      </text>
    </comment>
    <comment ref="D27" authorId="0" shapeId="0" xr:uid="{4CFB3DA2-C846-485B-8F21-0BA333E5F437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Q24 Project Survey</t>
        </r>
      </text>
    </comment>
    <comment ref="D48" authorId="0" shapeId="0" xr:uid="{55D3B1FE-AB1D-4FBA-8413-ABAE0DBDF99D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Q17 Baseline Survey</t>
        </r>
      </text>
    </comment>
    <comment ref="D49" authorId="0" shapeId="0" xr:uid="{7C39E991-E19A-46CE-B369-47C61A718BAD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Q24 Project Survey</t>
        </r>
      </text>
    </comment>
    <comment ref="D70" authorId="0" shapeId="0" xr:uid="{CE999918-C863-4569-B356-5D4B342709A8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Q17 Baseline Survey</t>
        </r>
      </text>
    </comment>
    <comment ref="D71" authorId="0" shapeId="0" xr:uid="{4FFDDEB7-B456-44C4-A3C4-CC0AFDC5379A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Q24 Project Survey</t>
        </r>
      </text>
    </comment>
    <comment ref="D92" authorId="0" shapeId="0" xr:uid="{57BA1F8D-8F6F-4779-A5C6-0BE3EDFE33F1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Q17 Baseline Survey</t>
        </r>
      </text>
    </comment>
    <comment ref="D93" authorId="0" shapeId="0" xr:uid="{9F16135B-C7DF-4C00-BB53-47C17E32514D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Q24 Project Survey</t>
        </r>
      </text>
    </comment>
    <comment ref="D114" authorId="0" shapeId="0" xr:uid="{12A5BB6E-E7F9-41AF-91B4-99B39EA830CD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Q17 Baseline Survey</t>
        </r>
      </text>
    </comment>
    <comment ref="D115" authorId="0" shapeId="0" xr:uid="{496B7BA7-042B-4E69-ADF4-B36990E048FD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Q24 Project Survey</t>
        </r>
      </text>
    </comment>
    <comment ref="D136" authorId="0" shapeId="0" xr:uid="{19FEEF68-5219-48B9-BFC6-BAEEC0232AFF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Q17 Baseline Survey</t>
        </r>
      </text>
    </comment>
    <comment ref="D137" authorId="0" shapeId="0" xr:uid="{7BD59216-7563-4E0D-A58C-3781B9606730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Q24 Project Survey</t>
        </r>
      </text>
    </comment>
    <comment ref="D158" authorId="0" shapeId="0" xr:uid="{AB0A6BB6-DC52-44D4-91DC-1D61FBABF83E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Q17 Baseline Survey</t>
        </r>
      </text>
    </comment>
    <comment ref="D159" authorId="0" shapeId="0" xr:uid="{3B4A8E41-D807-43E2-A877-3F08490332BF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Q24 Project Survey</t>
        </r>
      </text>
    </comment>
    <comment ref="D180" authorId="0" shapeId="0" xr:uid="{9B392AF9-51C1-4207-9281-80A99707ACD1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Q17 Baseline Survey</t>
        </r>
      </text>
    </comment>
    <comment ref="D181" authorId="0" shapeId="0" xr:uid="{BC336F7F-4839-4836-99DE-346166DB4718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Q24 Project Survey</t>
        </r>
      </text>
    </comment>
    <comment ref="D202" authorId="0" shapeId="0" xr:uid="{449F1A8F-27AC-4FD2-BBE7-2410ABA4580B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Q17 Baseline Survey</t>
        </r>
      </text>
    </comment>
    <comment ref="D203" authorId="0" shapeId="0" xr:uid="{62C9E9B1-EAE5-40FE-8399-55467BC97019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Q24 Project Survey</t>
        </r>
      </text>
    </comment>
    <comment ref="D224" authorId="0" shapeId="0" xr:uid="{B61CCA7F-80A0-4F5B-BF27-841529DE8265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Q17 Baseline Survey</t>
        </r>
      </text>
    </comment>
    <comment ref="D225" authorId="0" shapeId="0" xr:uid="{1BD75637-39F7-4456-9767-ABABA0D3DFBB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Q24 Project Survey</t>
        </r>
      </text>
    </comment>
    <comment ref="D246" authorId="0" shapeId="0" xr:uid="{72DB29B0-304D-427C-A793-D7A48CD7DB16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Q17 Baseline Survey</t>
        </r>
      </text>
    </comment>
    <comment ref="D247" authorId="0" shapeId="0" xr:uid="{C007525A-C443-4D9D-B869-6C1E283E9433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Q24 Project Survey</t>
        </r>
      </text>
    </comment>
    <comment ref="D268" authorId="0" shapeId="0" xr:uid="{A55D3D7D-30C9-43C7-AB0F-38F69733560C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Q17 Baseline Survey</t>
        </r>
      </text>
    </comment>
    <comment ref="D269" authorId="0" shapeId="0" xr:uid="{9A2C8CA3-4562-4132-843A-21A59140D5FE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Q24 Project Survey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tc={4CAD75F7-F331-40A4-BCA9-736663F5E787}</author>
    <author>tc={D1E70CFD-C0CA-4C1A-B872-D57682EBBAE6}</author>
    <author>tc={C844A1F5-C2A1-47E4-B888-794B15A798E5}</author>
  </authors>
  <commentList>
    <comment ref="AN16" authorId="0" shapeId="0" xr:uid="{4CAD75F7-F331-40A4-BCA9-736663F5E78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failure days</t>
      </text>
    </comment>
    <comment ref="AO16" authorId="1" shapeId="0" xr:uid="{D1E70CFD-C0CA-4C1A-B872-D57682EBBAE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failure days</t>
      </text>
    </comment>
    <comment ref="AP16" authorId="2" shapeId="0" xr:uid="{C844A1F5-C2A1-47E4-B888-794B15A798E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failure days</t>
      </text>
    </comment>
  </commentList>
</comments>
</file>

<file path=xl/sharedStrings.xml><?xml version="1.0" encoding="utf-8"?>
<sst xmlns="http://schemas.openxmlformats.org/spreadsheetml/2006/main" count="4879" uniqueCount="598">
  <si>
    <t>npy</t>
  </si>
  <si>
    <t>Emission Reductions MP4</t>
  </si>
  <si>
    <t>SDGs MP4</t>
  </si>
  <si>
    <t>GS ID</t>
  </si>
  <si>
    <t>ERs 2022 - CAPPED</t>
  </si>
  <si>
    <t>ERs 2023 - CAPPED</t>
  </si>
  <si>
    <t>ERs CAPPED ( ):</t>
  </si>
  <si>
    <t>ERs UNCAPPED (up to 10,000 per annum cap)</t>
  </si>
  <si>
    <t>SDG3 Psafe</t>
  </si>
  <si>
    <t>SDG5 TR</t>
  </si>
  <si>
    <t>SDG6 P,access</t>
  </si>
  <si>
    <r>
      <t>P</t>
    </r>
    <r>
      <rPr>
        <i/>
        <vertAlign val="subscript"/>
        <sz val="11"/>
        <color theme="1"/>
        <rFont val="Avenir Book"/>
      </rPr>
      <t>y</t>
    </r>
  </si>
  <si>
    <t>Py UNCAPPED</t>
  </si>
  <si>
    <t>PTD Total</t>
  </si>
  <si>
    <t>PTD Total UNCAPPED</t>
  </si>
  <si>
    <t>GS 7475</t>
  </si>
  <si>
    <t>GS 7476</t>
  </si>
  <si>
    <t>GS 7477</t>
  </si>
  <si>
    <t>GS 7478</t>
  </si>
  <si>
    <t>GS 7479</t>
  </si>
  <si>
    <t>GS 7480</t>
  </si>
  <si>
    <t>GS 7481</t>
  </si>
  <si>
    <t>GS 7482</t>
  </si>
  <si>
    <t>GS 7483</t>
  </si>
  <si>
    <t>GS 7484</t>
  </si>
  <si>
    <t>GS 10663</t>
  </si>
  <si>
    <t>GS 10664</t>
  </si>
  <si>
    <t>GS 10665</t>
  </si>
  <si>
    <t xml:space="preserve"> </t>
  </si>
  <si>
    <t>GS7475</t>
  </si>
  <si>
    <t>SDG 3</t>
  </si>
  <si>
    <t>Parameter</t>
  </si>
  <si>
    <t>Description</t>
  </si>
  <si>
    <t>Value</t>
  </si>
  <si>
    <t>Unit</t>
  </si>
  <si>
    <r>
      <t>I</t>
    </r>
    <r>
      <rPr>
        <vertAlign val="subscript"/>
        <sz val="11"/>
        <color theme="1"/>
        <rFont val="Avenir Book"/>
      </rPr>
      <t>b,y</t>
    </r>
  </si>
  <si>
    <t>Percentage of persons in the baseline scenario who suffer from stomach related stomach related illnesseses/water-borne diseases</t>
  </si>
  <si>
    <t>Percentage</t>
  </si>
  <si>
    <r>
      <t>I</t>
    </r>
    <r>
      <rPr>
        <vertAlign val="subscript"/>
        <sz val="11"/>
        <color theme="1"/>
        <rFont val="Avenir Book"/>
      </rPr>
      <t>p,y</t>
    </r>
  </si>
  <si>
    <t>Percentage of persons in the project scenario who suffer from stomach related stomach related illnesseses/water-borne diseases</t>
  </si>
  <si>
    <r>
      <t>IR</t>
    </r>
    <r>
      <rPr>
        <b/>
        <vertAlign val="subscript"/>
        <sz val="11"/>
        <color theme="1"/>
        <rFont val="Calibri"/>
        <family val="2"/>
        <scheme val="minor"/>
      </rPr>
      <t>y</t>
    </r>
  </si>
  <si>
    <t>Percentage reduction in incidences of stomach related illnesses or water-borne diseases</t>
  </si>
  <si>
    <t>SDG 5 Gender Equality</t>
  </si>
  <si>
    <t>Tb,y</t>
  </si>
  <si>
    <t xml:space="preserve">Time spent collecting water per household per day prior to project </t>
  </si>
  <si>
    <t>Minutes</t>
  </si>
  <si>
    <t xml:space="preserve">Tp,y </t>
  </si>
  <si>
    <t xml:space="preserve">Time spent collecting water per household per day in project </t>
  </si>
  <si>
    <r>
      <t>TR</t>
    </r>
    <r>
      <rPr>
        <b/>
        <vertAlign val="subscript"/>
        <sz val="11"/>
        <color theme="1"/>
        <rFont val="Calibri"/>
        <family val="2"/>
        <scheme val="minor"/>
      </rPr>
      <t>y</t>
    </r>
  </si>
  <si>
    <t>Total reduction time spent collecting water for project activity in year y</t>
  </si>
  <si>
    <t>SDG 6</t>
  </si>
  <si>
    <r>
      <t>P</t>
    </r>
    <r>
      <rPr>
        <vertAlign val="subscript"/>
        <sz val="10"/>
        <color theme="1"/>
        <rFont val="Calibri"/>
        <family val="2"/>
        <scheme val="minor"/>
      </rPr>
      <t>y</t>
    </r>
  </si>
  <si>
    <t>Persons having access to safe water in the project activity</t>
  </si>
  <si>
    <t>Number</t>
  </si>
  <si>
    <r>
      <t>C</t>
    </r>
    <r>
      <rPr>
        <vertAlign val="subscript"/>
        <sz val="10"/>
        <color theme="1"/>
        <rFont val="Calibri"/>
        <family val="2"/>
        <scheme val="minor"/>
      </rPr>
      <t>j</t>
    </r>
  </si>
  <si>
    <t>Portion of users of the project technology j who in the baseline were consuming safe water without boiling it</t>
  </si>
  <si>
    <r>
      <t>X</t>
    </r>
    <r>
      <rPr>
        <vertAlign val="subscript"/>
        <sz val="11"/>
        <color theme="1"/>
        <rFont val="Avenir Book"/>
      </rPr>
      <t>boil</t>
    </r>
  </si>
  <si>
    <t>Percentage of premises that would have used other non-GHG emitting technologies like chlorine treatment techniques, if available, in the absence of the project activity.</t>
  </si>
  <si>
    <r>
      <t>P</t>
    </r>
    <r>
      <rPr>
        <b/>
        <vertAlign val="subscript"/>
        <sz val="9"/>
        <color theme="1"/>
        <rFont val="Calibri"/>
        <family val="2"/>
        <scheme val="minor"/>
      </rPr>
      <t>access</t>
    </r>
  </si>
  <si>
    <t>Additional persons having access to safe water in the project activity compared to the baseline scenario</t>
  </si>
  <si>
    <t>SDG 13</t>
  </si>
  <si>
    <t>tCO2e</t>
  </si>
  <si>
    <t xml:space="preserve">Tonnes of Carbon Dioxide equivalent </t>
  </si>
  <si>
    <t>GS7476</t>
  </si>
  <si>
    <t>GS7477</t>
  </si>
  <si>
    <t>GS7478</t>
  </si>
  <si>
    <t>GS7479</t>
  </si>
  <si>
    <t>GS7480</t>
  </si>
  <si>
    <t>GS7481</t>
  </si>
  <si>
    <t>GS7482</t>
  </si>
  <si>
    <t>GS7483</t>
  </si>
  <si>
    <t>GS7484</t>
  </si>
  <si>
    <t>GS10663</t>
  </si>
  <si>
    <t>GS10664</t>
  </si>
  <si>
    <t>GS10665</t>
  </si>
  <si>
    <t>Eastern Province Boreholes</t>
  </si>
  <si>
    <t>BH ID</t>
  </si>
  <si>
    <t>Borehole Name</t>
  </si>
  <si>
    <t>Date of rehab</t>
  </si>
  <si>
    <t>Start of MP</t>
  </si>
  <si>
    <t>Pump Model</t>
  </si>
  <si>
    <t>Lat</t>
  </si>
  <si>
    <t>Long</t>
  </si>
  <si>
    <t>Total Users</t>
  </si>
  <si>
    <t>Users CAPPED at 300</t>
  </si>
  <si>
    <t>Mode of use</t>
  </si>
  <si>
    <t>Days Crediting 22</t>
  </si>
  <si>
    <t>Failure Days 22</t>
  </si>
  <si>
    <t>Days Crediting 23</t>
  </si>
  <si>
    <t>Failure Days 23</t>
  </si>
  <si>
    <t>Total Failure Days</t>
  </si>
  <si>
    <t>2022 PTDs</t>
  </si>
  <si>
    <t>2023 PTDs</t>
  </si>
  <si>
    <t>Total PTDs</t>
  </si>
  <si>
    <t>2022 Max PTDs</t>
  </si>
  <si>
    <t>2023 Max PTDs</t>
  </si>
  <si>
    <t>Total Max PTDs</t>
  </si>
  <si>
    <t>2022 Uncapped PTDs</t>
  </si>
  <si>
    <t>2023 Uncapped PTDs</t>
  </si>
  <si>
    <t>Uncapped PTDs</t>
  </si>
  <si>
    <t>% NFD 2022</t>
  </si>
  <si>
    <t>% NFD 2023</t>
  </si>
  <si>
    <t>% NFD</t>
  </si>
  <si>
    <t>VPA 203 - GS7475</t>
  </si>
  <si>
    <t>End of MP</t>
  </si>
  <si>
    <t>KON-01</t>
  </si>
  <si>
    <t>Chief Compound water point</t>
  </si>
  <si>
    <t>Kardia (K-2000)</t>
  </si>
  <si>
    <t>Domestic</t>
  </si>
  <si>
    <t>End of Calendar Year</t>
  </si>
  <si>
    <t>KON-02</t>
  </si>
  <si>
    <t>Open Eye Water Point</t>
  </si>
  <si>
    <t>Number of Crediting Days in 2022</t>
  </si>
  <si>
    <t>KON-03</t>
  </si>
  <si>
    <t>LCM School Field Borehole</t>
  </si>
  <si>
    <t>Number of Crediting Days in 2023</t>
  </si>
  <si>
    <t>KON-04</t>
  </si>
  <si>
    <t>Yardu Road water point</t>
  </si>
  <si>
    <t>KON-07</t>
  </si>
  <si>
    <t>Mokoroma Compound water point</t>
  </si>
  <si>
    <t>Bo District Boreholes</t>
  </si>
  <si>
    <t>KON-24</t>
  </si>
  <si>
    <t>KDEC School water point</t>
  </si>
  <si>
    <t>India Mark 2</t>
  </si>
  <si>
    <t>KAI-01</t>
  </si>
  <si>
    <t>Pa Amara Setiwa Compound Borehole</t>
  </si>
  <si>
    <t>KAI-02</t>
  </si>
  <si>
    <t>Kissy Kenema Section Borehole</t>
  </si>
  <si>
    <t>KAI-03</t>
  </si>
  <si>
    <t>Mdm. Moinya Kaikai Compound Borehole</t>
  </si>
  <si>
    <t>KAI-04</t>
  </si>
  <si>
    <t>Methodist Primary School Compound Borehole</t>
  </si>
  <si>
    <t>KAI-05</t>
  </si>
  <si>
    <t>Kongonanie Borehole</t>
  </si>
  <si>
    <t>KAI-06</t>
  </si>
  <si>
    <t>R. C. One School Compound Borehole</t>
  </si>
  <si>
    <t>Functionality analysis</t>
  </si>
  <si>
    <t>KAI-07</t>
  </si>
  <si>
    <t>Paris Section Borehole</t>
  </si>
  <si>
    <t>% Downdays 2022</t>
  </si>
  <si>
    <t>PTDs 2022</t>
  </si>
  <si>
    <t>Max PTDs 2022</t>
  </si>
  <si>
    <t>2022 PTDs (capped 95%)</t>
  </si>
  <si>
    <t>% Downdays 2023</t>
  </si>
  <si>
    <t>PTDs 2023</t>
  </si>
  <si>
    <t>Max PTDs 2023</t>
  </si>
  <si>
    <t>2023 PTDs (capped 95%)</t>
  </si>
  <si>
    <t xml:space="preserve">Capped Total PTDs </t>
  </si>
  <si>
    <t>Uncapped 2022 PTDs</t>
  </si>
  <si>
    <t>Uncapped 2023 PTDs</t>
  </si>
  <si>
    <t>Uncapped Total PTDs</t>
  </si>
  <si>
    <t>VPA</t>
  </si>
  <si>
    <t>VPA 204 - GS7476</t>
  </si>
  <si>
    <t>KON-10</t>
  </si>
  <si>
    <t>Tamba Foah Compound water point</t>
  </si>
  <si>
    <t>KON-11</t>
  </si>
  <si>
    <t>Camp Road Water point</t>
  </si>
  <si>
    <t>KON-12</t>
  </si>
  <si>
    <t>Masingbe Road Water point</t>
  </si>
  <si>
    <t>Kardia (K-65)</t>
  </si>
  <si>
    <t>KON-13</t>
  </si>
  <si>
    <t>Yormandu Road Water point</t>
  </si>
  <si>
    <t>KON-14</t>
  </si>
  <si>
    <t>Sedibay Compound Borehole</t>
  </si>
  <si>
    <t>KON-15</t>
  </si>
  <si>
    <t>Benduma Road Borehole</t>
  </si>
  <si>
    <t>KAI-08</t>
  </si>
  <si>
    <t>Kpanguwama Section Borehole</t>
  </si>
  <si>
    <t>KAI-09</t>
  </si>
  <si>
    <t>Pastor John Charles Compound Borehole</t>
  </si>
  <si>
    <t>KAI-10</t>
  </si>
  <si>
    <t>Nagbena Junction Borehole</t>
  </si>
  <si>
    <t>KAI-11</t>
  </si>
  <si>
    <t>Bongalo Section Borehole</t>
  </si>
  <si>
    <t>KAI-12</t>
  </si>
  <si>
    <t>Jewaru Section Borehole</t>
  </si>
  <si>
    <t>KAI-13</t>
  </si>
  <si>
    <t>Pa Brima Salia Compound Borehole</t>
  </si>
  <si>
    <t>KAI-14</t>
  </si>
  <si>
    <t>Sannohla Borehole</t>
  </si>
  <si>
    <t>VPA 205 - GS 7477</t>
  </si>
  <si>
    <t>KON-30</t>
  </si>
  <si>
    <t>Kpetema Central Borehole</t>
  </si>
  <si>
    <t>KON-09</t>
  </si>
  <si>
    <t>Aiah Komba Compound water point</t>
  </si>
  <si>
    <t>KEN-25</t>
  </si>
  <si>
    <t>R.C School Compound Borehole</t>
  </si>
  <si>
    <t>KON-31</t>
  </si>
  <si>
    <t>UMC School Piema Road Water point</t>
  </si>
  <si>
    <t>KON-17</t>
  </si>
  <si>
    <t>Ndomaina Compound Water point</t>
  </si>
  <si>
    <t>KON-18</t>
  </si>
  <si>
    <t>Yawara Compound Borehole</t>
  </si>
  <si>
    <t>KAI-15</t>
  </si>
  <si>
    <t>Nyekehun Section Borehole</t>
  </si>
  <si>
    <t>KAI-16</t>
  </si>
  <si>
    <t>Kalonma Community Borehole</t>
  </si>
  <si>
    <t>KAI-17</t>
  </si>
  <si>
    <t>One Mile Borehole</t>
  </si>
  <si>
    <t>KAI-18</t>
  </si>
  <si>
    <t>James Kabba Compound Borehole</t>
  </si>
  <si>
    <t>KAI-19</t>
  </si>
  <si>
    <t>Guabu Section Borehole</t>
  </si>
  <si>
    <t>KAI-20</t>
  </si>
  <si>
    <t>Kania Quarter 3 Borehole</t>
  </si>
  <si>
    <t>KAI-21</t>
  </si>
  <si>
    <t>Golawoma Quarter Borehole</t>
  </si>
  <si>
    <t>VPA 206 - GS 7478</t>
  </si>
  <si>
    <t>KON-22</t>
  </si>
  <si>
    <t>Pa Nyuma Gborie compound Borehole</t>
  </si>
  <si>
    <t>KON-28</t>
  </si>
  <si>
    <t>Pump Sation Borehole</t>
  </si>
  <si>
    <t>KON-32</t>
  </si>
  <si>
    <t>Sheku Koroma compound Borehole</t>
  </si>
  <si>
    <t>KON-21</t>
  </si>
  <si>
    <t>Kurankor Compound Borehole</t>
  </si>
  <si>
    <t>KEN-14</t>
  </si>
  <si>
    <t>Abu Marrah Compound Borehole</t>
  </si>
  <si>
    <t>KAI-22</t>
  </si>
  <si>
    <t>Mandingo Quarter Borehole</t>
  </si>
  <si>
    <t>KAI-23</t>
  </si>
  <si>
    <t>Kosiala Borehole</t>
  </si>
  <si>
    <t>KAI-24</t>
  </si>
  <si>
    <t>R.C. Boys School Compound Borehole</t>
  </si>
  <si>
    <t>KAI-25</t>
  </si>
  <si>
    <t>Barka Section Borehole</t>
  </si>
  <si>
    <t>KAI-26</t>
  </si>
  <si>
    <t>Golawoma Section Borehole</t>
  </si>
  <si>
    <t>KAI-27</t>
  </si>
  <si>
    <t>Bockarie Pabai's Compound Borehole</t>
  </si>
  <si>
    <t>KAI-28</t>
  </si>
  <si>
    <t>Nixon Hospital Borehole</t>
  </si>
  <si>
    <t>VPA 207 - GS7479</t>
  </si>
  <si>
    <t>KON-23</t>
  </si>
  <si>
    <t>KON-26</t>
  </si>
  <si>
    <t>ABC Store water point</t>
  </si>
  <si>
    <t>KON-20</t>
  </si>
  <si>
    <t>Sahr Bobor Compound Borehole</t>
  </si>
  <si>
    <t>KON-25</t>
  </si>
  <si>
    <t>KEN-15</t>
  </si>
  <si>
    <t>Chief Brima Foday Compound Borehole</t>
  </si>
  <si>
    <t>KON-19</t>
  </si>
  <si>
    <t>Sumaila Koroma Compound Borehole</t>
  </si>
  <si>
    <t>KEN-26</t>
  </si>
  <si>
    <t>Mdm. Iye Banya's Compound Borehole</t>
  </si>
  <si>
    <t>KEN-27</t>
  </si>
  <si>
    <t>Koromba Section 2 Borehole</t>
  </si>
  <si>
    <t>KEN-28</t>
  </si>
  <si>
    <t>Silla's Compound Borehole</t>
  </si>
  <si>
    <t>KEN-29</t>
  </si>
  <si>
    <t>Chief Compound Borehole</t>
  </si>
  <si>
    <t>KEN-30</t>
  </si>
  <si>
    <t>O.C Quarter's Borehole</t>
  </si>
  <si>
    <t>KEN-31</t>
  </si>
  <si>
    <t>Pa Kennedy's Compound Borehole</t>
  </si>
  <si>
    <t>KEN-32</t>
  </si>
  <si>
    <t>Mdm. Mamie Daniel Compound Borehole</t>
  </si>
  <si>
    <t>VPA 208 - GS7480</t>
  </si>
  <si>
    <t>KON-29</t>
  </si>
  <si>
    <t>Saiama Central Borehole</t>
  </si>
  <si>
    <t>KON-05</t>
  </si>
  <si>
    <t>Mdm Ballay Komba Compound Borehole</t>
  </si>
  <si>
    <t>KON-16</t>
  </si>
  <si>
    <t>New Sembehun Road Borehole</t>
  </si>
  <si>
    <t>KEN-01</t>
  </si>
  <si>
    <t>Moisala Borehole</t>
  </si>
  <si>
    <t>KON-27</t>
  </si>
  <si>
    <t>Johnny Compound Water Point</t>
  </si>
  <si>
    <t>KEN-33</t>
  </si>
  <si>
    <t>Serabu CHP Borehole</t>
  </si>
  <si>
    <t>KAI-29</t>
  </si>
  <si>
    <t>Kai Tongie's Compound Borehole</t>
  </si>
  <si>
    <t>KAI-30</t>
  </si>
  <si>
    <t>Sahr Kettor Compound Borehole</t>
  </si>
  <si>
    <t>KAI-31</t>
  </si>
  <si>
    <t>Sundufula Borehole</t>
  </si>
  <si>
    <t>KAI-32</t>
  </si>
  <si>
    <t>R.C. School Compound Borehole</t>
  </si>
  <si>
    <t>KAI-33</t>
  </si>
  <si>
    <t xml:space="preserve">Kongorhun Road Borehole </t>
  </si>
  <si>
    <t>KAI-34</t>
  </si>
  <si>
    <t xml:space="preserve">Makor Central Borehole </t>
  </si>
  <si>
    <t>KAI-35</t>
  </si>
  <si>
    <t>Assembly of God Church Compound Borehole</t>
  </si>
  <si>
    <t>VPA 209 - GS7481</t>
  </si>
  <si>
    <t>KEN-10</t>
  </si>
  <si>
    <t>Central Mosque Borehole</t>
  </si>
  <si>
    <t>KON-06</t>
  </si>
  <si>
    <t>Masundu central Borehole</t>
  </si>
  <si>
    <t>KEN-13</t>
  </si>
  <si>
    <t>KEN-11</t>
  </si>
  <si>
    <t>Jimmy section borehole</t>
  </si>
  <si>
    <t>KON-08</t>
  </si>
  <si>
    <t>Saardu Junction water point</t>
  </si>
  <si>
    <t>KAI-36</t>
  </si>
  <si>
    <t>Njagor Section Borehole</t>
  </si>
  <si>
    <t>KAI-37</t>
  </si>
  <si>
    <t>Motema Section Borehole</t>
  </si>
  <si>
    <t>KAI-38</t>
  </si>
  <si>
    <t>Sahr Bockarie Compound</t>
  </si>
  <si>
    <t>KAI-39</t>
  </si>
  <si>
    <t>Foryola Section Borehole</t>
  </si>
  <si>
    <t>KAI-40</t>
  </si>
  <si>
    <t>Ahmadiyya Primary School Compound Borehole</t>
  </si>
  <si>
    <t>KAI-41</t>
  </si>
  <si>
    <t xml:space="preserve">Gietibu Section Borehole </t>
  </si>
  <si>
    <t>KAI-42</t>
  </si>
  <si>
    <t>Gbonortown Section Borehole</t>
  </si>
  <si>
    <t>KAI-43</t>
  </si>
  <si>
    <t>Belebu Park Borehole</t>
  </si>
  <si>
    <t>VPA 210 - GS7482</t>
  </si>
  <si>
    <t>KEN-12</t>
  </si>
  <si>
    <t>Karkor Road Borehole</t>
  </si>
  <si>
    <t>KEN-03</t>
  </si>
  <si>
    <t>Ansumana Fofana Compound Borehole</t>
  </si>
  <si>
    <t>KEN-04</t>
  </si>
  <si>
    <t>Madam Cecilia Koroma Compound Borehole</t>
  </si>
  <si>
    <t>KEN-07</t>
  </si>
  <si>
    <t>Chief Compound Water Point</t>
  </si>
  <si>
    <t>KEN-02</t>
  </si>
  <si>
    <t>Samala Compound Borehole</t>
  </si>
  <si>
    <t>KEN-08</t>
  </si>
  <si>
    <t>Koromba 1 Section borehole</t>
  </si>
  <si>
    <t>KAI-44</t>
  </si>
  <si>
    <t>Kissy Town Market Borehole</t>
  </si>
  <si>
    <t>KAI-45</t>
  </si>
  <si>
    <t>Morpama Section Borehole</t>
  </si>
  <si>
    <t>KAI-46</t>
  </si>
  <si>
    <t>Tokpombu Borehole</t>
  </si>
  <si>
    <t>KAI-47</t>
  </si>
  <si>
    <t>Mofindor Road Borehole</t>
  </si>
  <si>
    <t>KON-33</t>
  </si>
  <si>
    <t>Pa Simeon Compound Borehole</t>
  </si>
  <si>
    <t>KON-34</t>
  </si>
  <si>
    <t>KON-35</t>
  </si>
  <si>
    <t>Mdm Sia Marie Compound Borehole</t>
  </si>
  <si>
    <t>KON-36</t>
  </si>
  <si>
    <t>Sahr E.Bona Compound Borehole</t>
  </si>
  <si>
    <t>VPA 211 - GS7483</t>
  </si>
  <si>
    <t>KEN-18</t>
  </si>
  <si>
    <t>Temne Town Borehole</t>
  </si>
  <si>
    <t>KEN-05</t>
  </si>
  <si>
    <t>Abdul Bangura Compound Borehole</t>
  </si>
  <si>
    <t>KEN-17</t>
  </si>
  <si>
    <t>Koroma sei Compound Borehole</t>
  </si>
  <si>
    <t>KEN-09</t>
  </si>
  <si>
    <t>KEN-21</t>
  </si>
  <si>
    <t>Kuwahun borehole</t>
  </si>
  <si>
    <t>KEN-24</t>
  </si>
  <si>
    <t>Kamboma section Borehole</t>
  </si>
  <si>
    <t>KON-37</t>
  </si>
  <si>
    <t>Kai Moseray Compound Borehole</t>
  </si>
  <si>
    <t>KON-38</t>
  </si>
  <si>
    <t>Kongomadu Mosque Borehole</t>
  </si>
  <si>
    <t>KON-39</t>
  </si>
  <si>
    <t>Tamba Lamin Compound Borehole</t>
  </si>
  <si>
    <t>KON-40</t>
  </si>
  <si>
    <t>KON-41</t>
  </si>
  <si>
    <t>Komba Fomba Compound Borehole</t>
  </si>
  <si>
    <t>KON-42</t>
  </si>
  <si>
    <t>Old Town Borehole</t>
  </si>
  <si>
    <t>KON-43</t>
  </si>
  <si>
    <t>Seidu MCHP Borehole</t>
  </si>
  <si>
    <t>KON-44</t>
  </si>
  <si>
    <t>Saffea Koroma Compound Borehole</t>
  </si>
  <si>
    <t>VPA 212 - GS7484</t>
  </si>
  <si>
    <t>KEN-16</t>
  </si>
  <si>
    <t>Thomas Samai Compound Borehole</t>
  </si>
  <si>
    <t>KEN-23</t>
  </si>
  <si>
    <t>SLMB School Compound Borehole</t>
  </si>
  <si>
    <t>KEN-19</t>
  </si>
  <si>
    <t>Quarter 2 Borehole</t>
  </si>
  <si>
    <t>KEN-22</t>
  </si>
  <si>
    <t>Mayalar Borehole</t>
  </si>
  <si>
    <t>KEN-20</t>
  </si>
  <si>
    <t>Gassimu Harding Compound Borehole</t>
  </si>
  <si>
    <t>KEN-06</t>
  </si>
  <si>
    <t>Nyagbebo Road Borehole</t>
  </si>
  <si>
    <t>KON-45</t>
  </si>
  <si>
    <t>Nanfayie Road Borehole</t>
  </si>
  <si>
    <t>KON-46</t>
  </si>
  <si>
    <t>Seidu Road Borehole</t>
  </si>
  <si>
    <t>KAI-48</t>
  </si>
  <si>
    <t>Bambawo Section Borehole</t>
  </si>
  <si>
    <t>KAI-49</t>
  </si>
  <si>
    <t>Chief Amara Compound Borehole/Kulula</t>
  </si>
  <si>
    <t>KAI-50</t>
  </si>
  <si>
    <t>Pa Ganawa Compound Borehole</t>
  </si>
  <si>
    <t>KAI-51</t>
  </si>
  <si>
    <t>Gbessay Juana Compound Borehole</t>
  </si>
  <si>
    <t>KAI-52</t>
  </si>
  <si>
    <t>Belebu Section Borehole</t>
  </si>
  <si>
    <t>KAI-53</t>
  </si>
  <si>
    <t>Blama Quarter One Section Borehole</t>
  </si>
  <si>
    <t>VPA 231 - GS10663</t>
  </si>
  <si>
    <t>BO-01</t>
  </si>
  <si>
    <t>Sillah Kunda Compound Borehole</t>
  </si>
  <si>
    <t>BO-02</t>
  </si>
  <si>
    <t>Fofanahla  Borehole</t>
  </si>
  <si>
    <t>BO-03</t>
  </si>
  <si>
    <t>Open  Eye secton Borehole</t>
  </si>
  <si>
    <t>BO-04</t>
  </si>
  <si>
    <t>Methodist School compound Borehole</t>
  </si>
  <si>
    <t>BO-05</t>
  </si>
  <si>
    <t>Koromala Borehole</t>
  </si>
  <si>
    <t>BO-06</t>
  </si>
  <si>
    <t>Mamboma central mosque Borehole</t>
  </si>
  <si>
    <t>BO-07</t>
  </si>
  <si>
    <t>Tangehun Section Borehole</t>
  </si>
  <si>
    <t>BO-08</t>
  </si>
  <si>
    <t>Manjehun Road Borehole</t>
  </si>
  <si>
    <t>BO-09</t>
  </si>
  <si>
    <t>Alhaji Pessima Compound borehole</t>
  </si>
  <si>
    <t>BO-10</t>
  </si>
  <si>
    <t>Old Kandor Road Borehole</t>
  </si>
  <si>
    <t>BO-11</t>
  </si>
  <si>
    <t>Sumbuya Road Borehole</t>
  </si>
  <si>
    <t>BO-12</t>
  </si>
  <si>
    <t>Pujehun High Way borehole</t>
  </si>
  <si>
    <t>BO-13</t>
  </si>
  <si>
    <t>Nganyima Section Borehole</t>
  </si>
  <si>
    <t>BO-14</t>
  </si>
  <si>
    <t>Barla Section Borehole</t>
  </si>
  <si>
    <t>BO-15</t>
  </si>
  <si>
    <t>Katawahun Section  Borehole</t>
  </si>
  <si>
    <t>BO-16</t>
  </si>
  <si>
    <t>Yambama Section Borehole</t>
  </si>
  <si>
    <t>BO-17</t>
  </si>
  <si>
    <t>Bottom  Section Borehole</t>
  </si>
  <si>
    <t>BO-18</t>
  </si>
  <si>
    <t>BO-19</t>
  </si>
  <si>
    <t>Kpaveibu Section Borehole</t>
  </si>
  <si>
    <t>BO-20</t>
  </si>
  <si>
    <t>Senehun Court barry Borehole</t>
  </si>
  <si>
    <t>VPA 232 - GS10664</t>
  </si>
  <si>
    <t>BO-21</t>
  </si>
  <si>
    <t>Kpandebu Section Borehole</t>
  </si>
  <si>
    <t>BO-22</t>
  </si>
  <si>
    <t>Sefullah One section Borehole</t>
  </si>
  <si>
    <t>BO-23</t>
  </si>
  <si>
    <t>Mattru Bagbo Junction Borehole</t>
  </si>
  <si>
    <t>BO-24</t>
  </si>
  <si>
    <t>Kuwahun Section Borehole</t>
  </si>
  <si>
    <t>BO-25</t>
  </si>
  <si>
    <t>London-guhun Borehole</t>
  </si>
  <si>
    <t>BO-26</t>
  </si>
  <si>
    <t>BO-27</t>
  </si>
  <si>
    <t>New Apostolic Church Compound Borehole</t>
  </si>
  <si>
    <t>BO-28</t>
  </si>
  <si>
    <t>Mobelewah Borehole</t>
  </si>
  <si>
    <t>BO-29</t>
  </si>
  <si>
    <t>Gbangoya section Borehole</t>
  </si>
  <si>
    <t>BO-30</t>
  </si>
  <si>
    <t>Buima Section Borehole</t>
  </si>
  <si>
    <t>BO-31</t>
  </si>
  <si>
    <t>Manyela section Borehole</t>
  </si>
  <si>
    <t>BO-32</t>
  </si>
  <si>
    <t>Kpendehun Section Borehole</t>
  </si>
  <si>
    <t>BO-33</t>
  </si>
  <si>
    <t>Katawahun Section Borehole</t>
  </si>
  <si>
    <t>BO-34</t>
  </si>
  <si>
    <t>Momohla Borehole</t>
  </si>
  <si>
    <t>BO-35</t>
  </si>
  <si>
    <t>Lower Kargoi section section Borehole</t>
  </si>
  <si>
    <t>BO-36</t>
  </si>
  <si>
    <t>Bevehun Community borehole</t>
  </si>
  <si>
    <t>BO-37</t>
  </si>
  <si>
    <t>Hardingla Borehole</t>
  </si>
  <si>
    <t>BO-38</t>
  </si>
  <si>
    <t>Sakpala Borehole</t>
  </si>
  <si>
    <t>BO-39</t>
  </si>
  <si>
    <t>Gondama Section Borehole</t>
  </si>
  <si>
    <t>BO-40</t>
  </si>
  <si>
    <t>Kpendehun section Borehole</t>
  </si>
  <si>
    <t>VPA 233 - GS10665</t>
  </si>
  <si>
    <t>BO-41</t>
  </si>
  <si>
    <t>Brewala  Borehole</t>
  </si>
  <si>
    <t>BO-42</t>
  </si>
  <si>
    <t>Konima section Borehole</t>
  </si>
  <si>
    <t>BO-43</t>
  </si>
  <si>
    <t>Baoma road Borehole</t>
  </si>
  <si>
    <t>BO-44</t>
  </si>
  <si>
    <t>Manduguhun borehole</t>
  </si>
  <si>
    <t>BO-45</t>
  </si>
  <si>
    <t>Ansarul Islamic School compound Borehole</t>
  </si>
  <si>
    <t>BO-46</t>
  </si>
  <si>
    <t>Old Bo road Borehole</t>
  </si>
  <si>
    <t>BO-47</t>
  </si>
  <si>
    <t>Junction Road Borehole</t>
  </si>
  <si>
    <t>BO-48</t>
  </si>
  <si>
    <t>Bo-Kenema H/Way Mosque Borehole</t>
  </si>
  <si>
    <t>BO-49</t>
  </si>
  <si>
    <t>UMC School Compound Borehole</t>
  </si>
  <si>
    <t>BO-50</t>
  </si>
  <si>
    <t>Yamandu Old Town Borehole</t>
  </si>
  <si>
    <t>BO-51</t>
  </si>
  <si>
    <t>Garlu CHC Borehole</t>
  </si>
  <si>
    <t>BO-52</t>
  </si>
  <si>
    <t>Madina section Borehole</t>
  </si>
  <si>
    <t>BO-53</t>
  </si>
  <si>
    <t>Talia section Borehole</t>
  </si>
  <si>
    <t>BO-54</t>
  </si>
  <si>
    <t>Ngeeya  Section Borehole</t>
  </si>
  <si>
    <t>BO-55</t>
  </si>
  <si>
    <t>Wondewo Section Borehole</t>
  </si>
  <si>
    <t>BO-56</t>
  </si>
  <si>
    <t>Kattala Borehole</t>
  </si>
  <si>
    <t>BO-57</t>
  </si>
  <si>
    <t>Torkpombu Section Borehole</t>
  </si>
  <si>
    <t>BO-58</t>
  </si>
  <si>
    <t>BO-59</t>
  </si>
  <si>
    <t>BO-60</t>
  </si>
  <si>
    <t>Kuwahun  Borehole</t>
  </si>
  <si>
    <t xml:space="preserve">Uncapped Emission Reductions for Monitoring Period 4 (19/05/2022 - 18/05/2023) </t>
  </si>
  <si>
    <t>Uncapped Emission Reductions for Monitoring Period 4 (19/05/2022 - 31/12/2022) and Monitoring Period 1 (11/04/2022 - 31/12/2022)</t>
  </si>
  <si>
    <t>Uncapped Emission Reductions for Monitoring Period 4 (01/01/2023 - 18/05/2022) and Monitoring Period 1 (01/01/2023 - 18/05/2023)</t>
  </si>
  <si>
    <t>Baseline Fuel Use (Bby)</t>
  </si>
  <si>
    <t>Portion using safe water</t>
  </si>
  <si>
    <t>Cj</t>
  </si>
  <si>
    <t>fraction</t>
  </si>
  <si>
    <t>Person Days</t>
  </si>
  <si>
    <t>Njy</t>
  </si>
  <si>
    <t>Fuel to treat  1 litre of water using baseline tech (CAPPED)</t>
  </si>
  <si>
    <t>Wb,y</t>
  </si>
  <si>
    <t>T/L</t>
  </si>
  <si>
    <t>Quantity safe water litres consumed in project scenario supplied by project technology</t>
  </si>
  <si>
    <t>Qp,y</t>
  </si>
  <si>
    <t>L/pd</t>
  </si>
  <si>
    <t>Quantity of raw water boiled in addition to project technology water</t>
  </si>
  <si>
    <t>Qp, raw, y</t>
  </si>
  <si>
    <t>Quantity fuel consumed in baseline scenario</t>
  </si>
  <si>
    <t>Bb,y</t>
  </si>
  <si>
    <t>T</t>
  </si>
  <si>
    <t>Project Fuel Use (Pby)</t>
  </si>
  <si>
    <t>Portion of safe users</t>
  </si>
  <si>
    <t>Fuel required to treat 1 litre for water in project scenario (CAPPED)</t>
  </si>
  <si>
    <t xml:space="preserve">Wp,y </t>
  </si>
  <si>
    <t>Quantity of raw water boiled in addition to project tech water</t>
  </si>
  <si>
    <t>Quantity of safe water boiled</t>
  </si>
  <si>
    <t xml:space="preserve">Qp, cleanboil, y </t>
  </si>
  <si>
    <t>Quantity of fuel consumed in project scenario per HH</t>
  </si>
  <si>
    <t>Bp,y</t>
  </si>
  <si>
    <t>Constants</t>
  </si>
  <si>
    <t>NRB</t>
  </si>
  <si>
    <t>Fraction</t>
  </si>
  <si>
    <t>Emissions factor fuel (co2)</t>
  </si>
  <si>
    <t>EFb,fuel,co2</t>
  </si>
  <si>
    <t>tCO2/TJ</t>
  </si>
  <si>
    <t>Emissions factor fuel (non-co2)</t>
  </si>
  <si>
    <t>EFb, fuel, non-co2</t>
  </si>
  <si>
    <t>TCO2/TJ</t>
  </si>
  <si>
    <t>Net calorific value of fuel</t>
  </si>
  <si>
    <t>NCV,b,fuel</t>
  </si>
  <si>
    <t>TJ/T</t>
  </si>
  <si>
    <t>Emissions Reductions</t>
  </si>
  <si>
    <t>Baseline emissions per year</t>
  </si>
  <si>
    <t>BEb,y</t>
  </si>
  <si>
    <t>tCO2/y</t>
  </si>
  <si>
    <t>Project emissions per year</t>
  </si>
  <si>
    <t>PEp,y</t>
  </si>
  <si>
    <t>Usage rate</t>
  </si>
  <si>
    <t>Up,y</t>
  </si>
  <si>
    <t>Leakage</t>
  </si>
  <si>
    <t>LEp,y</t>
  </si>
  <si>
    <t>Emission Reductions</t>
  </si>
  <si>
    <t>Ery</t>
  </si>
  <si>
    <t>Suppressed Demand Assessment</t>
  </si>
  <si>
    <t>Percentage of suppressed demand users</t>
  </si>
  <si>
    <r>
      <t xml:space="preserve">Percentage of </t>
    </r>
    <r>
      <rPr>
        <b/>
        <u/>
        <sz val="11"/>
        <color indexed="8"/>
        <rFont val="Calibri"/>
        <family val="2"/>
      </rPr>
      <t>non</t>
    </r>
    <r>
      <rPr>
        <sz val="11"/>
        <color theme="1"/>
        <rFont val="Calibri"/>
        <family val="2"/>
        <scheme val="minor"/>
      </rPr>
      <t xml:space="preserve">-suppressed demand users </t>
    </r>
  </si>
  <si>
    <t>Xboil</t>
  </si>
  <si>
    <t>Uncapped Emission Reductions</t>
  </si>
  <si>
    <t>ERy</t>
  </si>
  <si>
    <t xml:space="preserve">Uncapped Emission Reductions claimed </t>
  </si>
  <si>
    <t>Total Emission Reductions for Monitoring Period 4 - 19/05/2022 - 18/05/2023</t>
  </si>
  <si>
    <t>Total Emission Reductions for 2022</t>
  </si>
  <si>
    <t>Total Emission Reductions for 2023</t>
  </si>
  <si>
    <t>Npy</t>
  </si>
  <si>
    <t>Quantity safe water litres consumed in project scenario supplied by project technology (CAPPED)</t>
  </si>
  <si>
    <t>Emissions factor fuel (non-co2) (AVERAGE)</t>
  </si>
  <si>
    <t>Usage rate (CAPPED at 95%)</t>
  </si>
  <si>
    <t xml:space="preserve">Emission Reductions claimed </t>
  </si>
  <si>
    <t>Person Days (CAPPED)</t>
  </si>
  <si>
    <t>Total Emission Reductions for Monitoring Period 1 - 18/04/2022 - 18/05/2023</t>
  </si>
  <si>
    <t>Total Emission Reductions for Monitoring Period 4 - 18/04/2022 - 18/05/2023</t>
  </si>
  <si>
    <t>Total Emission Reductions for Monitoring Period 4 - 11/04/2022 - 18/05/2023</t>
  </si>
  <si>
    <t>Installation and Maintenance Manual for the Kardia-65 &amp; Kardia-2000 pumps</t>
  </si>
  <si>
    <t>https://www.rural-water-supply.net/en/implementation/proprietary-handpumps/kardia</t>
  </si>
  <si>
    <t>Capacity in Litres</t>
  </si>
  <si>
    <t>Litres per hour at 30m head:</t>
  </si>
  <si>
    <t>Operating hours of the borehole:</t>
  </si>
  <si>
    <t>Daily capacity of the borehole</t>
  </si>
  <si>
    <t>litres</t>
  </si>
  <si>
    <t>Capacity per Capita, per handpump</t>
  </si>
  <si>
    <t>QP,y: Litres per person per day</t>
  </si>
  <si>
    <t>Max People</t>
  </si>
  <si>
    <t>people</t>
  </si>
  <si>
    <t>Installation and Maintenance Manual for the India Mark 2 pump</t>
  </si>
  <si>
    <t>https://www.rural-water-supply.net/en/implementation/public-domain-handpumps/india-mark-ii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</si>
</sst>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-* #,##0.00_-;\-* #,##0.00_-;_-* &quot;-&quot;??_-;_-@_-"/>
    <numFmt numFmtId="165" formatCode="0.00000"/>
    <numFmt numFmtId="166" formatCode="0.0000000"/>
    <numFmt numFmtId="167" formatCode="_-* #,##0.000000_-;\-* #,##0.000000_-;_-* &quot;-&quot;??_-;_-@_-"/>
    <numFmt numFmtId="168" formatCode="_-* #,##0.0000000_-;\-* #,##0.0000000_-;_-* &quot;-&quot;??_-;_-@_-"/>
    <numFmt numFmtId="169" formatCode="_-* #,##0.00000000_-;\-* #,##0.00000000_-;_-* &quot;-&quot;??_-;_-@_-"/>
    <numFmt numFmtId="170" formatCode="0.0%"/>
    <numFmt numFmtId="171" formatCode="0.0"/>
    <numFmt numFmtId="172" formatCode="_-* #,##0_-;\-* #,##0_-;_-* &quot;-&quot;??_-;_-@_-"/>
    <numFmt numFmtId="173" formatCode="0.000"/>
    <numFmt numFmtId="174" formatCode="0.000%"/>
    <numFmt numFmtId="175" formatCode="0.0000%"/>
    <numFmt numFmtId="176" formatCode="0.0000"/>
  </numFmts>
  <fonts count="25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vertAlign val="subscript"/>
      <sz val="11"/>
      <color theme="1"/>
      <name val="Avenir Book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vertAlign val="subscript"/>
      <sz val="11"/>
      <color theme="1"/>
      <name val="Avenir Book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4D4D4C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</cellStyleXfs>
  <cellXfs count="26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3" fontId="0" fillId="0" borderId="1" xfId="0" applyNumberFormat="1" applyBorder="1"/>
    <xf numFmtId="3" fontId="0" fillId="0" borderId="0" xfId="0" applyNumberFormat="1"/>
    <xf numFmtId="0" fontId="0" fillId="0" borderId="0" xfId="0" applyAlignment="1">
      <alignment wrapText="1"/>
    </xf>
    <xf numFmtId="1" fontId="0" fillId="0" borderId="1" xfId="0" applyNumberFormat="1" applyBorder="1"/>
    <xf numFmtId="165" fontId="0" fillId="0" borderId="1" xfId="0" applyNumberForma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6" fontId="0" fillId="0" borderId="1" xfId="0" applyNumberFormat="1" applyBorder="1"/>
    <xf numFmtId="0" fontId="0" fillId="0" borderId="2" xfId="0" applyBorder="1"/>
    <xf numFmtId="0" fontId="0" fillId="0" borderId="4" xfId="0" applyBorder="1"/>
    <xf numFmtId="0" fontId="5" fillId="2" borderId="1" xfId="0" applyFont="1" applyFill="1" applyBorder="1"/>
    <xf numFmtId="10" fontId="0" fillId="0" borderId="0" xfId="0" applyNumberFormat="1"/>
    <xf numFmtId="0" fontId="2" fillId="4" borderId="5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3" fillId="5" borderId="1" xfId="0" applyFont="1" applyFill="1" applyBorder="1"/>
    <xf numFmtId="0" fontId="2" fillId="5" borderId="2" xfId="0" applyFont="1" applyFill="1" applyBorder="1"/>
    <xf numFmtId="2" fontId="0" fillId="0" borderId="1" xfId="0" applyNumberFormat="1" applyBorder="1"/>
    <xf numFmtId="10" fontId="0" fillId="0" borderId="1" xfId="0" applyNumberFormat="1" applyBorder="1"/>
    <xf numFmtId="0" fontId="0" fillId="0" borderId="1" xfId="0" applyBorder="1" applyAlignment="1">
      <alignment horizontal="center"/>
    </xf>
    <xf numFmtId="3" fontId="5" fillId="2" borderId="1" xfId="0" applyNumberFormat="1" applyFont="1" applyFill="1" applyBorder="1"/>
    <xf numFmtId="3" fontId="2" fillId="5" borderId="4" xfId="0" applyNumberFormat="1" applyFont="1" applyFill="1" applyBorder="1"/>
    <xf numFmtId="1" fontId="0" fillId="0" borderId="0" xfId="0" applyNumberFormat="1"/>
    <xf numFmtId="0" fontId="8" fillId="0" borderId="0" xfId="0" applyFo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167" fontId="0" fillId="0" borderId="1" xfId="0" applyNumberFormat="1" applyBorder="1" applyAlignment="1">
      <alignment horizontal="center"/>
    </xf>
    <xf numFmtId="167" fontId="0" fillId="11" borderId="1" xfId="0" applyNumberFormat="1" applyFill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4" fillId="11" borderId="1" xfId="0" applyFont="1" applyFill="1" applyBorder="1" applyAlignment="1">
      <alignment horizontal="left"/>
    </xf>
    <xf numFmtId="168" fontId="0" fillId="11" borderId="1" xfId="0" applyNumberFormat="1" applyFill="1" applyBorder="1" applyAlignment="1">
      <alignment horizontal="center"/>
    </xf>
    <xf numFmtId="9" fontId="0" fillId="0" borderId="1" xfId="1" applyFont="1" applyFill="1" applyBorder="1"/>
    <xf numFmtId="3" fontId="0" fillId="0" borderId="0" xfId="0" applyNumberFormat="1" applyAlignment="1">
      <alignment wrapText="1"/>
    </xf>
    <xf numFmtId="3" fontId="0" fillId="0" borderId="15" xfId="0" applyNumberFormat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0" fontId="14" fillId="0" borderId="0" xfId="0" applyFont="1"/>
    <xf numFmtId="0" fontId="2" fillId="6" borderId="2" xfId="0" applyFont="1" applyFill="1" applyBorder="1"/>
    <xf numFmtId="0" fontId="2" fillId="6" borderId="3" xfId="0" applyFont="1" applyFill="1" applyBorder="1"/>
    <xf numFmtId="0" fontId="0" fillId="6" borderId="3" xfId="0" applyFill="1" applyBorder="1"/>
    <xf numFmtId="0" fontId="0" fillId="0" borderId="3" xfId="0" applyBorder="1"/>
    <xf numFmtId="0" fontId="2" fillId="7" borderId="2" xfId="0" applyFont="1" applyFill="1" applyBorder="1"/>
    <xf numFmtId="0" fontId="2" fillId="7" borderId="3" xfId="0" applyFont="1" applyFill="1" applyBorder="1"/>
    <xf numFmtId="0" fontId="0" fillId="7" borderId="3" xfId="0" applyFill="1" applyBorder="1"/>
    <xf numFmtId="0" fontId="0" fillId="0" borderId="10" xfId="0" applyBorder="1"/>
    <xf numFmtId="0" fontId="0" fillId="0" borderId="11" xfId="0" applyBorder="1"/>
    <xf numFmtId="0" fontId="0" fillId="7" borderId="10" xfId="0" applyFill="1" applyBorder="1"/>
    <xf numFmtId="0" fontId="0" fillId="7" borderId="11" xfId="0" applyFill="1" applyBorder="1"/>
    <xf numFmtId="0" fontId="2" fillId="13" borderId="2" xfId="0" applyFont="1" applyFill="1" applyBorder="1"/>
    <xf numFmtId="0" fontId="2" fillId="13" borderId="3" xfId="0" applyFont="1" applyFill="1" applyBorder="1"/>
    <xf numFmtId="0" fontId="0" fillId="13" borderId="3" xfId="0" applyFill="1" applyBorder="1"/>
    <xf numFmtId="0" fontId="0" fillId="6" borderId="4" xfId="0" applyFill="1" applyBorder="1"/>
    <xf numFmtId="0" fontId="0" fillId="7" borderId="4" xfId="0" applyFill="1" applyBorder="1"/>
    <xf numFmtId="0" fontId="0" fillId="0" borderId="16" xfId="0" applyBorder="1"/>
    <xf numFmtId="3" fontId="0" fillId="13" borderId="2" xfId="0" applyNumberFormat="1" applyFill="1" applyBorder="1"/>
    <xf numFmtId="3" fontId="0" fillId="13" borderId="3" xfId="0" applyNumberFormat="1" applyFill="1" applyBorder="1"/>
    <xf numFmtId="1" fontId="0" fillId="13" borderId="3" xfId="0" applyNumberFormat="1" applyFill="1" applyBorder="1"/>
    <xf numFmtId="0" fontId="0" fillId="13" borderId="4" xfId="0" applyFill="1" applyBorder="1"/>
    <xf numFmtId="0" fontId="6" fillId="0" borderId="8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9" xfId="0" applyFont="1" applyBorder="1"/>
    <xf numFmtId="170" fontId="0" fillId="7" borderId="11" xfId="0" applyNumberFormat="1" applyFill="1" applyBorder="1"/>
    <xf numFmtId="170" fontId="0" fillId="7" borderId="16" xfId="0" applyNumberFormat="1" applyFill="1" applyBorder="1"/>
    <xf numFmtId="0" fontId="8" fillId="0" borderId="11" xfId="0" applyFont="1" applyBorder="1"/>
    <xf numFmtId="0" fontId="14" fillId="0" borderId="11" xfId="0" applyFont="1" applyBorder="1"/>
    <xf numFmtId="171" fontId="0" fillId="0" borderId="0" xfId="0" applyNumberFormat="1"/>
    <xf numFmtId="167" fontId="0" fillId="11" borderId="14" xfId="0" applyNumberForma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172" fontId="0" fillId="0" borderId="14" xfId="2" applyNumberFormat="1" applyFont="1" applyFill="1" applyBorder="1" applyAlignment="1">
      <alignment horizontal="center"/>
    </xf>
    <xf numFmtId="172" fontId="0" fillId="0" borderId="1" xfId="2" applyNumberFormat="1" applyFont="1" applyFill="1" applyBorder="1" applyAlignment="1">
      <alignment horizontal="center"/>
    </xf>
    <xf numFmtId="172" fontId="0" fillId="0" borderId="1" xfId="2" applyNumberFormat="1" applyFont="1" applyFill="1" applyBorder="1" applyAlignment="1">
      <alignment horizontal="center" vertical="center" wrapText="1"/>
    </xf>
    <xf numFmtId="172" fontId="0" fillId="0" borderId="1" xfId="2" applyNumberFormat="1" applyFont="1" applyFill="1" applyBorder="1" applyAlignment="1">
      <alignment horizontal="center" vertical="top" wrapText="1"/>
    </xf>
    <xf numFmtId="172" fontId="0" fillId="0" borderId="14" xfId="2" applyNumberFormat="1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left"/>
    </xf>
    <xf numFmtId="0" fontId="5" fillId="9" borderId="7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0" fontId="5" fillId="9" borderId="12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3" fontId="5" fillId="12" borderId="1" xfId="0" applyNumberFormat="1" applyFont="1" applyFill="1" applyBorder="1" applyAlignment="1">
      <alignment horizontal="center" wrapText="1"/>
    </xf>
    <xf numFmtId="172" fontId="5" fillId="12" borderId="1" xfId="2" applyNumberFormat="1" applyFont="1" applyFill="1" applyBorder="1" applyAlignment="1">
      <alignment horizontal="center" wrapText="1"/>
    </xf>
    <xf numFmtId="0" fontId="10" fillId="9" borderId="3" xfId="0" applyFont="1" applyFill="1" applyBorder="1" applyAlignment="1">
      <alignment horizontal="center"/>
    </xf>
    <xf numFmtId="0" fontId="10" fillId="9" borderId="3" xfId="0" applyFont="1" applyFill="1" applyBorder="1"/>
    <xf numFmtId="172" fontId="10" fillId="9" borderId="3" xfId="2" applyNumberFormat="1" applyFont="1" applyFill="1" applyBorder="1"/>
    <xf numFmtId="172" fontId="10" fillId="9" borderId="3" xfId="2" applyNumberFormat="1" applyFont="1" applyFill="1" applyBorder="1" applyAlignment="1">
      <alignment horizontal="center"/>
    </xf>
    <xf numFmtId="172" fontId="10" fillId="9" borderId="4" xfId="2" applyNumberFormat="1" applyFont="1" applyFill="1" applyBorder="1" applyAlignment="1">
      <alignment horizontal="center"/>
    </xf>
    <xf numFmtId="0" fontId="10" fillId="12" borderId="12" xfId="0" applyFont="1" applyFill="1" applyBorder="1" applyAlignment="1">
      <alignment horizontal="center"/>
    </xf>
    <xf numFmtId="3" fontId="5" fillId="12" borderId="12" xfId="0" applyNumberFormat="1" applyFont="1" applyFill="1" applyBorder="1" applyAlignment="1">
      <alignment horizontal="center" wrapText="1"/>
    </xf>
    <xf numFmtId="172" fontId="5" fillId="12" borderId="12" xfId="2" applyNumberFormat="1" applyFont="1" applyFill="1" applyBorder="1" applyAlignment="1">
      <alignment horizontal="center" wrapText="1"/>
    </xf>
    <xf numFmtId="0" fontId="6" fillId="0" borderId="0" xfId="0" applyFont="1"/>
    <xf numFmtId="1" fontId="6" fillId="0" borderId="0" xfId="0" applyNumberFormat="1" applyFont="1"/>
    <xf numFmtId="9" fontId="6" fillId="0" borderId="0" xfId="0" applyNumberFormat="1" applyFont="1"/>
    <xf numFmtId="171" fontId="6" fillId="0" borderId="0" xfId="0" applyNumberFormat="1" applyFont="1"/>
    <xf numFmtId="0" fontId="0" fillId="0" borderId="8" xfId="0" applyBorder="1"/>
    <xf numFmtId="0" fontId="0" fillId="0" borderId="5" xfId="0" applyBorder="1"/>
    <xf numFmtId="9" fontId="6" fillId="0" borderId="0" xfId="1" applyFont="1" applyBorder="1"/>
    <xf numFmtId="9" fontId="0" fillId="6" borderId="3" xfId="1" applyFont="1" applyFill="1" applyBorder="1"/>
    <xf numFmtId="0" fontId="0" fillId="6" borderId="10" xfId="0" applyFill="1" applyBorder="1"/>
    <xf numFmtId="2" fontId="0" fillId="0" borderId="0" xfId="0" applyNumberFormat="1"/>
    <xf numFmtId="172" fontId="0" fillId="0" borderId="0" xfId="2" applyNumberFormat="1" applyFont="1"/>
    <xf numFmtId="172" fontId="0" fillId="0" borderId="0" xfId="0" applyNumberFormat="1"/>
    <xf numFmtId="9" fontId="0" fillId="0" borderId="1" xfId="0" applyNumberFormat="1" applyBorder="1"/>
    <xf numFmtId="1" fontId="0" fillId="0" borderId="0" xfId="0" applyNumberFormat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5" fillId="9" borderId="6" xfId="0" applyFont="1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21" xfId="0" applyNumberForma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3" fontId="0" fillId="0" borderId="25" xfId="0" applyNumberForma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9" fontId="0" fillId="0" borderId="20" xfId="2" applyNumberFormat="1" applyFont="1" applyBorder="1" applyAlignment="1">
      <alignment horizontal="center"/>
    </xf>
    <xf numFmtId="170" fontId="0" fillId="0" borderId="0" xfId="1" applyNumberFormat="1" applyFont="1" applyBorder="1" applyAlignment="1">
      <alignment horizontal="center" vertical="top"/>
    </xf>
    <xf numFmtId="170" fontId="0" fillId="0" borderId="0" xfId="0" applyNumberFormat="1" applyAlignment="1">
      <alignment horizontal="center" vertical="top" wrapText="1"/>
    </xf>
    <xf numFmtId="170" fontId="0" fillId="0" borderId="0" xfId="1" applyNumberFormat="1" applyFont="1" applyBorder="1" applyAlignment="1">
      <alignment horizontal="center" vertical="top" wrapText="1"/>
    </xf>
    <xf numFmtId="9" fontId="0" fillId="0" borderId="22" xfId="2" applyNumberFormat="1" applyFon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9" fontId="0" fillId="0" borderId="24" xfId="1" applyFont="1" applyBorder="1" applyAlignment="1">
      <alignment horizontal="center" wrapText="1"/>
    </xf>
    <xf numFmtId="170" fontId="0" fillId="0" borderId="25" xfId="1" applyNumberFormat="1" applyFont="1" applyBorder="1" applyAlignment="1">
      <alignment horizontal="center" wrapText="1"/>
    </xf>
    <xf numFmtId="0" fontId="0" fillId="9" borderId="18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 wrapText="1"/>
    </xf>
    <xf numFmtId="0" fontId="0" fillId="9" borderId="19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9" xfId="0" applyBorder="1" applyAlignment="1">
      <alignment vertical="center" wrapText="1"/>
    </xf>
    <xf numFmtId="0" fontId="19" fillId="0" borderId="0" xfId="4" applyFill="1"/>
    <xf numFmtId="172" fontId="0" fillId="0" borderId="1" xfId="2" applyNumberFormat="1" applyFont="1" applyBorder="1"/>
    <xf numFmtId="172" fontId="0" fillId="0" borderId="1" xfId="0" applyNumberFormat="1" applyBorder="1"/>
    <xf numFmtId="0" fontId="5" fillId="9" borderId="2" xfId="0" applyFont="1" applyFill="1" applyBorder="1"/>
    <xf numFmtId="0" fontId="5" fillId="9" borderId="3" xfId="0" applyFont="1" applyFill="1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1" xfId="0" applyFont="1" applyBorder="1"/>
    <xf numFmtId="0" fontId="10" fillId="12" borderId="1" xfId="0" applyFont="1" applyFill="1" applyBorder="1" applyAlignment="1">
      <alignment horizontal="left" vertical="top" wrapText="1"/>
    </xf>
    <xf numFmtId="0" fontId="10" fillId="1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14" fontId="0" fillId="0" borderId="14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3" fontId="5" fillId="12" borderId="1" xfId="0" applyNumberFormat="1" applyFont="1" applyFill="1" applyBorder="1" applyAlignment="1">
      <alignment horizontal="right" wrapText="1"/>
    </xf>
    <xf numFmtId="3" fontId="0" fillId="0" borderId="15" xfId="0" applyNumberForma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/>
    <xf numFmtId="0" fontId="5" fillId="3" borderId="4" xfId="0" applyFont="1" applyFill="1" applyBorder="1"/>
    <xf numFmtId="173" fontId="0" fillId="0" borderId="1" xfId="0" applyNumberFormat="1" applyBorder="1"/>
    <xf numFmtId="0" fontId="0" fillId="6" borderId="33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 wrapText="1"/>
    </xf>
    <xf numFmtId="0" fontId="0" fillId="8" borderId="34" xfId="0" applyFill="1" applyBorder="1" applyAlignment="1">
      <alignment horizontal="center" vertical="center" wrapText="1"/>
    </xf>
    <xf numFmtId="0" fontId="0" fillId="10" borderId="34" xfId="0" applyFill="1" applyBorder="1" applyAlignment="1">
      <alignment horizontal="center" vertical="center" wrapText="1"/>
    </xf>
    <xf numFmtId="14" fontId="0" fillId="0" borderId="0" xfId="0" applyNumberFormat="1"/>
    <xf numFmtId="14" fontId="4" fillId="15" borderId="1" xfId="0" applyNumberFormat="1" applyFont="1" applyFill="1" applyBorder="1" applyAlignment="1">
      <alignment horizontal="center"/>
    </xf>
    <xf numFmtId="0" fontId="0" fillId="15" borderId="14" xfId="0" applyFill="1" applyBorder="1" applyAlignment="1">
      <alignment horizontal="center"/>
    </xf>
    <xf numFmtId="9" fontId="6" fillId="16" borderId="0" xfId="1" applyFont="1" applyFill="1" applyBorder="1"/>
    <xf numFmtId="171" fontId="6" fillId="16" borderId="0" xfId="0" applyNumberFormat="1" applyFont="1" applyFill="1"/>
    <xf numFmtId="0" fontId="8" fillId="4" borderId="7" xfId="0" applyFont="1" applyFill="1" applyBorder="1"/>
    <xf numFmtId="0" fontId="0" fillId="4" borderId="0" xfId="0" applyFill="1"/>
    <xf numFmtId="0" fontId="5" fillId="14" borderId="2" xfId="0" applyFont="1" applyFill="1" applyBorder="1"/>
    <xf numFmtId="0" fontId="5" fillId="14" borderId="3" xfId="0" applyFont="1" applyFill="1" applyBorder="1"/>
    <xf numFmtId="0" fontId="10" fillId="14" borderId="3" xfId="0" applyFont="1" applyFill="1" applyBorder="1"/>
    <xf numFmtId="0" fontId="10" fillId="14" borderId="4" xfId="0" applyFont="1" applyFill="1" applyBorder="1"/>
    <xf numFmtId="0" fontId="10" fillId="14" borderId="2" xfId="0" applyFont="1" applyFill="1" applyBorder="1"/>
    <xf numFmtId="1" fontId="10" fillId="14" borderId="3" xfId="0" applyNumberFormat="1" applyFont="1" applyFill="1" applyBorder="1" applyAlignment="1">
      <alignment horizontal="right"/>
    </xf>
    <xf numFmtId="0" fontId="0" fillId="4" borderId="7" xfId="0" applyFill="1" applyBorder="1"/>
    <xf numFmtId="1" fontId="0" fillId="4" borderId="7" xfId="0" applyNumberFormat="1" applyFill="1" applyBorder="1" applyAlignment="1">
      <alignment horizontal="right"/>
    </xf>
    <xf numFmtId="3" fontId="0" fillId="0" borderId="36" xfId="0" applyNumberFormat="1" applyBorder="1" applyAlignment="1">
      <alignment horizontal="center"/>
    </xf>
    <xf numFmtId="3" fontId="2" fillId="5" borderId="1" xfId="0" applyNumberFormat="1" applyFont="1" applyFill="1" applyBorder="1"/>
    <xf numFmtId="0" fontId="0" fillId="6" borderId="2" xfId="0" applyFill="1" applyBorder="1"/>
    <xf numFmtId="164" fontId="0" fillId="0" borderId="0" xfId="0" applyNumberFormat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1" xfId="0" applyFill="1" applyBorder="1" applyAlignment="1">
      <alignment horizontal="center" vertical="top" wrapText="1"/>
    </xf>
    <xf numFmtId="0" fontId="0" fillId="15" borderId="14" xfId="0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/>
    </xf>
    <xf numFmtId="172" fontId="10" fillId="9" borderId="1" xfId="2" applyNumberFormat="1" applyFont="1" applyFill="1" applyBorder="1" applyAlignment="1">
      <alignment horizontal="center"/>
    </xf>
    <xf numFmtId="9" fontId="0" fillId="0" borderId="1" xfId="2" applyNumberFormat="1" applyFont="1" applyFill="1" applyBorder="1" applyAlignment="1">
      <alignment horizontal="center"/>
    </xf>
    <xf numFmtId="9" fontId="5" fillId="12" borderId="1" xfId="2" applyNumberFormat="1" applyFont="1" applyFill="1" applyBorder="1" applyAlignment="1">
      <alignment horizontal="center" wrapText="1"/>
    </xf>
    <xf numFmtId="172" fontId="0" fillId="0" borderId="0" xfId="0" applyNumberFormat="1" applyAlignment="1">
      <alignment horizontal="center"/>
    </xf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3" fontId="24" fillId="0" borderId="0" xfId="0" applyNumberFormat="1" applyFont="1"/>
    <xf numFmtId="3" fontId="0" fillId="0" borderId="37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9" fontId="0" fillId="0" borderId="14" xfId="1" applyFont="1" applyFill="1" applyBorder="1"/>
    <xf numFmtId="0" fontId="0" fillId="0" borderId="14" xfId="0" applyBorder="1"/>
    <xf numFmtId="0" fontId="0" fillId="0" borderId="14" xfId="0" applyBorder="1" applyAlignment="1">
      <alignment wrapText="1"/>
    </xf>
    <xf numFmtId="165" fontId="0" fillId="0" borderId="14" xfId="0" applyNumberFormat="1" applyBorder="1"/>
    <xf numFmtId="3" fontId="0" fillId="0" borderId="14" xfId="0" applyNumberFormat="1" applyBorder="1"/>
    <xf numFmtId="10" fontId="0" fillId="0" borderId="14" xfId="0" applyNumberFormat="1" applyBorder="1"/>
    <xf numFmtId="10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17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76" fontId="0" fillId="0" borderId="1" xfId="0" applyNumberFormat="1" applyBorder="1"/>
    <xf numFmtId="9" fontId="0" fillId="0" borderId="14" xfId="0" applyNumberFormat="1" applyBorder="1"/>
    <xf numFmtId="3" fontId="10" fillId="9" borderId="3" xfId="0" applyNumberFormat="1" applyFont="1" applyFill="1" applyBorder="1"/>
    <xf numFmtId="166" fontId="0" fillId="11" borderId="1" xfId="0" applyNumberFormat="1" applyFill="1" applyBorder="1" applyAlignment="1">
      <alignment horizontal="center"/>
    </xf>
    <xf numFmtId="169" fontId="0" fillId="11" borderId="1" xfId="0" applyNumberForma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14" fontId="0" fillId="0" borderId="12" xfId="0" applyNumberFormat="1" applyBorder="1" applyAlignment="1">
      <alignment horizontal="left" wrapText="1"/>
    </xf>
    <xf numFmtId="14" fontId="0" fillId="0" borderId="13" xfId="0" applyNumberForma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10" fontId="5" fillId="12" borderId="1" xfId="2" applyNumberFormat="1" applyFont="1" applyFill="1" applyBorder="1" applyAlignment="1">
      <alignment horizontal="center" wrapText="1"/>
    </xf>
    <xf numFmtId="9" fontId="10" fillId="9" borderId="3" xfId="1" applyFont="1" applyFill="1" applyBorder="1"/>
    <xf numFmtId="2" fontId="10" fillId="9" borderId="3" xfId="0" applyNumberFormat="1" applyFont="1" applyFill="1" applyBorder="1"/>
    <xf numFmtId="9" fontId="10" fillId="9" borderId="3" xfId="1" applyFont="1" applyFill="1" applyBorder="1" applyAlignment="1">
      <alignment horizontal="center"/>
    </xf>
    <xf numFmtId="1" fontId="6" fillId="11" borderId="0" xfId="0" applyNumberFormat="1" applyFont="1" applyFill="1"/>
    <xf numFmtId="9" fontId="0" fillId="0" borderId="14" xfId="2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 wrapText="1"/>
    </xf>
    <xf numFmtId="10" fontId="0" fillId="0" borderId="1" xfId="1" applyNumberFormat="1" applyFont="1" applyFill="1" applyBorder="1" applyAlignment="1">
      <alignment horizontal="center" wrapText="1"/>
    </xf>
    <xf numFmtId="3" fontId="0" fillId="0" borderId="1" xfId="1" applyNumberFormat="1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170" fontId="0" fillId="0" borderId="1" xfId="1" applyNumberFormat="1" applyFont="1" applyFill="1" applyBorder="1"/>
    <xf numFmtId="170" fontId="2" fillId="0" borderId="0" xfId="0" applyNumberFormat="1" applyFont="1"/>
    <xf numFmtId="170" fontId="0" fillId="0" borderId="1" xfId="0" applyNumberFormat="1" applyBorder="1"/>
    <xf numFmtId="170" fontId="0" fillId="0" borderId="0" xfId="0" applyNumberFormat="1"/>
    <xf numFmtId="0" fontId="21" fillId="0" borderId="27" xfId="0" applyFont="1" applyBorder="1" applyAlignment="1">
      <alignment horizontal="center" wrapText="1"/>
    </xf>
    <xf numFmtId="0" fontId="21" fillId="0" borderId="28" xfId="0" applyFont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21" fillId="0" borderId="32" xfId="0" applyFont="1" applyBorder="1" applyAlignment="1">
      <alignment horizontal="center" wrapText="1"/>
    </xf>
    <xf numFmtId="0" fontId="21" fillId="0" borderId="30" xfId="0" applyFont="1" applyBorder="1" applyAlignment="1">
      <alignment horizontal="center" wrapText="1"/>
    </xf>
    <xf numFmtId="0" fontId="21" fillId="0" borderId="3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9" fontId="5" fillId="12" borderId="12" xfId="2" applyNumberFormat="1" applyFont="1" applyFill="1" applyBorder="1" applyAlignment="1">
      <alignment horizontal="center" wrapText="1"/>
    </xf>
    <xf numFmtId="9" fontId="5" fillId="12" borderId="14" xfId="2" applyNumberFormat="1" applyFont="1" applyFill="1" applyBorder="1" applyAlignment="1">
      <alignment horizontal="center" wrapText="1"/>
    </xf>
    <xf numFmtId="9" fontId="5" fillId="12" borderId="5" xfId="2" applyNumberFormat="1" applyFont="1" applyFill="1" applyBorder="1" applyAlignment="1">
      <alignment horizontal="center" wrapText="1"/>
    </xf>
    <xf numFmtId="9" fontId="5" fillId="12" borderId="10" xfId="2" applyNumberFormat="1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0" fillId="17" borderId="0" xfId="0" applyNumberFormat="1" applyFill="1" applyAlignment="1">
      <alignment horizontal="center" wrapText="1"/>
    </xf>
    <xf numFmtId="3" fontId="0" fillId="17" borderId="21" xfId="0" applyNumberFormat="1" applyFill="1" applyBorder="1" applyAlignment="1">
      <alignment horizontal="center" wrapText="1"/>
    </xf>
    <xf numFmtId="3" fontId="0" fillId="17" borderId="15" xfId="0" applyNumberFormat="1" applyFill="1" applyBorder="1" applyAlignment="1">
      <alignment horizontal="center" wrapText="1"/>
    </xf>
    <xf numFmtId="3" fontId="0" fillId="17" borderId="23" xfId="0" applyNumberFormat="1" applyFill="1" applyBorder="1" applyAlignment="1">
      <alignment horizontal="center" wrapText="1"/>
    </xf>
    <xf numFmtId="170" fontId="0" fillId="17" borderId="0" xfId="1" applyNumberFormat="1" applyFont="1" applyFill="1" applyBorder="1" applyAlignment="1">
      <alignment horizontal="center" vertical="top" wrapText="1"/>
    </xf>
    <xf numFmtId="170" fontId="0" fillId="17" borderId="15" xfId="1" applyNumberFormat="1" applyFont="1" applyFill="1" applyBorder="1" applyAlignment="1">
      <alignment horizontal="center" vertical="top" wrapText="1"/>
    </xf>
  </cellXfs>
  <cellStyles count="13">
    <cellStyle name="Comma" xfId="2" builtinId="3"/>
    <cellStyle name="Comma 2" xfId="3" xr:uid="{6FDD47E7-1B6C-41E7-AA54-4BD4A906D8D9}"/>
    <cellStyle name="Comma 2 2" xfId="5" xr:uid="{4CDFD002-2C01-40FE-A6A8-417FDC5613A0}"/>
    <cellStyle name="Comma 2 2 2" xfId="7" xr:uid="{9FC6B3FF-2113-478B-8A61-A7361EE2121A}"/>
    <cellStyle name="Comma 2 3" xfId="6" xr:uid="{32D5D254-ACC1-422C-A9FA-13F0146E1DB6}"/>
    <cellStyle name="Comma 3" xfId="8" xr:uid="{591A0FBD-7E4F-4CFF-B758-663865C59A61}"/>
    <cellStyle name="Comma 4" xfId="9" xr:uid="{688F8FC5-AE81-45D8-8B00-0A05B0FBED86}"/>
    <cellStyle name="Hyperlink" xfId="4" builtinId="8"/>
    <cellStyle name="Normal" xfId="0" builtinId="0"/>
    <cellStyle name="Normal 2" xfId="10" xr:uid="{5ECD2C42-E7EA-4484-B361-9F30946BE933}"/>
    <cellStyle name="Normal 3" xfId="11" xr:uid="{E108CD8C-A082-4CFA-8126-5E17E9C723EC}"/>
    <cellStyle name="Normal 3 2" xfId="12" xr:uid="{7A0F95FD-79EE-4349-A646-E6DB6F8C0097}"/>
    <cellStyle name="Percent" xfId="1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1F7E1"/>
      <color rgb="FF8DE38D"/>
      <color rgb="FF02E3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egan Jones" id="{723AE5F5-DC02-4523-B06B-D9812F01BAB8}" userId="S::megan.jones@co2balance.com::bcb86544-d66a-4ba3-9c7f-ae8bd6037ea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N16" dT="2024-02-07T13:23:25.20" personId="{723AE5F5-DC02-4523-B06B-D9812F01BAB8}" id="{4CAD75F7-F331-40A4-BCA9-736663F5E787}">
    <text>Includes failure days</text>
  </threadedComment>
  <threadedComment ref="AO16" dT="2024-02-07T13:23:25.20" personId="{723AE5F5-DC02-4523-B06B-D9812F01BAB8}" id="{D1E70CFD-C0CA-4C1A-B872-D57682EBBAE6}">
    <text>Includes failure days</text>
  </threadedComment>
  <threadedComment ref="AP16" dT="2024-02-07T13:23:25.20" personId="{723AE5F5-DC02-4523-B06B-D9812F01BAB8}" id="{C844A1F5-C2A1-47E4-B888-794B15A798E5}">
    <text>Includes failure days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ural-water-supply.net/en/implementation/public-domain-handpumps/india-mark-ii" TargetMode="External"/><Relationship Id="rId1" Type="http://schemas.openxmlformats.org/officeDocument/2006/relationships/hyperlink" Target="https://www.rural-water-supply.net/en/implementation/proprietary-handpumps/kardi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31"/>
  <sheetViews>
    <sheetView tabSelected="1" workbookViewId="0">
      <selection activeCell="H23" sqref="H23"/>
    </sheetView>
  </sheetViews>
  <sheetFormatPr defaultColWidth="9.28515625" defaultRowHeight="14.25"/>
  <cols>
    <col min="1" max="1" width="5.28515625" style="6" customWidth="1"/>
    <col min="2" max="6" width="14.140625" style="6" customWidth="1"/>
    <col min="7" max="7" width="7.5703125" style="6" customWidth="1"/>
    <col min="8" max="14" width="11.42578125" style="6" customWidth="1"/>
    <col min="15" max="16384" width="9.28515625" style="6"/>
  </cols>
  <sheetData>
    <row r="1" spans="2:14" ht="14.65" thickBot="1">
      <c r="M1" s="6" t="s">
        <v>0</v>
      </c>
    </row>
    <row r="2" spans="2:14" ht="14.65" thickBot="1">
      <c r="B2" s="237" t="s">
        <v>1</v>
      </c>
      <c r="C2" s="238"/>
      <c r="D2" s="238"/>
      <c r="E2" s="238"/>
      <c r="F2" s="239"/>
      <c r="H2" s="240" t="s">
        <v>2</v>
      </c>
      <c r="I2" s="241"/>
      <c r="J2" s="241"/>
      <c r="K2" s="241"/>
      <c r="L2" s="241"/>
      <c r="M2" s="241"/>
      <c r="N2" s="242"/>
    </row>
    <row r="3" spans="2:14" ht="42.75">
      <c r="B3" s="129" t="s">
        <v>3</v>
      </c>
      <c r="C3" s="130" t="s">
        <v>4</v>
      </c>
      <c r="D3" s="130" t="s">
        <v>5</v>
      </c>
      <c r="E3" s="131" t="s">
        <v>6</v>
      </c>
      <c r="F3" s="133" t="s">
        <v>7</v>
      </c>
      <c r="G3" s="132"/>
      <c r="H3" s="162" t="s">
        <v>8</v>
      </c>
      <c r="I3" s="163" t="s">
        <v>9</v>
      </c>
      <c r="J3" s="164" t="s">
        <v>10</v>
      </c>
      <c r="K3" s="164" t="s">
        <v>11</v>
      </c>
      <c r="L3" s="166" t="s">
        <v>12</v>
      </c>
      <c r="M3" s="167" t="s">
        <v>13</v>
      </c>
      <c r="N3" s="165" t="s">
        <v>14</v>
      </c>
    </row>
    <row r="4" spans="2:14">
      <c r="B4" s="113" t="s">
        <v>15</v>
      </c>
      <c r="C4" s="40">
        <f>'GS7475'!J37</f>
        <v>3589</v>
      </c>
      <c r="D4" s="40">
        <f>'GS7475'!O37</f>
        <v>2178</v>
      </c>
      <c r="E4" s="114">
        <f>'GS7475'!E37</f>
        <v>5767</v>
      </c>
      <c r="F4" s="114">
        <f>'Uncapped ERs'!E$37</f>
        <v>17354</v>
      </c>
      <c r="H4" s="121">
        <f>'SDG Impacts '!D182</f>
        <v>-0.88636363636363635</v>
      </c>
      <c r="I4" s="122">
        <f>'SDG Impacts '!D12</f>
        <v>0.37500280112044815</v>
      </c>
      <c r="J4" s="40">
        <f>'SDG Impacts '!D18</f>
        <v>3689.3999999999996</v>
      </c>
      <c r="K4" s="40">
        <f>'Total PTDs'!J17</f>
        <v>3900</v>
      </c>
      <c r="L4" s="40">
        <f>'Total PTDs'!I17</f>
        <v>7205</v>
      </c>
      <c r="M4" s="40">
        <f>'Total PTDs'!S17</f>
        <v>1202700</v>
      </c>
      <c r="N4" s="183">
        <f>'Total PTDs'!Y17</f>
        <v>2244621</v>
      </c>
    </row>
    <row r="5" spans="2:14">
      <c r="B5" s="115" t="s">
        <v>16</v>
      </c>
      <c r="C5" s="116">
        <f>'GS7476'!J37</f>
        <v>3999</v>
      </c>
      <c r="D5" s="40">
        <f>'GS7476'!O37</f>
        <v>2429</v>
      </c>
      <c r="E5" s="114">
        <f>'GS7476'!E37</f>
        <v>6428</v>
      </c>
      <c r="F5" s="114">
        <f>'Uncapped ERs'!F$37</f>
        <v>18880</v>
      </c>
      <c r="H5" s="121">
        <f>'SDG Impacts '!D28</f>
        <v>-0.88636363636363635</v>
      </c>
      <c r="I5" s="122">
        <f>'SDG Impacts '!D33</f>
        <v>0.37500280112044815</v>
      </c>
      <c r="J5" s="116">
        <f>'SDG Impacts '!D39</f>
        <v>3689.3999999999996</v>
      </c>
      <c r="K5" s="40">
        <f>'Total PTDs'!J32</f>
        <v>3900</v>
      </c>
      <c r="L5" s="40">
        <f>'Total PTDs'!I32</f>
        <v>7120</v>
      </c>
      <c r="M5" s="40">
        <f>'Total PTDs'!S32</f>
        <v>1340700</v>
      </c>
      <c r="N5" s="114">
        <f>'Total PTDs'!Y32</f>
        <v>2441940</v>
      </c>
    </row>
    <row r="6" spans="2:14">
      <c r="B6" s="113" t="s">
        <v>17</v>
      </c>
      <c r="C6" s="116">
        <f>'GS7477'!J37</f>
        <v>3427</v>
      </c>
      <c r="D6" s="116">
        <f>'GS7477'!O37</f>
        <v>2080</v>
      </c>
      <c r="E6" s="117">
        <f>'GS7477'!E37</f>
        <v>5507</v>
      </c>
      <c r="F6" s="114">
        <f>'Uncapped ERs'!G$37</f>
        <v>16490</v>
      </c>
      <c r="H6" s="121">
        <f>'SDG Impacts '!D50</f>
        <v>-0.88636363636363635</v>
      </c>
      <c r="I6" s="123">
        <f>'SDG Impacts '!D55</f>
        <v>0.37500280112044815</v>
      </c>
      <c r="J6" s="116">
        <f>'SDG Impacts '!D61</f>
        <v>3689.3999999999996</v>
      </c>
      <c r="K6" s="40">
        <f>'Total PTDs'!J47</f>
        <v>3900</v>
      </c>
      <c r="L6" s="40">
        <f>'Total PTDs'!I47</f>
        <v>7183</v>
      </c>
      <c r="M6" s="40">
        <f>'GS7477'!E6</f>
        <v>1148400</v>
      </c>
      <c r="N6" s="114">
        <f>'Total PTDs'!Y47</f>
        <v>2132882</v>
      </c>
    </row>
    <row r="7" spans="2:14">
      <c r="B7" s="115" t="s">
        <v>18</v>
      </c>
      <c r="C7" s="116">
        <f>'GS7478'!J37</f>
        <v>3509</v>
      </c>
      <c r="D7" s="116">
        <f>'GS7478'!O37</f>
        <v>2130</v>
      </c>
      <c r="E7" s="117">
        <f>'GS7478'!E37</f>
        <v>5639</v>
      </c>
      <c r="F7" s="114">
        <f>'Uncapped ERs'!H$37</f>
        <v>18318</v>
      </c>
      <c r="H7" s="121">
        <f>'SDG Impacts '!D72</f>
        <v>-0.88636363636363635</v>
      </c>
      <c r="I7" s="124">
        <f>'SDG Impacts '!D77</f>
        <v>0.37500280112044815</v>
      </c>
      <c r="J7" s="116">
        <f>'SDG Impacts '!D83</f>
        <v>3351.6</v>
      </c>
      <c r="K7" s="40">
        <f>'Total PTDs'!J61</f>
        <v>3600</v>
      </c>
      <c r="L7" s="40">
        <f>'Total PTDs'!I61</f>
        <v>7200</v>
      </c>
      <c r="M7" s="40">
        <f>'GS7478'!E6</f>
        <v>1176000</v>
      </c>
      <c r="N7" s="114">
        <f>'Total PTDs'!Y61</f>
        <v>2369112</v>
      </c>
    </row>
    <row r="8" spans="2:14">
      <c r="B8" s="113" t="s">
        <v>19</v>
      </c>
      <c r="C8" s="116">
        <f>'GS7479'!J37</f>
        <v>4033</v>
      </c>
      <c r="D8" s="116">
        <f>'GS7479'!O37</f>
        <v>2451</v>
      </c>
      <c r="E8" s="117">
        <f>'GS7479'!E37</f>
        <v>6484</v>
      </c>
      <c r="F8" s="114">
        <f>'Uncapped ERs'!I$37</f>
        <v>18166</v>
      </c>
      <c r="H8" s="121">
        <f>'SDG Impacts '!D94</f>
        <v>-0.88636363636363635</v>
      </c>
      <c r="I8" s="124">
        <f>'SDG Impacts '!D99</f>
        <v>0.37500280112044815</v>
      </c>
      <c r="J8" s="116">
        <f>'SDG Impacts '!D105</f>
        <v>3630.8999999999996</v>
      </c>
      <c r="K8" s="40">
        <f>'Total PTDs'!J76</f>
        <v>3900</v>
      </c>
      <c r="L8" s="40">
        <f>'Total PTDs'!I76</f>
        <v>6437</v>
      </c>
      <c r="M8" s="40">
        <f>'Total PTDs'!S76</f>
        <v>1423500</v>
      </c>
      <c r="N8" s="114">
        <f>'Total PTDs'!Y76</f>
        <v>2349505</v>
      </c>
    </row>
    <row r="9" spans="2:14">
      <c r="B9" s="115" t="s">
        <v>20</v>
      </c>
      <c r="C9" s="116">
        <f>'GS7480'!J37</f>
        <v>3673</v>
      </c>
      <c r="D9" s="116">
        <f>'GS7480'!O37</f>
        <v>2231</v>
      </c>
      <c r="E9" s="117">
        <f>'GS7480'!E37</f>
        <v>5904</v>
      </c>
      <c r="F9" s="114">
        <f>'Uncapped ERs'!J$37</f>
        <v>16654</v>
      </c>
      <c r="H9" s="121">
        <f>'SDG Impacts '!D116</f>
        <v>-0.88636363636363635</v>
      </c>
      <c r="I9" s="124">
        <f>'SDG Impacts '!D121</f>
        <v>0.37500280112044815</v>
      </c>
      <c r="J9" s="116">
        <f>'SDG Impacts '!D127</f>
        <v>3630.8999999999996</v>
      </c>
      <c r="K9" s="40">
        <f>'Total PTDs'!J91</f>
        <v>3900</v>
      </c>
      <c r="L9" s="40">
        <f>'Total PTDs'!I91</f>
        <v>7156</v>
      </c>
      <c r="M9" s="40">
        <f>'Total PTDs'!S91</f>
        <v>1231200</v>
      </c>
      <c r="N9" s="114">
        <f>'Total PTDs'!Y91</f>
        <v>2154044</v>
      </c>
    </row>
    <row r="10" spans="2:14">
      <c r="B10" s="113" t="s">
        <v>21</v>
      </c>
      <c r="C10" s="116">
        <f>'GS7481'!J37</f>
        <v>3753</v>
      </c>
      <c r="D10" s="116">
        <f>'GS7481'!O37</f>
        <v>2278</v>
      </c>
      <c r="E10" s="117">
        <f>'GS7481'!E37</f>
        <v>6031</v>
      </c>
      <c r="F10" s="114">
        <f>'Uncapped ERs'!K$37</f>
        <v>18349</v>
      </c>
      <c r="H10" s="121">
        <f>'SDG Impacts '!D138</f>
        <v>-0.88636363636363635</v>
      </c>
      <c r="I10" s="124">
        <f>'SDG Impacts '!D143</f>
        <v>0.37500280112044815</v>
      </c>
      <c r="J10" s="116">
        <f>'SDG Impacts '!D149</f>
        <v>3630.8999999999996</v>
      </c>
      <c r="K10" s="40">
        <f>'Total PTDs'!J106</f>
        <v>3900</v>
      </c>
      <c r="L10" s="40">
        <f>'Total PTDs'!I106</f>
        <v>7328</v>
      </c>
      <c r="M10" s="40">
        <f>'Total PTDs'!S106</f>
        <v>1257900</v>
      </c>
      <c r="N10" s="114">
        <f>'Total PTDs'!Y106</f>
        <v>2373144</v>
      </c>
    </row>
    <row r="11" spans="2:14">
      <c r="B11" s="115" t="s">
        <v>22</v>
      </c>
      <c r="C11" s="116">
        <f>'GS7482'!J37</f>
        <v>4244</v>
      </c>
      <c r="D11" s="116">
        <f>'GS7482'!O37</f>
        <v>2578</v>
      </c>
      <c r="E11" s="117">
        <f>'GS7482'!E37</f>
        <v>6822</v>
      </c>
      <c r="F11" s="114">
        <f>'Uncapped ERs'!L$37</f>
        <v>19054</v>
      </c>
      <c r="H11" s="121">
        <f>'SDG Impacts '!D160</f>
        <v>-0.88636363636363635</v>
      </c>
      <c r="I11" s="124">
        <f>'SDG Impacts '!D165</f>
        <v>0.37500280112044815</v>
      </c>
      <c r="J11" s="116">
        <f>'SDG Impacts '!D171</f>
        <v>3910.2</v>
      </c>
      <c r="K11" s="40">
        <f>'Total PTDs'!J122</f>
        <v>4200</v>
      </c>
      <c r="L11" s="40">
        <f>'Total PTDs'!I122</f>
        <v>7215</v>
      </c>
      <c r="M11" s="40">
        <f>'Total PTDs'!S122</f>
        <v>1422600</v>
      </c>
      <c r="N11" s="114">
        <f>'Total PTDs'!Y122</f>
        <v>2464379</v>
      </c>
    </row>
    <row r="12" spans="2:14">
      <c r="B12" s="113" t="s">
        <v>23</v>
      </c>
      <c r="C12" s="116">
        <f>'GS7483'!J37</f>
        <v>4343</v>
      </c>
      <c r="D12" s="116">
        <f>'GS7483'!O37</f>
        <v>2640</v>
      </c>
      <c r="E12" s="117">
        <f>'GS7483'!E37</f>
        <v>6983</v>
      </c>
      <c r="F12" s="114">
        <f>'Uncapped ERs'!M$37</f>
        <v>22349</v>
      </c>
      <c r="H12" s="121">
        <f>'SDG Impacts '!D182</f>
        <v>-0.88636363636363635</v>
      </c>
      <c r="I12" s="124">
        <f>'SDG Impacts '!D187</f>
        <v>0.37500280112044815</v>
      </c>
      <c r="J12" s="116">
        <f>'SDG Impacts '!D193</f>
        <v>3910.2</v>
      </c>
      <c r="K12" s="40">
        <f>'Total PTDs'!J138</f>
        <v>4200</v>
      </c>
      <c r="L12" s="40">
        <f>'Total PTDs'!I138</f>
        <v>8039</v>
      </c>
      <c r="M12" s="40">
        <f>'Total PTDs'!S138</f>
        <v>1505400</v>
      </c>
      <c r="N12" s="114">
        <f>'Total PTDs'!Y138</f>
        <v>2890627</v>
      </c>
    </row>
    <row r="13" spans="2:14">
      <c r="B13" s="113" t="s">
        <v>24</v>
      </c>
      <c r="C13" s="116">
        <f>'GS7484'!J37</f>
        <v>4343</v>
      </c>
      <c r="D13" s="116">
        <f>'GS7484'!O37</f>
        <v>2762</v>
      </c>
      <c r="E13" s="117">
        <f>'GS7484'!E37</f>
        <v>7105</v>
      </c>
      <c r="F13" s="114">
        <f>'Uncapped ERs'!N$37</f>
        <v>21750</v>
      </c>
      <c r="H13" s="121">
        <f>'SDG Impacts '!D204</f>
        <v>-0.88636363636363635</v>
      </c>
      <c r="I13" s="124">
        <f>'SDG Impacts '!D209</f>
        <v>0.37500280112044815</v>
      </c>
      <c r="J13" s="116">
        <f>'SDG Impacts '!D215</f>
        <v>3910.2</v>
      </c>
      <c r="K13" s="40">
        <f>'Total PTDs'!J154</f>
        <v>4200</v>
      </c>
      <c r="L13" s="40">
        <f>'Total PTDs'!I154</f>
        <v>7711</v>
      </c>
      <c r="M13" s="40">
        <f>'Total PTDs'!S154</f>
        <v>1532100</v>
      </c>
      <c r="N13" s="114">
        <f>'Total PTDs'!Y154</f>
        <v>2813033</v>
      </c>
    </row>
    <row r="14" spans="2:14">
      <c r="B14" s="113" t="s">
        <v>25</v>
      </c>
      <c r="C14" s="258">
        <f>'GS10663'!J37</f>
        <v>6053</v>
      </c>
      <c r="D14" s="258">
        <f>'GS10663'!O37</f>
        <v>3598</v>
      </c>
      <c r="E14" s="259">
        <f>'GS10663'!E37</f>
        <v>9651</v>
      </c>
      <c r="F14" s="114">
        <f>'Uncapped ERs'!O$37</f>
        <v>21971</v>
      </c>
      <c r="H14" s="121">
        <f>'SDG Impacts '!D226</f>
        <v>-0.88636363636363635</v>
      </c>
      <c r="I14" s="262">
        <f>'SDG Impacts '!D231</f>
        <v>0.2518662771827328</v>
      </c>
      <c r="J14" s="116">
        <f>'SDG Impacts '!D237</f>
        <v>5668.4319999999998</v>
      </c>
      <c r="K14" s="40">
        <f>'Total PTDs'!J176</f>
        <v>5992</v>
      </c>
      <c r="L14" s="40">
        <f>'Total PTDs'!I176</f>
        <v>7678</v>
      </c>
      <c r="M14" s="40">
        <f>'GS10663'!E6</f>
        <v>2122227</v>
      </c>
      <c r="N14" s="114">
        <f>'Total PTDs'!Y176</f>
        <v>2841803</v>
      </c>
    </row>
    <row r="15" spans="2:14">
      <c r="B15" s="113" t="s">
        <v>26</v>
      </c>
      <c r="C15" s="258">
        <f>'GS10664'!J37</f>
        <v>4773</v>
      </c>
      <c r="D15" s="258">
        <f>'GS10664'!O37</f>
        <v>3593</v>
      </c>
      <c r="E15" s="259">
        <f>'GS10664'!E37</f>
        <v>8366</v>
      </c>
      <c r="F15" s="114">
        <f>'Uncapped ERs'!P$37</f>
        <v>18037</v>
      </c>
      <c r="H15" s="121">
        <f>'SDG Impacts '!D248</f>
        <v>-0.88636363636363635</v>
      </c>
      <c r="I15" s="262">
        <f>'SDG Impacts '!D253</f>
        <v>0.2518662771827328</v>
      </c>
      <c r="J15" s="116">
        <f>'SDG Impacts '!D259</f>
        <v>5660.8639999999996</v>
      </c>
      <c r="K15" s="40">
        <f>'Total PTDs'!J198</f>
        <v>5984</v>
      </c>
      <c r="L15" s="40">
        <f>'Total PTDs'!I198</f>
        <v>7632</v>
      </c>
      <c r="M15" s="40">
        <f>'GS10664'!E6</f>
        <v>1839659</v>
      </c>
      <c r="N15" s="114">
        <f>'Total PTDs'!Y198</f>
        <v>2332947</v>
      </c>
    </row>
    <row r="16" spans="2:14" ht="14.65" thickBot="1">
      <c r="B16" s="200" t="s">
        <v>27</v>
      </c>
      <c r="C16" s="260">
        <f>'GS10665'!J37</f>
        <v>3034</v>
      </c>
      <c r="D16" s="260">
        <f>'GS10665'!O37</f>
        <v>3603</v>
      </c>
      <c r="E16" s="261">
        <f>'GS10665'!E37</f>
        <v>6637</v>
      </c>
      <c r="F16" s="126">
        <f>'Uncapped ERs'!Q$37</f>
        <v>15971</v>
      </c>
      <c r="H16" s="125">
        <f>'SDG Impacts '!D270</f>
        <v>-0.88636363636363635</v>
      </c>
      <c r="I16" s="263">
        <f>'SDG Impacts '!D275</f>
        <v>0.2518662771827328</v>
      </c>
      <c r="J16" s="39">
        <f>'SDG Impacts '!D281</f>
        <v>5676</v>
      </c>
      <c r="K16" s="156">
        <f>'Total PTDs'!J220</f>
        <v>6000</v>
      </c>
      <c r="L16" s="156">
        <f>'Total PTDs'!I220</f>
        <v>8041</v>
      </c>
      <c r="M16" s="156">
        <f>'GS10665'!E6</f>
        <v>1459485</v>
      </c>
      <c r="N16" s="126">
        <f>'Total PTDs'!Y220</f>
        <v>2065636</v>
      </c>
    </row>
    <row r="17" spans="2:14" ht="15" thickTop="1" thickBot="1">
      <c r="B17" s="118">
        <f>COUNTA(B4:B16)</f>
        <v>13</v>
      </c>
      <c r="C17" s="119">
        <f>SUM(C4:C16)</f>
        <v>52773</v>
      </c>
      <c r="D17" s="119">
        <f>SUM(D4:D16)</f>
        <v>34551</v>
      </c>
      <c r="E17" s="120">
        <f>SUM(E4:E16)</f>
        <v>87324</v>
      </c>
      <c r="F17" s="199">
        <f>SUM(F4:F16)</f>
        <v>243343</v>
      </c>
      <c r="H17" s="127">
        <f>AVERAGE(H4:H16)</f>
        <v>-0.88636363636363658</v>
      </c>
      <c r="I17" s="128">
        <f>AVERAGE(I4:I16)</f>
        <v>0.34658668021174449</v>
      </c>
      <c r="J17" s="119">
        <f>SUM(J4:J16)</f>
        <v>54048.396000000001</v>
      </c>
      <c r="K17" s="119">
        <f>SUM(K4:K16)</f>
        <v>57576</v>
      </c>
      <c r="L17" s="119">
        <f>SUM(L4:L16)</f>
        <v>95945</v>
      </c>
      <c r="M17" s="119">
        <f>SUM(M4:M16)</f>
        <v>18661871</v>
      </c>
      <c r="N17" s="120">
        <f>SUM(N4:N16)</f>
        <v>31473673</v>
      </c>
    </row>
    <row r="18" spans="2:14">
      <c r="C18" s="38"/>
    </row>
    <row r="19" spans="2:14">
      <c r="G19" s="38"/>
      <c r="I19" s="38"/>
      <c r="J19" s="38"/>
    </row>
    <row r="20" spans="2:14">
      <c r="C20" s="110"/>
      <c r="J20" s="6" t="s">
        <v>28</v>
      </c>
    </row>
    <row r="21" spans="2:14">
      <c r="C21" s="110"/>
      <c r="I21" s="38"/>
      <c r="J21" s="38"/>
    </row>
    <row r="22" spans="2:14">
      <c r="C22" s="110"/>
      <c r="I22" s="38"/>
      <c r="J22" s="38"/>
    </row>
    <row r="23" spans="2:14">
      <c r="C23" s="110"/>
      <c r="I23" s="38"/>
      <c r="J23" s="38"/>
    </row>
    <row r="24" spans="2:14">
      <c r="C24" s="110"/>
      <c r="I24" s="38"/>
      <c r="J24" s="38"/>
    </row>
    <row r="25" spans="2:14">
      <c r="C25" s="110"/>
      <c r="I25" s="38"/>
      <c r="J25" s="38"/>
    </row>
    <row r="26" spans="2:14">
      <c r="C26" s="110"/>
      <c r="I26" s="38"/>
      <c r="J26" s="38"/>
    </row>
    <row r="27" spans="2:14">
      <c r="C27" s="110"/>
      <c r="I27" s="38"/>
      <c r="J27" s="38"/>
    </row>
    <row r="28" spans="2:14">
      <c r="C28" s="110"/>
      <c r="I28" s="38"/>
      <c r="J28" s="38"/>
    </row>
    <row r="29" spans="2:14">
      <c r="I29" s="38"/>
      <c r="J29" s="38"/>
    </row>
    <row r="30" spans="2:14">
      <c r="I30" s="38"/>
      <c r="J30" s="38"/>
    </row>
    <row r="31" spans="2:14">
      <c r="I31" s="38"/>
      <c r="J31" s="38"/>
    </row>
  </sheetData>
  <mergeCells count="2">
    <mergeCell ref="B2:F2"/>
    <mergeCell ref="H2:N2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7FB8-0508-40CF-A785-520BA14B4A40}">
  <dimension ref="A2:P41"/>
  <sheetViews>
    <sheetView topLeftCell="H1" workbookViewId="0">
      <selection activeCell="O7" sqref="O7"/>
    </sheetView>
  </sheetViews>
  <sheetFormatPr defaultRowHeight="14.25"/>
  <cols>
    <col min="2" max="2" width="60.7109375" bestFit="1" customWidth="1"/>
    <col min="3" max="3" width="18.28515625" bestFit="1" customWidth="1"/>
    <col min="4" max="4" width="12.42578125" bestFit="1" customWidth="1"/>
    <col min="5" max="5" width="12.7109375" customWidth="1"/>
    <col min="6" max="6" width="7.28515625" customWidth="1"/>
    <col min="7" max="7" width="60.7109375" bestFit="1" customWidth="1"/>
    <col min="8" max="8" width="18.28515625" bestFit="1" customWidth="1"/>
    <col min="9" max="9" width="12.42578125" bestFit="1" customWidth="1"/>
    <col min="10" max="10" width="12.5703125" customWidth="1"/>
    <col min="11" max="11" width="5" customWidth="1"/>
    <col min="12" max="12" width="60.7109375" bestFit="1" customWidth="1"/>
    <col min="13" max="13" width="18.28515625" bestFit="1" customWidth="1"/>
    <col min="14" max="14" width="12.42578125" bestFit="1" customWidth="1"/>
    <col min="15" max="15" width="12.28515625" customWidth="1"/>
  </cols>
  <sheetData>
    <row r="2" spans="1:16" ht="15" customHeight="1">
      <c r="B2" s="250" t="s">
        <v>573</v>
      </c>
      <c r="C2" s="250"/>
      <c r="D2" s="250"/>
      <c r="E2" s="250"/>
      <c r="G2" s="250" t="s">
        <v>574</v>
      </c>
      <c r="H2" s="250"/>
      <c r="I2" s="250"/>
      <c r="J2" s="250"/>
      <c r="L2" s="250" t="s">
        <v>575</v>
      </c>
      <c r="M2" s="250"/>
      <c r="N2" s="250"/>
      <c r="O2" s="250"/>
    </row>
    <row r="4" spans="1:16">
      <c r="A4" s="3"/>
      <c r="B4" s="248" t="s">
        <v>516</v>
      </c>
      <c r="C4" s="249"/>
      <c r="D4" s="249"/>
      <c r="E4" s="253"/>
      <c r="F4" s="3"/>
      <c r="G4" s="248" t="s">
        <v>516</v>
      </c>
      <c r="H4" s="249"/>
      <c r="I4" s="249"/>
      <c r="J4" s="253"/>
      <c r="K4" s="3"/>
      <c r="L4" s="248" t="s">
        <v>516</v>
      </c>
      <c r="M4" s="249"/>
      <c r="N4" s="249"/>
      <c r="O4" s="253"/>
      <c r="P4" s="3"/>
    </row>
    <row r="5" spans="1:16">
      <c r="B5" s="1" t="s">
        <v>517</v>
      </c>
      <c r="C5" s="1" t="s">
        <v>518</v>
      </c>
      <c r="D5" s="1" t="s">
        <v>519</v>
      </c>
      <c r="E5" s="37">
        <v>0.02</v>
      </c>
      <c r="F5" s="3"/>
      <c r="G5" s="1" t="s">
        <v>517</v>
      </c>
      <c r="H5" s="1" t="s">
        <v>518</v>
      </c>
      <c r="I5" s="1" t="s">
        <v>519</v>
      </c>
      <c r="J5" s="37">
        <v>0.02</v>
      </c>
      <c r="L5" s="1" t="s">
        <v>517</v>
      </c>
      <c r="M5" s="1" t="s">
        <v>518</v>
      </c>
      <c r="N5" s="1" t="s">
        <v>519</v>
      </c>
      <c r="O5" s="109">
        <f>J5</f>
        <v>0.02</v>
      </c>
    </row>
    <row r="6" spans="1:16">
      <c r="B6" s="1" t="s">
        <v>520</v>
      </c>
      <c r="C6" s="1" t="s">
        <v>521</v>
      </c>
      <c r="D6" s="1"/>
      <c r="E6" s="4">
        <f>'Total PTDs'!AM23</f>
        <v>1231200</v>
      </c>
      <c r="F6" s="3"/>
      <c r="G6" s="1" t="s">
        <v>520</v>
      </c>
      <c r="H6" s="1" t="s">
        <v>521</v>
      </c>
      <c r="I6" s="1"/>
      <c r="J6" s="4">
        <f>'Total PTDs'!AH23</f>
        <v>765900</v>
      </c>
      <c r="L6" s="1" t="s">
        <v>520</v>
      </c>
      <c r="M6" s="1" t="s">
        <v>521</v>
      </c>
      <c r="N6" s="1"/>
      <c r="O6" s="4">
        <f>'Total PTDs'!AL23</f>
        <v>465300</v>
      </c>
    </row>
    <row r="7" spans="1:16">
      <c r="B7" s="1" t="s">
        <v>522</v>
      </c>
      <c r="C7" s="1" t="s">
        <v>523</v>
      </c>
      <c r="D7" s="1" t="s">
        <v>524</v>
      </c>
      <c r="E7" s="12">
        <f>J7</f>
        <v>4.0000000000000002E-4</v>
      </c>
      <c r="F7" s="3"/>
      <c r="G7" s="1" t="s">
        <v>522</v>
      </c>
      <c r="H7" s="1" t="s">
        <v>523</v>
      </c>
      <c r="I7" s="1" t="s">
        <v>524</v>
      </c>
      <c r="J7" s="12">
        <v>4.0000000000000002E-4</v>
      </c>
      <c r="L7" s="1" t="s">
        <v>522</v>
      </c>
      <c r="M7" s="1" t="s">
        <v>523</v>
      </c>
      <c r="N7" s="1" t="s">
        <v>524</v>
      </c>
      <c r="O7" s="12">
        <f>J7</f>
        <v>4.0000000000000002E-4</v>
      </c>
    </row>
    <row r="8" spans="1:16" ht="28.5">
      <c r="B8" s="2" t="s">
        <v>577</v>
      </c>
      <c r="C8" s="1" t="s">
        <v>526</v>
      </c>
      <c r="D8" s="1" t="s">
        <v>527</v>
      </c>
      <c r="E8" s="1">
        <v>7.5</v>
      </c>
      <c r="F8" s="3"/>
      <c r="G8" s="2" t="s">
        <v>577</v>
      </c>
      <c r="H8" s="1" t="s">
        <v>526</v>
      </c>
      <c r="I8" s="1" t="s">
        <v>527</v>
      </c>
      <c r="J8" s="1">
        <v>7.5</v>
      </c>
      <c r="L8" s="2" t="s">
        <v>577</v>
      </c>
      <c r="M8" s="1" t="s">
        <v>526</v>
      </c>
      <c r="N8" s="1" t="s">
        <v>527</v>
      </c>
      <c r="O8" s="1">
        <v>7.5</v>
      </c>
    </row>
    <row r="9" spans="1:16">
      <c r="B9" s="2" t="s">
        <v>528</v>
      </c>
      <c r="C9" s="1" t="s">
        <v>529</v>
      </c>
      <c r="D9" s="1" t="s">
        <v>527</v>
      </c>
      <c r="E9" s="1">
        <v>0</v>
      </c>
      <c r="F9" s="3"/>
      <c r="G9" s="2" t="s">
        <v>528</v>
      </c>
      <c r="H9" s="1" t="s">
        <v>529</v>
      </c>
      <c r="I9" s="1" t="s">
        <v>527</v>
      </c>
      <c r="J9" s="1">
        <v>0</v>
      </c>
      <c r="L9" s="2" t="s">
        <v>528</v>
      </c>
      <c r="M9" s="1" t="s">
        <v>529</v>
      </c>
      <c r="N9" s="1" t="s">
        <v>527</v>
      </c>
      <c r="O9" s="1">
        <v>0</v>
      </c>
    </row>
    <row r="10" spans="1:16">
      <c r="B10" s="1" t="s">
        <v>530</v>
      </c>
      <c r="C10" s="1" t="s">
        <v>531</v>
      </c>
      <c r="D10" s="1" t="s">
        <v>532</v>
      </c>
      <c r="E10" s="4">
        <f>(1-E5)*E6*E7*(E8+E9)</f>
        <v>3619.7280000000001</v>
      </c>
      <c r="F10" s="3"/>
      <c r="G10" s="1" t="s">
        <v>530</v>
      </c>
      <c r="H10" s="1" t="s">
        <v>531</v>
      </c>
      <c r="I10" s="1" t="s">
        <v>532</v>
      </c>
      <c r="J10" s="7">
        <f>(1-J5)*J6*J7*(J8+J9)</f>
        <v>2251.7460000000001</v>
      </c>
      <c r="L10" s="1" t="s">
        <v>530</v>
      </c>
      <c r="M10" s="1" t="s">
        <v>531</v>
      </c>
      <c r="N10" s="1" t="s">
        <v>532</v>
      </c>
      <c r="O10" s="7">
        <f>(1-O5)*O6*O7*(O8+O9)</f>
        <v>1367.982</v>
      </c>
    </row>
    <row r="11" spans="1:16">
      <c r="F11" s="3"/>
    </row>
    <row r="12" spans="1:16">
      <c r="B12" s="248" t="s">
        <v>533</v>
      </c>
      <c r="C12" s="249"/>
      <c r="D12" s="249"/>
      <c r="E12" s="253"/>
      <c r="F12" s="3"/>
      <c r="G12" s="248" t="s">
        <v>533</v>
      </c>
      <c r="H12" s="249"/>
      <c r="I12" s="249"/>
      <c r="J12" s="253"/>
      <c r="L12" s="248" t="s">
        <v>533</v>
      </c>
      <c r="M12" s="249"/>
      <c r="N12" s="249"/>
      <c r="O12" s="253"/>
    </row>
    <row r="13" spans="1:16">
      <c r="B13" s="1" t="s">
        <v>534</v>
      </c>
      <c r="C13" s="1" t="s">
        <v>518</v>
      </c>
      <c r="D13" s="1" t="s">
        <v>519</v>
      </c>
      <c r="E13" s="37">
        <v>0.02</v>
      </c>
      <c r="F13" s="3"/>
      <c r="G13" s="1" t="s">
        <v>534</v>
      </c>
      <c r="H13" s="1" t="s">
        <v>518</v>
      </c>
      <c r="I13" s="1" t="s">
        <v>519</v>
      </c>
      <c r="J13" s="109">
        <f>J5</f>
        <v>0.02</v>
      </c>
      <c r="L13" s="1" t="s">
        <v>534</v>
      </c>
      <c r="M13" s="1" t="s">
        <v>518</v>
      </c>
      <c r="N13" s="1" t="s">
        <v>519</v>
      </c>
      <c r="O13" s="109">
        <f>O5</f>
        <v>0.02</v>
      </c>
    </row>
    <row r="14" spans="1:16">
      <c r="B14" s="1" t="s">
        <v>520</v>
      </c>
      <c r="C14" s="1" t="s">
        <v>521</v>
      </c>
      <c r="D14" s="1"/>
      <c r="E14" s="4">
        <f>E6</f>
        <v>1231200</v>
      </c>
      <c r="F14" s="3"/>
      <c r="G14" s="1" t="s">
        <v>520</v>
      </c>
      <c r="H14" s="1" t="s">
        <v>521</v>
      </c>
      <c r="I14" s="1"/>
      <c r="J14" s="4">
        <f>J6</f>
        <v>765900</v>
      </c>
      <c r="L14" s="1" t="s">
        <v>520</v>
      </c>
      <c r="M14" s="1" t="s">
        <v>521</v>
      </c>
      <c r="N14" s="1"/>
      <c r="O14" s="4">
        <f>O6</f>
        <v>465300</v>
      </c>
    </row>
    <row r="15" spans="1:16">
      <c r="B15" s="1" t="s">
        <v>535</v>
      </c>
      <c r="C15" s="1" t="s">
        <v>536</v>
      </c>
      <c r="D15" s="1" t="s">
        <v>524</v>
      </c>
      <c r="E15" s="12">
        <f>E7</f>
        <v>4.0000000000000002E-4</v>
      </c>
      <c r="F15" s="3"/>
      <c r="G15" s="1" t="s">
        <v>535</v>
      </c>
      <c r="H15" s="1" t="s">
        <v>536</v>
      </c>
      <c r="I15" s="1" t="s">
        <v>524</v>
      </c>
      <c r="J15" s="12">
        <f>J7</f>
        <v>4.0000000000000002E-4</v>
      </c>
      <c r="L15" s="1" t="s">
        <v>535</v>
      </c>
      <c r="M15" s="1" t="s">
        <v>536</v>
      </c>
      <c r="N15" s="1" t="s">
        <v>524</v>
      </c>
      <c r="O15" s="12">
        <f>O7</f>
        <v>4.0000000000000002E-4</v>
      </c>
    </row>
    <row r="16" spans="1:16">
      <c r="B16" s="1" t="s">
        <v>537</v>
      </c>
      <c r="C16" s="1" t="s">
        <v>529</v>
      </c>
      <c r="D16" s="1" t="s">
        <v>527</v>
      </c>
      <c r="E16" s="1">
        <v>0</v>
      </c>
      <c r="F16" s="3"/>
      <c r="G16" s="1" t="s">
        <v>537</v>
      </c>
      <c r="H16" s="1" t="s">
        <v>529</v>
      </c>
      <c r="I16" s="1" t="s">
        <v>527</v>
      </c>
      <c r="J16" s="1">
        <v>0</v>
      </c>
      <c r="L16" s="1" t="s">
        <v>537</v>
      </c>
      <c r="M16" s="1" t="s">
        <v>529</v>
      </c>
      <c r="N16" s="1" t="s">
        <v>527</v>
      </c>
      <c r="O16" s="1">
        <v>0</v>
      </c>
    </row>
    <row r="17" spans="2:15">
      <c r="B17" s="1" t="s">
        <v>538</v>
      </c>
      <c r="C17" s="1" t="s">
        <v>539</v>
      </c>
      <c r="D17" s="1" t="s">
        <v>527</v>
      </c>
      <c r="E17" s="22">
        <v>0</v>
      </c>
      <c r="F17" s="3"/>
      <c r="G17" s="1" t="s">
        <v>538</v>
      </c>
      <c r="H17" s="1" t="s">
        <v>539</v>
      </c>
      <c r="I17" s="1" t="s">
        <v>527</v>
      </c>
      <c r="J17" s="22">
        <v>0</v>
      </c>
      <c r="L17" s="1" t="s">
        <v>538</v>
      </c>
      <c r="M17" s="1" t="s">
        <v>539</v>
      </c>
      <c r="N17" s="1" t="s">
        <v>527</v>
      </c>
      <c r="O17" s="22">
        <v>0</v>
      </c>
    </row>
    <row r="18" spans="2:15">
      <c r="B18" s="1" t="s">
        <v>540</v>
      </c>
      <c r="C18" s="1" t="s">
        <v>541</v>
      </c>
      <c r="D18" s="1" t="s">
        <v>532</v>
      </c>
      <c r="E18" s="7">
        <f>(1-E13)*E14*E15*(E16+E17)</f>
        <v>0</v>
      </c>
      <c r="F18" s="3"/>
      <c r="G18" s="1" t="s">
        <v>540</v>
      </c>
      <c r="H18" s="1" t="s">
        <v>541</v>
      </c>
      <c r="I18" s="1" t="s">
        <v>532</v>
      </c>
      <c r="J18" s="7">
        <f>(1-J13)*J14*J15*(J16+J17)</f>
        <v>0</v>
      </c>
      <c r="L18" s="1" t="s">
        <v>540</v>
      </c>
      <c r="M18" s="1" t="s">
        <v>541</v>
      </c>
      <c r="N18" s="1" t="s">
        <v>532</v>
      </c>
      <c r="O18" s="7">
        <f>(1-O13)*O14*O15*(O16+O17)</f>
        <v>0</v>
      </c>
    </row>
    <row r="19" spans="2:15">
      <c r="F19" s="3"/>
    </row>
    <row r="20" spans="2:15">
      <c r="B20" s="248" t="s">
        <v>542</v>
      </c>
      <c r="C20" s="249"/>
      <c r="D20" s="249"/>
      <c r="E20" s="253"/>
      <c r="F20" s="3"/>
      <c r="G20" s="248" t="s">
        <v>542</v>
      </c>
      <c r="H20" s="249"/>
      <c r="I20" s="249"/>
      <c r="J20" s="253"/>
      <c r="L20" s="248" t="s">
        <v>542</v>
      </c>
      <c r="M20" s="249"/>
      <c r="N20" s="249"/>
      <c r="O20" s="253"/>
    </row>
    <row r="21" spans="2:15">
      <c r="B21" s="2" t="s">
        <v>543</v>
      </c>
      <c r="C21" s="1" t="s">
        <v>543</v>
      </c>
      <c r="D21" s="1" t="s">
        <v>544</v>
      </c>
      <c r="E21" s="8">
        <v>0.95</v>
      </c>
      <c r="F21" s="3"/>
      <c r="G21" s="2" t="s">
        <v>543</v>
      </c>
      <c r="H21" s="1" t="s">
        <v>543</v>
      </c>
      <c r="I21" s="1" t="s">
        <v>544</v>
      </c>
      <c r="J21" s="8">
        <v>0.95</v>
      </c>
      <c r="L21" s="2" t="s">
        <v>543</v>
      </c>
      <c r="M21" s="1" t="s">
        <v>543</v>
      </c>
      <c r="N21" s="1" t="s">
        <v>544</v>
      </c>
      <c r="O21" s="8">
        <v>0.95</v>
      </c>
    </row>
    <row r="22" spans="2:15">
      <c r="B22" s="1" t="s">
        <v>545</v>
      </c>
      <c r="C22" s="1" t="s">
        <v>546</v>
      </c>
      <c r="D22" s="1" t="s">
        <v>547</v>
      </c>
      <c r="E22" s="1">
        <v>112</v>
      </c>
      <c r="F22" s="3"/>
      <c r="G22" s="1" t="s">
        <v>545</v>
      </c>
      <c r="H22" s="1" t="s">
        <v>546</v>
      </c>
      <c r="I22" s="1" t="s">
        <v>547</v>
      </c>
      <c r="J22" s="1">
        <v>112</v>
      </c>
      <c r="L22" s="1" t="s">
        <v>545</v>
      </c>
      <c r="M22" s="1" t="s">
        <v>546</v>
      </c>
      <c r="N22" s="1" t="s">
        <v>547</v>
      </c>
      <c r="O22" s="1">
        <v>112</v>
      </c>
    </row>
    <row r="23" spans="2:15">
      <c r="B23" s="1" t="s">
        <v>578</v>
      </c>
      <c r="C23" s="1" t="s">
        <v>549</v>
      </c>
      <c r="D23" s="1" t="s">
        <v>550</v>
      </c>
      <c r="E23" s="161">
        <f>(J6*J23+O6*O23)/E6</f>
        <v>9.4600000000000009</v>
      </c>
      <c r="F23" s="3"/>
      <c r="G23" s="1" t="s">
        <v>548</v>
      </c>
      <c r="H23" s="1" t="s">
        <v>549</v>
      </c>
      <c r="I23" s="1" t="s">
        <v>550</v>
      </c>
      <c r="J23" s="1">
        <v>9.4600000000000009</v>
      </c>
      <c r="L23" s="1" t="s">
        <v>548</v>
      </c>
      <c r="M23" s="1" t="s">
        <v>549</v>
      </c>
      <c r="N23" s="1" t="s">
        <v>550</v>
      </c>
      <c r="O23" s="1">
        <f>9.46</f>
        <v>9.4600000000000009</v>
      </c>
    </row>
    <row r="24" spans="2:15">
      <c r="B24" s="1" t="s">
        <v>551</v>
      </c>
      <c r="C24" s="1" t="s">
        <v>552</v>
      </c>
      <c r="D24" s="1" t="s">
        <v>553</v>
      </c>
      <c r="E24" s="1">
        <f>0.0156</f>
        <v>1.5599999999999999E-2</v>
      </c>
      <c r="F24" s="3"/>
      <c r="G24" s="1" t="s">
        <v>551</v>
      </c>
      <c r="H24" s="1" t="s">
        <v>552</v>
      </c>
      <c r="I24" s="1" t="s">
        <v>553</v>
      </c>
      <c r="J24" s="1">
        <v>1.5599999999999999E-2</v>
      </c>
      <c r="L24" s="1" t="s">
        <v>551</v>
      </c>
      <c r="M24" s="1" t="s">
        <v>552</v>
      </c>
      <c r="N24" s="1" t="s">
        <v>553</v>
      </c>
      <c r="O24" s="1">
        <v>1.5599999999999999E-2</v>
      </c>
    </row>
    <row r="25" spans="2:15">
      <c r="F25" s="3"/>
    </row>
    <row r="26" spans="2:15">
      <c r="B26" s="248" t="s">
        <v>554</v>
      </c>
      <c r="C26" s="249"/>
      <c r="D26" s="249"/>
      <c r="E26" s="253"/>
      <c r="F26" s="3"/>
      <c r="G26" s="248" t="s">
        <v>554</v>
      </c>
      <c r="H26" s="249"/>
      <c r="I26" s="249"/>
      <c r="J26" s="253"/>
      <c r="L26" s="248" t="s">
        <v>554</v>
      </c>
      <c r="M26" s="249"/>
      <c r="N26" s="249"/>
      <c r="O26" s="253"/>
    </row>
    <row r="27" spans="2:15">
      <c r="B27" s="1" t="s">
        <v>555</v>
      </c>
      <c r="C27" s="1" t="s">
        <v>556</v>
      </c>
      <c r="D27" s="1" t="s">
        <v>557</v>
      </c>
      <c r="E27" s="4">
        <f>E10*((E22*E21)+E23)*E24</f>
        <v>6542.354302847999</v>
      </c>
      <c r="F27" s="3"/>
      <c r="G27" s="1" t="s">
        <v>555</v>
      </c>
      <c r="H27" s="1" t="s">
        <v>556</v>
      </c>
      <c r="I27" s="1" t="s">
        <v>557</v>
      </c>
      <c r="J27" s="4">
        <f>J10*((J22*J21)+J23)*J24</f>
        <v>4069.8417483359995</v>
      </c>
      <c r="L27" s="1" t="s">
        <v>555</v>
      </c>
      <c r="M27" s="1" t="s">
        <v>556</v>
      </c>
      <c r="N27" s="1" t="s">
        <v>557</v>
      </c>
      <c r="O27" s="4">
        <f>O10*((O22*O21)+O23)*O24</f>
        <v>2472.5125545119995</v>
      </c>
    </row>
    <row r="28" spans="2:15">
      <c r="B28" s="1" t="s">
        <v>558</v>
      </c>
      <c r="C28" s="1" t="s">
        <v>559</v>
      </c>
      <c r="D28" s="1" t="s">
        <v>557</v>
      </c>
      <c r="E28" s="4">
        <f>E18*((E22*E21)+E23)*E24</f>
        <v>0</v>
      </c>
      <c r="F28" s="3"/>
      <c r="G28" s="1" t="s">
        <v>558</v>
      </c>
      <c r="H28" s="1" t="s">
        <v>559</v>
      </c>
      <c r="I28" s="1" t="s">
        <v>557</v>
      </c>
      <c r="J28" s="4">
        <f>J18*((J22*J21)+J23)*J24</f>
        <v>0</v>
      </c>
      <c r="L28" s="1" t="s">
        <v>558</v>
      </c>
      <c r="M28" s="1" t="s">
        <v>559</v>
      </c>
      <c r="N28" s="1" t="s">
        <v>557</v>
      </c>
      <c r="O28" s="4">
        <f>O18*((O22*O21)+O23)*O24</f>
        <v>0</v>
      </c>
    </row>
    <row r="29" spans="2:15">
      <c r="B29" s="1" t="s">
        <v>579</v>
      </c>
      <c r="C29" s="1" t="s">
        <v>561</v>
      </c>
      <c r="D29" s="1" t="s">
        <v>519</v>
      </c>
      <c r="E29" s="1">
        <v>0.95</v>
      </c>
      <c r="F29" s="3"/>
      <c r="G29" s="1" t="s">
        <v>579</v>
      </c>
      <c r="H29" s="1" t="s">
        <v>561</v>
      </c>
      <c r="I29" s="1" t="s">
        <v>519</v>
      </c>
      <c r="J29" s="1">
        <v>0.95</v>
      </c>
      <c r="L29" s="1" t="s">
        <v>579</v>
      </c>
      <c r="M29" s="1" t="s">
        <v>561</v>
      </c>
      <c r="N29" s="1" t="s">
        <v>519</v>
      </c>
      <c r="O29" s="1">
        <v>0.95</v>
      </c>
    </row>
    <row r="30" spans="2:15">
      <c r="B30" s="1" t="s">
        <v>562</v>
      </c>
      <c r="C30" s="1" t="s">
        <v>563</v>
      </c>
      <c r="D30" s="1" t="s">
        <v>557</v>
      </c>
      <c r="E30" s="1">
        <v>0</v>
      </c>
      <c r="F30" s="3"/>
      <c r="G30" s="1" t="s">
        <v>562</v>
      </c>
      <c r="H30" s="1" t="s">
        <v>563</v>
      </c>
      <c r="I30" s="1" t="s">
        <v>557</v>
      </c>
      <c r="J30" s="1">
        <v>0</v>
      </c>
      <c r="L30" s="1" t="s">
        <v>562</v>
      </c>
      <c r="M30" s="1" t="s">
        <v>563</v>
      </c>
      <c r="N30" s="1" t="s">
        <v>557</v>
      </c>
      <c r="O30" s="1">
        <v>0</v>
      </c>
    </row>
    <row r="31" spans="2:15">
      <c r="B31" s="1" t="s">
        <v>564</v>
      </c>
      <c r="C31" s="1" t="s">
        <v>565</v>
      </c>
      <c r="D31" s="1" t="s">
        <v>557</v>
      </c>
      <c r="E31" s="4">
        <f>((E27-E28)*E29)-E30</f>
        <v>6215.236587705599</v>
      </c>
      <c r="F31" s="3"/>
      <c r="G31" s="1" t="s">
        <v>564</v>
      </c>
      <c r="H31" s="1" t="s">
        <v>565</v>
      </c>
      <c r="I31" s="1" t="s">
        <v>557</v>
      </c>
      <c r="J31" s="7">
        <f>((J27-J28)*J29)-J30</f>
        <v>3866.3496609191993</v>
      </c>
      <c r="L31" s="1" t="s">
        <v>564</v>
      </c>
      <c r="M31" s="1" t="s">
        <v>565</v>
      </c>
      <c r="N31" s="1" t="s">
        <v>557</v>
      </c>
      <c r="O31" s="7">
        <f>((O27-O28)*O29)-O30</f>
        <v>2348.8869267863993</v>
      </c>
    </row>
    <row r="32" spans="2:15">
      <c r="D32" s="5"/>
      <c r="F32" s="3"/>
      <c r="I32" s="5"/>
      <c r="N32" s="5"/>
    </row>
    <row r="33" spans="2:15">
      <c r="B33" s="251" t="s">
        <v>566</v>
      </c>
      <c r="C33" s="251"/>
      <c r="D33" s="251"/>
      <c r="E33" s="251"/>
      <c r="F33" s="3"/>
      <c r="G33" s="251" t="s">
        <v>566</v>
      </c>
      <c r="H33" s="251"/>
      <c r="I33" s="251"/>
      <c r="J33" s="251"/>
      <c r="L33" s="251" t="s">
        <v>566</v>
      </c>
      <c r="M33" s="251"/>
      <c r="N33" s="251"/>
      <c r="O33" s="251"/>
    </row>
    <row r="34" spans="2:15">
      <c r="B34" s="13" t="s">
        <v>567</v>
      </c>
      <c r="C34" s="1"/>
      <c r="D34" s="14"/>
      <c r="E34" s="23">
        <f>1-E35</f>
        <v>0.95</v>
      </c>
      <c r="F34" s="3"/>
      <c r="G34" s="13" t="s">
        <v>567</v>
      </c>
      <c r="H34" s="1"/>
      <c r="I34" s="14"/>
      <c r="J34" s="23">
        <f>1-J35</f>
        <v>0.95</v>
      </c>
      <c r="L34" s="13" t="s">
        <v>567</v>
      </c>
      <c r="M34" s="1"/>
      <c r="N34" s="14"/>
      <c r="O34" s="23">
        <f>1-O35</f>
        <v>0.95</v>
      </c>
    </row>
    <row r="35" spans="2:15">
      <c r="B35" s="13" t="s">
        <v>568</v>
      </c>
      <c r="C35" s="1" t="s">
        <v>569</v>
      </c>
      <c r="D35" s="14" t="s">
        <v>37</v>
      </c>
      <c r="E35" s="23">
        <v>0.05</v>
      </c>
      <c r="F35" s="3"/>
      <c r="G35" s="13" t="s">
        <v>568</v>
      </c>
      <c r="H35" s="1" t="s">
        <v>569</v>
      </c>
      <c r="I35" s="14" t="s">
        <v>37</v>
      </c>
      <c r="J35" s="23">
        <v>0.05</v>
      </c>
      <c r="L35" s="13" t="s">
        <v>568</v>
      </c>
      <c r="M35" s="1" t="s">
        <v>569</v>
      </c>
      <c r="N35" s="14" t="s">
        <v>37</v>
      </c>
      <c r="O35" s="23">
        <v>0.05</v>
      </c>
    </row>
    <row r="36" spans="2:15">
      <c r="B36" s="15" t="s">
        <v>564</v>
      </c>
      <c r="C36" s="15" t="s">
        <v>571</v>
      </c>
      <c r="D36" s="15" t="s">
        <v>557</v>
      </c>
      <c r="E36" s="25">
        <f>E31*(1-E35)</f>
        <v>5904.4747583203189</v>
      </c>
      <c r="F36" s="3"/>
      <c r="G36" s="15" t="s">
        <v>564</v>
      </c>
      <c r="H36" s="15" t="s">
        <v>571</v>
      </c>
      <c r="I36" s="15" t="s">
        <v>557</v>
      </c>
      <c r="J36" s="25">
        <f>J31*(1-J35)</f>
        <v>3673.0321778732391</v>
      </c>
      <c r="L36" s="15" t="s">
        <v>564</v>
      </c>
      <c r="M36" s="15" t="s">
        <v>571</v>
      </c>
      <c r="N36" s="15" t="s">
        <v>557</v>
      </c>
      <c r="O36" s="25">
        <f>O31*(1-O35)</f>
        <v>2231.4425804470793</v>
      </c>
    </row>
    <row r="37" spans="2:15">
      <c r="B37" s="21" t="s">
        <v>580</v>
      </c>
      <c r="C37" s="20" t="s">
        <v>571</v>
      </c>
      <c r="D37" s="20" t="s">
        <v>557</v>
      </c>
      <c r="E37" s="26">
        <f>J37+O37</f>
        <v>5904</v>
      </c>
      <c r="F37" s="3"/>
      <c r="G37" s="21" t="s">
        <v>580</v>
      </c>
      <c r="H37" s="20" t="s">
        <v>571</v>
      </c>
      <c r="I37" s="20" t="s">
        <v>557</v>
      </c>
      <c r="J37" s="26">
        <f>_xlfn.FLOOR.MATH(J36)</f>
        <v>3673</v>
      </c>
      <c r="L37" s="21" t="s">
        <v>580</v>
      </c>
      <c r="M37" s="20" t="s">
        <v>571</v>
      </c>
      <c r="N37" s="20" t="s">
        <v>557</v>
      </c>
      <c r="O37" s="26">
        <f>_xlfn.FLOOR.MATH(O36)</f>
        <v>2231</v>
      </c>
    </row>
    <row r="38" spans="2:15">
      <c r="C38" s="252"/>
      <c r="D38" s="252"/>
      <c r="F38" s="3"/>
      <c r="H38" s="252"/>
      <c r="I38" s="252"/>
      <c r="M38" s="252"/>
      <c r="N38" s="252"/>
    </row>
    <row r="39" spans="2:15">
      <c r="I39" s="27"/>
    </row>
    <row r="41" spans="2:15">
      <c r="E41" s="16"/>
      <c r="J41" s="16"/>
      <c r="O41" s="16"/>
    </row>
  </sheetData>
  <mergeCells count="21">
    <mergeCell ref="C38:D38"/>
    <mergeCell ref="H38:I38"/>
    <mergeCell ref="M38:N38"/>
    <mergeCell ref="B26:E26"/>
    <mergeCell ref="G26:J26"/>
    <mergeCell ref="L26:O26"/>
    <mergeCell ref="B33:E33"/>
    <mergeCell ref="G33:J33"/>
    <mergeCell ref="L33:O33"/>
    <mergeCell ref="B12:E12"/>
    <mergeCell ref="G12:J12"/>
    <mergeCell ref="L12:O12"/>
    <mergeCell ref="B20:E20"/>
    <mergeCell ref="G20:J20"/>
    <mergeCell ref="L20:O20"/>
    <mergeCell ref="B2:E2"/>
    <mergeCell ref="G2:J2"/>
    <mergeCell ref="L2:O2"/>
    <mergeCell ref="B4:E4"/>
    <mergeCell ref="G4:J4"/>
    <mergeCell ref="L4:O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DF26E-8092-483A-8DD3-43B6DACFBD92}">
  <dimension ref="A2:P41"/>
  <sheetViews>
    <sheetView topLeftCell="H1" workbookViewId="0">
      <selection activeCell="O6" sqref="O6"/>
    </sheetView>
  </sheetViews>
  <sheetFormatPr defaultRowHeight="14.25"/>
  <cols>
    <col min="2" max="2" width="60.7109375" bestFit="1" customWidth="1"/>
    <col min="3" max="3" width="18.28515625" bestFit="1" customWidth="1"/>
    <col min="4" max="4" width="12.42578125" bestFit="1" customWidth="1"/>
    <col min="5" max="5" width="12.7109375" customWidth="1"/>
    <col min="6" max="6" width="7.28515625" customWidth="1"/>
    <col min="7" max="7" width="60.7109375" bestFit="1" customWidth="1"/>
    <col min="8" max="8" width="18.28515625" bestFit="1" customWidth="1"/>
    <col min="9" max="9" width="12.42578125" bestFit="1" customWidth="1"/>
    <col min="10" max="10" width="12.5703125" customWidth="1"/>
    <col min="11" max="11" width="5" customWidth="1"/>
    <col min="12" max="12" width="60.7109375" bestFit="1" customWidth="1"/>
    <col min="13" max="13" width="18.28515625" bestFit="1" customWidth="1"/>
    <col min="14" max="14" width="12.42578125" bestFit="1" customWidth="1"/>
    <col min="15" max="15" width="12.28515625" customWidth="1"/>
  </cols>
  <sheetData>
    <row r="2" spans="1:16" ht="15" customHeight="1">
      <c r="B2" s="250" t="s">
        <v>573</v>
      </c>
      <c r="C2" s="250"/>
      <c r="D2" s="250"/>
      <c r="E2" s="250"/>
      <c r="G2" s="250" t="s">
        <v>574</v>
      </c>
      <c r="H2" s="250"/>
      <c r="I2" s="250"/>
      <c r="J2" s="250"/>
      <c r="L2" s="250" t="s">
        <v>575</v>
      </c>
      <c r="M2" s="250"/>
      <c r="N2" s="250"/>
      <c r="O2" s="250"/>
    </row>
    <row r="4" spans="1:16">
      <c r="A4" s="3"/>
      <c r="B4" s="248" t="s">
        <v>516</v>
      </c>
      <c r="C4" s="249"/>
      <c r="D4" s="249"/>
      <c r="E4" s="253"/>
      <c r="F4" s="3"/>
      <c r="G4" s="248" t="s">
        <v>516</v>
      </c>
      <c r="H4" s="249"/>
      <c r="I4" s="249"/>
      <c r="J4" s="253"/>
      <c r="K4" s="3"/>
      <c r="L4" s="248" t="s">
        <v>516</v>
      </c>
      <c r="M4" s="249"/>
      <c r="N4" s="249"/>
      <c r="O4" s="253"/>
      <c r="P4" s="3"/>
    </row>
    <row r="5" spans="1:16">
      <c r="B5" s="1" t="s">
        <v>517</v>
      </c>
      <c r="C5" s="1" t="s">
        <v>518</v>
      </c>
      <c r="D5" s="1" t="s">
        <v>519</v>
      </c>
      <c r="E5" s="37">
        <v>0.02</v>
      </c>
      <c r="F5" s="3"/>
      <c r="G5" s="1" t="s">
        <v>517</v>
      </c>
      <c r="H5" s="1" t="s">
        <v>518</v>
      </c>
      <c r="I5" s="1" t="s">
        <v>519</v>
      </c>
      <c r="J5" s="37">
        <v>0.02</v>
      </c>
      <c r="L5" s="1" t="s">
        <v>517</v>
      </c>
      <c r="M5" s="1" t="s">
        <v>518</v>
      </c>
      <c r="N5" s="1" t="s">
        <v>519</v>
      </c>
      <c r="O5" s="109">
        <f>J5</f>
        <v>0.02</v>
      </c>
    </row>
    <row r="6" spans="1:16">
      <c r="B6" s="1" t="s">
        <v>520</v>
      </c>
      <c r="C6" s="1" t="s">
        <v>521</v>
      </c>
      <c r="D6" s="1"/>
      <c r="E6" s="4">
        <f>'Total PTDs'!AM24</f>
        <v>1257900</v>
      </c>
      <c r="F6" s="3"/>
      <c r="G6" s="1" t="s">
        <v>520</v>
      </c>
      <c r="H6" s="1" t="s">
        <v>521</v>
      </c>
      <c r="I6" s="1"/>
      <c r="J6" s="4">
        <f>'Total PTDs'!AH24</f>
        <v>782700</v>
      </c>
      <c r="L6" s="1" t="s">
        <v>520</v>
      </c>
      <c r="M6" s="1" t="s">
        <v>521</v>
      </c>
      <c r="N6" s="1"/>
      <c r="O6" s="4">
        <f>'Total PTDs'!AL24</f>
        <v>475200</v>
      </c>
    </row>
    <row r="7" spans="1:16">
      <c r="B7" s="1" t="s">
        <v>522</v>
      </c>
      <c r="C7" s="1" t="s">
        <v>523</v>
      </c>
      <c r="D7" s="1" t="s">
        <v>524</v>
      </c>
      <c r="E7" s="12">
        <f>J7</f>
        <v>4.0000000000000002E-4</v>
      </c>
      <c r="F7" s="3"/>
      <c r="G7" s="1" t="s">
        <v>522</v>
      </c>
      <c r="H7" s="1" t="s">
        <v>523</v>
      </c>
      <c r="I7" s="1" t="s">
        <v>524</v>
      </c>
      <c r="J7" s="12">
        <v>4.0000000000000002E-4</v>
      </c>
      <c r="L7" s="1" t="s">
        <v>522</v>
      </c>
      <c r="M7" s="1" t="s">
        <v>523</v>
      </c>
      <c r="N7" s="1" t="s">
        <v>524</v>
      </c>
      <c r="O7" s="12">
        <f>J7</f>
        <v>4.0000000000000002E-4</v>
      </c>
    </row>
    <row r="8" spans="1:16" ht="28.5">
      <c r="B8" s="2" t="s">
        <v>577</v>
      </c>
      <c r="C8" s="1" t="s">
        <v>526</v>
      </c>
      <c r="D8" s="1" t="s">
        <v>527</v>
      </c>
      <c r="E8" s="1">
        <v>7.5</v>
      </c>
      <c r="F8" s="3"/>
      <c r="G8" s="2" t="s">
        <v>577</v>
      </c>
      <c r="H8" s="1" t="s">
        <v>526</v>
      </c>
      <c r="I8" s="1" t="s">
        <v>527</v>
      </c>
      <c r="J8" s="1">
        <v>7.5</v>
      </c>
      <c r="L8" s="2" t="s">
        <v>577</v>
      </c>
      <c r="M8" s="1" t="s">
        <v>526</v>
      </c>
      <c r="N8" s="1" t="s">
        <v>527</v>
      </c>
      <c r="O8" s="1">
        <v>7.5</v>
      </c>
    </row>
    <row r="9" spans="1:16">
      <c r="B9" s="2" t="s">
        <v>528</v>
      </c>
      <c r="C9" s="1" t="s">
        <v>529</v>
      </c>
      <c r="D9" s="1" t="s">
        <v>527</v>
      </c>
      <c r="E9" s="1">
        <v>0</v>
      </c>
      <c r="F9" s="3"/>
      <c r="G9" s="2" t="s">
        <v>528</v>
      </c>
      <c r="H9" s="1" t="s">
        <v>529</v>
      </c>
      <c r="I9" s="1" t="s">
        <v>527</v>
      </c>
      <c r="J9" s="1">
        <v>0</v>
      </c>
      <c r="L9" s="2" t="s">
        <v>528</v>
      </c>
      <c r="M9" s="1" t="s">
        <v>529</v>
      </c>
      <c r="N9" s="1" t="s">
        <v>527</v>
      </c>
      <c r="O9" s="1">
        <v>0</v>
      </c>
    </row>
    <row r="10" spans="1:16">
      <c r="B10" s="1" t="s">
        <v>530</v>
      </c>
      <c r="C10" s="1" t="s">
        <v>531</v>
      </c>
      <c r="D10" s="1" t="s">
        <v>532</v>
      </c>
      <c r="E10" s="4">
        <f>(1-E5)*E6*E7*(E8+E9)</f>
        <v>3698.2260000000001</v>
      </c>
      <c r="F10" s="3"/>
      <c r="G10" s="1" t="s">
        <v>530</v>
      </c>
      <c r="H10" s="1" t="s">
        <v>531</v>
      </c>
      <c r="I10" s="1" t="s">
        <v>532</v>
      </c>
      <c r="J10" s="7">
        <f>(1-J5)*J6*J7*(J8+J9)</f>
        <v>2301.1379999999999</v>
      </c>
      <c r="L10" s="1" t="s">
        <v>530</v>
      </c>
      <c r="M10" s="1" t="s">
        <v>531</v>
      </c>
      <c r="N10" s="1" t="s">
        <v>532</v>
      </c>
      <c r="O10" s="7">
        <f>(1-O5)*O6*O7*(O8+O9)</f>
        <v>1397.088</v>
      </c>
    </row>
    <row r="11" spans="1:16">
      <c r="F11" s="3"/>
    </row>
    <row r="12" spans="1:16">
      <c r="B12" s="248" t="s">
        <v>533</v>
      </c>
      <c r="C12" s="249"/>
      <c r="D12" s="249"/>
      <c r="E12" s="253"/>
      <c r="F12" s="3"/>
      <c r="G12" s="248" t="s">
        <v>533</v>
      </c>
      <c r="H12" s="249"/>
      <c r="I12" s="249"/>
      <c r="J12" s="253"/>
      <c r="L12" s="248" t="s">
        <v>533</v>
      </c>
      <c r="M12" s="249"/>
      <c r="N12" s="249"/>
      <c r="O12" s="253"/>
    </row>
    <row r="13" spans="1:16">
      <c r="B13" s="1" t="s">
        <v>534</v>
      </c>
      <c r="C13" s="1" t="s">
        <v>518</v>
      </c>
      <c r="D13" s="1" t="s">
        <v>519</v>
      </c>
      <c r="E13" s="37">
        <v>0.02</v>
      </c>
      <c r="F13" s="3"/>
      <c r="G13" s="1" t="s">
        <v>534</v>
      </c>
      <c r="H13" s="1" t="s">
        <v>518</v>
      </c>
      <c r="I13" s="1" t="s">
        <v>519</v>
      </c>
      <c r="J13" s="109">
        <f>J5</f>
        <v>0.02</v>
      </c>
      <c r="L13" s="1" t="s">
        <v>534</v>
      </c>
      <c r="M13" s="1" t="s">
        <v>518</v>
      </c>
      <c r="N13" s="1" t="s">
        <v>519</v>
      </c>
      <c r="O13" s="109">
        <f>O5</f>
        <v>0.02</v>
      </c>
    </row>
    <row r="14" spans="1:16">
      <c r="B14" s="1" t="s">
        <v>520</v>
      </c>
      <c r="C14" s="1" t="s">
        <v>521</v>
      </c>
      <c r="D14" s="1"/>
      <c r="E14" s="4">
        <f>E6</f>
        <v>1257900</v>
      </c>
      <c r="F14" s="3"/>
      <c r="G14" s="1" t="s">
        <v>520</v>
      </c>
      <c r="H14" s="1" t="s">
        <v>521</v>
      </c>
      <c r="I14" s="1"/>
      <c r="J14" s="4">
        <f>J6</f>
        <v>782700</v>
      </c>
      <c r="L14" s="1" t="s">
        <v>520</v>
      </c>
      <c r="M14" s="1" t="s">
        <v>521</v>
      </c>
      <c r="N14" s="1"/>
      <c r="O14" s="4">
        <f>O6</f>
        <v>475200</v>
      </c>
    </row>
    <row r="15" spans="1:16">
      <c r="B15" s="1" t="s">
        <v>535</v>
      </c>
      <c r="C15" s="1" t="s">
        <v>536</v>
      </c>
      <c r="D15" s="1" t="s">
        <v>524</v>
      </c>
      <c r="E15" s="12">
        <f>E7</f>
        <v>4.0000000000000002E-4</v>
      </c>
      <c r="F15" s="3"/>
      <c r="G15" s="1" t="s">
        <v>535</v>
      </c>
      <c r="H15" s="1" t="s">
        <v>536</v>
      </c>
      <c r="I15" s="1" t="s">
        <v>524</v>
      </c>
      <c r="J15" s="12">
        <f>J7</f>
        <v>4.0000000000000002E-4</v>
      </c>
      <c r="L15" s="1" t="s">
        <v>535</v>
      </c>
      <c r="M15" s="1" t="s">
        <v>536</v>
      </c>
      <c r="N15" s="1" t="s">
        <v>524</v>
      </c>
      <c r="O15" s="12">
        <f>O7</f>
        <v>4.0000000000000002E-4</v>
      </c>
    </row>
    <row r="16" spans="1:16">
      <c r="B16" s="1" t="s">
        <v>537</v>
      </c>
      <c r="C16" s="1" t="s">
        <v>529</v>
      </c>
      <c r="D16" s="1" t="s">
        <v>527</v>
      </c>
      <c r="E16" s="1">
        <v>0</v>
      </c>
      <c r="F16" s="3"/>
      <c r="G16" s="1" t="s">
        <v>537</v>
      </c>
      <c r="H16" s="1" t="s">
        <v>529</v>
      </c>
      <c r="I16" s="1" t="s">
        <v>527</v>
      </c>
      <c r="J16" s="1">
        <v>0</v>
      </c>
      <c r="L16" s="1" t="s">
        <v>537</v>
      </c>
      <c r="M16" s="1" t="s">
        <v>529</v>
      </c>
      <c r="N16" s="1" t="s">
        <v>527</v>
      </c>
      <c r="O16" s="1">
        <v>0</v>
      </c>
    </row>
    <row r="17" spans="2:15">
      <c r="B17" s="1" t="s">
        <v>538</v>
      </c>
      <c r="C17" s="1" t="s">
        <v>539</v>
      </c>
      <c r="D17" s="1" t="s">
        <v>527</v>
      </c>
      <c r="E17" s="22">
        <v>0</v>
      </c>
      <c r="F17" s="3"/>
      <c r="G17" s="1" t="s">
        <v>538</v>
      </c>
      <c r="H17" s="1" t="s">
        <v>539</v>
      </c>
      <c r="I17" s="1" t="s">
        <v>527</v>
      </c>
      <c r="J17" s="22">
        <v>0</v>
      </c>
      <c r="L17" s="1" t="s">
        <v>538</v>
      </c>
      <c r="M17" s="1" t="s">
        <v>539</v>
      </c>
      <c r="N17" s="1" t="s">
        <v>527</v>
      </c>
      <c r="O17" s="22">
        <v>0</v>
      </c>
    </row>
    <row r="18" spans="2:15">
      <c r="B18" s="1" t="s">
        <v>540</v>
      </c>
      <c r="C18" s="1" t="s">
        <v>541</v>
      </c>
      <c r="D18" s="1" t="s">
        <v>532</v>
      </c>
      <c r="E18" s="7">
        <f>(1-E13)*E14*E15*(E16+E17)</f>
        <v>0</v>
      </c>
      <c r="F18" s="3"/>
      <c r="G18" s="1" t="s">
        <v>540</v>
      </c>
      <c r="H18" s="1" t="s">
        <v>541</v>
      </c>
      <c r="I18" s="1" t="s">
        <v>532</v>
      </c>
      <c r="J18" s="7">
        <f>(1-J13)*J14*J15*(J16+J17)</f>
        <v>0</v>
      </c>
      <c r="L18" s="1" t="s">
        <v>540</v>
      </c>
      <c r="M18" s="1" t="s">
        <v>541</v>
      </c>
      <c r="N18" s="1" t="s">
        <v>532</v>
      </c>
      <c r="O18" s="7">
        <f>(1-O13)*O14*O15*(O16+O17)</f>
        <v>0</v>
      </c>
    </row>
    <row r="19" spans="2:15">
      <c r="F19" s="3"/>
    </row>
    <row r="20" spans="2:15">
      <c r="B20" s="248" t="s">
        <v>542</v>
      </c>
      <c r="C20" s="249"/>
      <c r="D20" s="249"/>
      <c r="E20" s="253"/>
      <c r="F20" s="3"/>
      <c r="G20" s="248" t="s">
        <v>542</v>
      </c>
      <c r="H20" s="249"/>
      <c r="I20" s="249"/>
      <c r="J20" s="253"/>
      <c r="L20" s="248" t="s">
        <v>542</v>
      </c>
      <c r="M20" s="249"/>
      <c r="N20" s="249"/>
      <c r="O20" s="253"/>
    </row>
    <row r="21" spans="2:15">
      <c r="B21" s="2" t="s">
        <v>543</v>
      </c>
      <c r="C21" s="1" t="s">
        <v>543</v>
      </c>
      <c r="D21" s="1" t="s">
        <v>544</v>
      </c>
      <c r="E21" s="8">
        <v>0.95</v>
      </c>
      <c r="F21" s="3"/>
      <c r="G21" s="2" t="s">
        <v>543</v>
      </c>
      <c r="H21" s="1" t="s">
        <v>543</v>
      </c>
      <c r="I21" s="1" t="s">
        <v>544</v>
      </c>
      <c r="J21" s="8">
        <v>0.95</v>
      </c>
      <c r="L21" s="2" t="s">
        <v>543</v>
      </c>
      <c r="M21" s="1" t="s">
        <v>543</v>
      </c>
      <c r="N21" s="1" t="s">
        <v>544</v>
      </c>
      <c r="O21" s="8">
        <v>0.95</v>
      </c>
    </row>
    <row r="22" spans="2:15">
      <c r="B22" s="1" t="s">
        <v>545</v>
      </c>
      <c r="C22" s="1" t="s">
        <v>546</v>
      </c>
      <c r="D22" s="1" t="s">
        <v>547</v>
      </c>
      <c r="E22" s="1">
        <v>112</v>
      </c>
      <c r="F22" s="3"/>
      <c r="G22" s="1" t="s">
        <v>545</v>
      </c>
      <c r="H22" s="1" t="s">
        <v>546</v>
      </c>
      <c r="I22" s="1" t="s">
        <v>547</v>
      </c>
      <c r="J22" s="1">
        <v>112</v>
      </c>
      <c r="L22" s="1" t="s">
        <v>545</v>
      </c>
      <c r="M22" s="1" t="s">
        <v>546</v>
      </c>
      <c r="N22" s="1" t="s">
        <v>547</v>
      </c>
      <c r="O22" s="1">
        <v>112</v>
      </c>
    </row>
    <row r="23" spans="2:15">
      <c r="B23" s="1" t="s">
        <v>578</v>
      </c>
      <c r="C23" s="1" t="s">
        <v>549</v>
      </c>
      <c r="D23" s="1" t="s">
        <v>550</v>
      </c>
      <c r="E23" s="161">
        <f>(J6*J23+O6*O23)/E6</f>
        <v>9.4600000000000009</v>
      </c>
      <c r="F23" s="3"/>
      <c r="G23" s="1" t="s">
        <v>548</v>
      </c>
      <c r="H23" s="1" t="s">
        <v>549</v>
      </c>
      <c r="I23" s="1" t="s">
        <v>550</v>
      </c>
      <c r="J23" s="1">
        <v>9.4600000000000009</v>
      </c>
      <c r="L23" s="1" t="s">
        <v>548</v>
      </c>
      <c r="M23" s="1" t="s">
        <v>549</v>
      </c>
      <c r="N23" s="1" t="s">
        <v>550</v>
      </c>
      <c r="O23" s="1">
        <f>9.46</f>
        <v>9.4600000000000009</v>
      </c>
    </row>
    <row r="24" spans="2:15">
      <c r="B24" s="1" t="s">
        <v>551</v>
      </c>
      <c r="C24" s="1" t="s">
        <v>552</v>
      </c>
      <c r="D24" s="1" t="s">
        <v>553</v>
      </c>
      <c r="E24" s="1">
        <f>0.0156</f>
        <v>1.5599999999999999E-2</v>
      </c>
      <c r="F24" s="3"/>
      <c r="G24" s="1" t="s">
        <v>551</v>
      </c>
      <c r="H24" s="1" t="s">
        <v>552</v>
      </c>
      <c r="I24" s="1" t="s">
        <v>553</v>
      </c>
      <c r="J24" s="1">
        <v>1.5599999999999999E-2</v>
      </c>
      <c r="L24" s="1" t="s">
        <v>551</v>
      </c>
      <c r="M24" s="1" t="s">
        <v>552</v>
      </c>
      <c r="N24" s="1" t="s">
        <v>553</v>
      </c>
      <c r="O24" s="1">
        <v>1.5599999999999999E-2</v>
      </c>
    </row>
    <row r="25" spans="2:15">
      <c r="F25" s="3"/>
    </row>
    <row r="26" spans="2:15">
      <c r="B26" s="248" t="s">
        <v>554</v>
      </c>
      <c r="C26" s="249"/>
      <c r="D26" s="249"/>
      <c r="E26" s="253"/>
      <c r="F26" s="3"/>
      <c r="G26" s="248" t="s">
        <v>554</v>
      </c>
      <c r="H26" s="249"/>
      <c r="I26" s="249"/>
      <c r="J26" s="253"/>
      <c r="L26" s="248" t="s">
        <v>554</v>
      </c>
      <c r="M26" s="249"/>
      <c r="N26" s="249"/>
      <c r="O26" s="253"/>
    </row>
    <row r="27" spans="2:15">
      <c r="B27" s="1" t="s">
        <v>555</v>
      </c>
      <c r="C27" s="1" t="s">
        <v>556</v>
      </c>
      <c r="D27" s="1" t="s">
        <v>557</v>
      </c>
      <c r="E27" s="4">
        <f>E10*((E22*E21)+E23)*E24</f>
        <v>6684.232844015999</v>
      </c>
      <c r="F27" s="3"/>
      <c r="G27" s="1" t="s">
        <v>555</v>
      </c>
      <c r="H27" s="1" t="s">
        <v>556</v>
      </c>
      <c r="I27" s="1" t="s">
        <v>557</v>
      </c>
      <c r="J27" s="4">
        <f>J10*((J22*J21)+J23)*J24</f>
        <v>4159.1136394079986</v>
      </c>
      <c r="L27" s="1" t="s">
        <v>555</v>
      </c>
      <c r="M27" s="1" t="s">
        <v>556</v>
      </c>
      <c r="N27" s="1" t="s">
        <v>557</v>
      </c>
      <c r="O27" s="4">
        <f>O10*((O22*O21)+O23)*O24</f>
        <v>2525.1192046079996</v>
      </c>
    </row>
    <row r="28" spans="2:15">
      <c r="B28" s="1" t="s">
        <v>558</v>
      </c>
      <c r="C28" s="1" t="s">
        <v>559</v>
      </c>
      <c r="D28" s="1" t="s">
        <v>557</v>
      </c>
      <c r="E28" s="4">
        <f>E18*((E22*E21)+E23)*E24</f>
        <v>0</v>
      </c>
      <c r="F28" s="3"/>
      <c r="G28" s="1" t="s">
        <v>558</v>
      </c>
      <c r="H28" s="1" t="s">
        <v>559</v>
      </c>
      <c r="I28" s="1" t="s">
        <v>557</v>
      </c>
      <c r="J28" s="4">
        <f>J18*((J22*J21)+J23)*J24</f>
        <v>0</v>
      </c>
      <c r="L28" s="1" t="s">
        <v>558</v>
      </c>
      <c r="M28" s="1" t="s">
        <v>559</v>
      </c>
      <c r="N28" s="1" t="s">
        <v>557</v>
      </c>
      <c r="O28" s="4">
        <f>O18*((O22*O21)+O23)*O24</f>
        <v>0</v>
      </c>
    </row>
    <row r="29" spans="2:15">
      <c r="B29" s="1" t="s">
        <v>579</v>
      </c>
      <c r="C29" s="1" t="s">
        <v>561</v>
      </c>
      <c r="D29" s="1" t="s">
        <v>519</v>
      </c>
      <c r="E29" s="1">
        <v>0.95</v>
      </c>
      <c r="F29" s="3"/>
      <c r="G29" s="1" t="s">
        <v>579</v>
      </c>
      <c r="H29" s="1" t="s">
        <v>561</v>
      </c>
      <c r="I29" s="1" t="s">
        <v>519</v>
      </c>
      <c r="J29" s="1">
        <v>0.95</v>
      </c>
      <c r="L29" s="1" t="s">
        <v>579</v>
      </c>
      <c r="M29" s="1" t="s">
        <v>561</v>
      </c>
      <c r="N29" s="1" t="s">
        <v>519</v>
      </c>
      <c r="O29" s="1">
        <v>0.95</v>
      </c>
    </row>
    <row r="30" spans="2:15">
      <c r="B30" s="1" t="s">
        <v>562</v>
      </c>
      <c r="C30" s="1" t="s">
        <v>563</v>
      </c>
      <c r="D30" s="1" t="s">
        <v>557</v>
      </c>
      <c r="E30" s="1">
        <v>0</v>
      </c>
      <c r="F30" s="3"/>
      <c r="G30" s="1" t="s">
        <v>562</v>
      </c>
      <c r="H30" s="1" t="s">
        <v>563</v>
      </c>
      <c r="I30" s="1" t="s">
        <v>557</v>
      </c>
      <c r="J30" s="1">
        <v>0</v>
      </c>
      <c r="L30" s="1" t="s">
        <v>562</v>
      </c>
      <c r="M30" s="1" t="s">
        <v>563</v>
      </c>
      <c r="N30" s="1" t="s">
        <v>557</v>
      </c>
      <c r="O30" s="1">
        <v>0</v>
      </c>
    </row>
    <row r="31" spans="2:15">
      <c r="B31" s="1" t="s">
        <v>564</v>
      </c>
      <c r="C31" s="1" t="s">
        <v>565</v>
      </c>
      <c r="D31" s="1" t="s">
        <v>557</v>
      </c>
      <c r="E31" s="4">
        <f>((E27-E28)*E29)-E30</f>
        <v>6350.0212018151988</v>
      </c>
      <c r="F31" s="3"/>
      <c r="G31" s="1" t="s">
        <v>564</v>
      </c>
      <c r="H31" s="1" t="s">
        <v>565</v>
      </c>
      <c r="I31" s="1" t="s">
        <v>557</v>
      </c>
      <c r="J31" s="7">
        <f>((J27-J28)*J29)-J30</f>
        <v>3951.1579574375983</v>
      </c>
      <c r="L31" s="1" t="s">
        <v>564</v>
      </c>
      <c r="M31" s="1" t="s">
        <v>565</v>
      </c>
      <c r="N31" s="1" t="s">
        <v>557</v>
      </c>
      <c r="O31" s="7">
        <f>((O27-O28)*O29)-O30</f>
        <v>2398.8632443775996</v>
      </c>
    </row>
    <row r="32" spans="2:15">
      <c r="D32" s="5"/>
      <c r="F32" s="3"/>
      <c r="I32" s="5"/>
      <c r="N32" s="5"/>
    </row>
    <row r="33" spans="2:15">
      <c r="B33" s="251" t="s">
        <v>566</v>
      </c>
      <c r="C33" s="251"/>
      <c r="D33" s="251"/>
      <c r="E33" s="251"/>
      <c r="F33" s="3"/>
      <c r="G33" s="251" t="s">
        <v>566</v>
      </c>
      <c r="H33" s="251"/>
      <c r="I33" s="251"/>
      <c r="J33" s="251"/>
      <c r="L33" s="251" t="s">
        <v>566</v>
      </c>
      <c r="M33" s="251"/>
      <c r="N33" s="251"/>
      <c r="O33" s="251"/>
    </row>
    <row r="34" spans="2:15">
      <c r="B34" s="13" t="s">
        <v>567</v>
      </c>
      <c r="C34" s="1"/>
      <c r="D34" s="14"/>
      <c r="E34" s="23">
        <f>1-E35</f>
        <v>0.95</v>
      </c>
      <c r="F34" s="3"/>
      <c r="G34" s="13" t="s">
        <v>567</v>
      </c>
      <c r="H34" s="1"/>
      <c r="I34" s="14"/>
      <c r="J34" s="23">
        <f>1-J35</f>
        <v>0.95</v>
      </c>
      <c r="L34" s="13" t="s">
        <v>567</v>
      </c>
      <c r="M34" s="1"/>
      <c r="N34" s="14"/>
      <c r="O34" s="23">
        <f>1-O35</f>
        <v>0.95</v>
      </c>
    </row>
    <row r="35" spans="2:15">
      <c r="B35" s="13" t="s">
        <v>568</v>
      </c>
      <c r="C35" s="1" t="s">
        <v>569</v>
      </c>
      <c r="D35" s="14" t="s">
        <v>37</v>
      </c>
      <c r="E35" s="23">
        <v>0.05</v>
      </c>
      <c r="F35" s="3"/>
      <c r="G35" s="13" t="s">
        <v>568</v>
      </c>
      <c r="H35" s="1" t="s">
        <v>569</v>
      </c>
      <c r="I35" s="14" t="s">
        <v>37</v>
      </c>
      <c r="J35" s="23">
        <v>0.05</v>
      </c>
      <c r="L35" s="13" t="s">
        <v>568</v>
      </c>
      <c r="M35" s="1" t="s">
        <v>569</v>
      </c>
      <c r="N35" s="14" t="s">
        <v>37</v>
      </c>
      <c r="O35" s="23">
        <v>0.05</v>
      </c>
    </row>
    <row r="36" spans="2:15">
      <c r="B36" s="15" t="s">
        <v>564</v>
      </c>
      <c r="C36" s="15" t="s">
        <v>571</v>
      </c>
      <c r="D36" s="15" t="s">
        <v>557</v>
      </c>
      <c r="E36" s="25">
        <f>E31*(1-E35)</f>
        <v>6032.5201417244389</v>
      </c>
      <c r="F36" s="3"/>
      <c r="G36" s="15" t="s">
        <v>564</v>
      </c>
      <c r="H36" s="15" t="s">
        <v>571</v>
      </c>
      <c r="I36" s="15" t="s">
        <v>557</v>
      </c>
      <c r="J36" s="25">
        <f>J31*(1-J35)</f>
        <v>3753.6000595657183</v>
      </c>
      <c r="L36" s="15" t="s">
        <v>564</v>
      </c>
      <c r="M36" s="15" t="s">
        <v>571</v>
      </c>
      <c r="N36" s="15" t="s">
        <v>557</v>
      </c>
      <c r="O36" s="25">
        <f>O31*(1-O35)</f>
        <v>2278.9200821587197</v>
      </c>
    </row>
    <row r="37" spans="2:15">
      <c r="B37" s="21" t="s">
        <v>580</v>
      </c>
      <c r="C37" s="20" t="s">
        <v>571</v>
      </c>
      <c r="D37" s="20" t="s">
        <v>557</v>
      </c>
      <c r="E37" s="26">
        <f>J37+O37</f>
        <v>6031</v>
      </c>
      <c r="F37" s="3"/>
      <c r="G37" s="21" t="s">
        <v>580</v>
      </c>
      <c r="H37" s="20" t="s">
        <v>571</v>
      </c>
      <c r="I37" s="20" t="s">
        <v>557</v>
      </c>
      <c r="J37" s="26">
        <f>_xlfn.FLOOR.MATH(J36)</f>
        <v>3753</v>
      </c>
      <c r="L37" s="21" t="s">
        <v>580</v>
      </c>
      <c r="M37" s="20" t="s">
        <v>571</v>
      </c>
      <c r="N37" s="20" t="s">
        <v>557</v>
      </c>
      <c r="O37" s="26">
        <f>_xlfn.FLOOR.MATH(O36)</f>
        <v>2278</v>
      </c>
    </row>
    <row r="38" spans="2:15">
      <c r="C38" s="252"/>
      <c r="D38" s="252"/>
      <c r="F38" s="3"/>
      <c r="H38" s="252"/>
      <c r="I38" s="252"/>
      <c r="M38" s="252"/>
      <c r="N38" s="252"/>
    </row>
    <row r="39" spans="2:15">
      <c r="I39" s="27"/>
    </row>
    <row r="41" spans="2:15">
      <c r="E41" s="16"/>
      <c r="J41" s="16"/>
      <c r="O41" s="16"/>
    </row>
  </sheetData>
  <mergeCells count="21">
    <mergeCell ref="C38:D38"/>
    <mergeCell ref="H38:I38"/>
    <mergeCell ref="M38:N38"/>
    <mergeCell ref="B26:E26"/>
    <mergeCell ref="G26:J26"/>
    <mergeCell ref="L26:O26"/>
    <mergeCell ref="B33:E33"/>
    <mergeCell ref="G33:J33"/>
    <mergeCell ref="L33:O33"/>
    <mergeCell ref="B12:E12"/>
    <mergeCell ref="G12:J12"/>
    <mergeCell ref="L12:O12"/>
    <mergeCell ref="B20:E20"/>
    <mergeCell ref="G20:J20"/>
    <mergeCell ref="L20:O20"/>
    <mergeCell ref="B2:E2"/>
    <mergeCell ref="G2:J2"/>
    <mergeCell ref="L2:O2"/>
    <mergeCell ref="B4:E4"/>
    <mergeCell ref="G4:J4"/>
    <mergeCell ref="L4:O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45259-9515-4663-A66A-2EC443E01643}">
  <dimension ref="A2:P41"/>
  <sheetViews>
    <sheetView topLeftCell="A11" workbookViewId="0">
      <selection activeCell="B34" sqref="B34"/>
    </sheetView>
  </sheetViews>
  <sheetFormatPr defaultRowHeight="14.25"/>
  <cols>
    <col min="2" max="2" width="60.7109375" bestFit="1" customWidth="1"/>
    <col min="3" max="3" width="18.28515625" bestFit="1" customWidth="1"/>
    <col min="4" max="4" width="12.42578125" bestFit="1" customWidth="1"/>
    <col min="5" max="5" width="12.7109375" customWidth="1"/>
    <col min="6" max="6" width="7.28515625" customWidth="1"/>
    <col min="7" max="7" width="60.7109375" bestFit="1" customWidth="1"/>
    <col min="8" max="8" width="18.28515625" bestFit="1" customWidth="1"/>
    <col min="9" max="9" width="12.42578125" bestFit="1" customWidth="1"/>
    <col min="10" max="10" width="12.5703125" customWidth="1"/>
    <col min="11" max="11" width="5" customWidth="1"/>
    <col min="12" max="12" width="60.7109375" bestFit="1" customWidth="1"/>
    <col min="13" max="13" width="18.28515625" bestFit="1" customWidth="1"/>
    <col min="14" max="14" width="12.42578125" bestFit="1" customWidth="1"/>
    <col min="15" max="15" width="12.28515625" customWidth="1"/>
  </cols>
  <sheetData>
    <row r="2" spans="1:16" ht="15" customHeight="1">
      <c r="B2" s="250" t="s">
        <v>573</v>
      </c>
      <c r="C2" s="250"/>
      <c r="D2" s="250"/>
      <c r="E2" s="250"/>
      <c r="G2" s="250" t="s">
        <v>574</v>
      </c>
      <c r="H2" s="250"/>
      <c r="I2" s="250"/>
      <c r="J2" s="250"/>
      <c r="L2" s="250" t="s">
        <v>575</v>
      </c>
      <c r="M2" s="250"/>
      <c r="N2" s="250"/>
      <c r="O2" s="250"/>
    </row>
    <row r="4" spans="1:16">
      <c r="A4" s="3"/>
      <c r="B4" s="248" t="s">
        <v>516</v>
      </c>
      <c r="C4" s="249"/>
      <c r="D4" s="249"/>
      <c r="E4" s="253"/>
      <c r="F4" s="3"/>
      <c r="G4" s="248" t="s">
        <v>516</v>
      </c>
      <c r="H4" s="249"/>
      <c r="I4" s="249"/>
      <c r="J4" s="253"/>
      <c r="K4" s="3"/>
      <c r="L4" s="248" t="s">
        <v>516</v>
      </c>
      <c r="M4" s="249"/>
      <c r="N4" s="249"/>
      <c r="O4" s="253"/>
      <c r="P4" s="3"/>
    </row>
    <row r="5" spans="1:16">
      <c r="B5" s="1" t="s">
        <v>517</v>
      </c>
      <c r="C5" s="1" t="s">
        <v>518</v>
      </c>
      <c r="D5" s="1" t="s">
        <v>519</v>
      </c>
      <c r="E5" s="37">
        <v>0.02</v>
      </c>
      <c r="F5" s="3"/>
      <c r="G5" s="1" t="s">
        <v>517</v>
      </c>
      <c r="H5" s="1" t="s">
        <v>518</v>
      </c>
      <c r="I5" s="1" t="s">
        <v>519</v>
      </c>
      <c r="J5" s="37">
        <v>0.02</v>
      </c>
      <c r="L5" s="1" t="s">
        <v>517</v>
      </c>
      <c r="M5" s="1" t="s">
        <v>518</v>
      </c>
      <c r="N5" s="1" t="s">
        <v>519</v>
      </c>
      <c r="O5" s="109">
        <f>J5</f>
        <v>0.02</v>
      </c>
    </row>
    <row r="6" spans="1:16">
      <c r="B6" s="1" t="s">
        <v>520</v>
      </c>
      <c r="C6" s="1" t="s">
        <v>521</v>
      </c>
      <c r="D6" s="1"/>
      <c r="E6" s="4">
        <f>'Total PTDs'!AM25</f>
        <v>1422600</v>
      </c>
      <c r="F6" s="3"/>
      <c r="G6" s="1" t="s">
        <v>520</v>
      </c>
      <c r="H6" s="1" t="s">
        <v>521</v>
      </c>
      <c r="I6" s="1"/>
      <c r="J6" s="4">
        <f>'Total PTDs'!AH25</f>
        <v>885000</v>
      </c>
      <c r="L6" s="1" t="s">
        <v>520</v>
      </c>
      <c r="M6" s="1" t="s">
        <v>521</v>
      </c>
      <c r="N6" s="1"/>
      <c r="O6" s="4">
        <f>'Total PTDs'!AL25</f>
        <v>537600</v>
      </c>
    </row>
    <row r="7" spans="1:16">
      <c r="B7" s="1" t="s">
        <v>522</v>
      </c>
      <c r="C7" s="1" t="s">
        <v>523</v>
      </c>
      <c r="D7" s="1" t="s">
        <v>524</v>
      </c>
      <c r="E7" s="12">
        <f>J7</f>
        <v>4.0000000000000002E-4</v>
      </c>
      <c r="F7" s="3"/>
      <c r="G7" s="1" t="s">
        <v>522</v>
      </c>
      <c r="H7" s="1" t="s">
        <v>523</v>
      </c>
      <c r="I7" s="1" t="s">
        <v>524</v>
      </c>
      <c r="J7" s="12">
        <v>4.0000000000000002E-4</v>
      </c>
      <c r="L7" s="1" t="s">
        <v>522</v>
      </c>
      <c r="M7" s="1" t="s">
        <v>523</v>
      </c>
      <c r="N7" s="1" t="s">
        <v>524</v>
      </c>
      <c r="O7" s="12">
        <f>J7</f>
        <v>4.0000000000000002E-4</v>
      </c>
    </row>
    <row r="8" spans="1:16" ht="28.5">
      <c r="B8" s="2" t="s">
        <v>577</v>
      </c>
      <c r="C8" s="1" t="s">
        <v>526</v>
      </c>
      <c r="D8" s="1" t="s">
        <v>527</v>
      </c>
      <c r="E8" s="1">
        <v>7.5</v>
      </c>
      <c r="F8" s="3"/>
      <c r="G8" s="2" t="s">
        <v>577</v>
      </c>
      <c r="H8" s="1" t="s">
        <v>526</v>
      </c>
      <c r="I8" s="1" t="s">
        <v>527</v>
      </c>
      <c r="J8" s="1">
        <v>7.5</v>
      </c>
      <c r="L8" s="2" t="s">
        <v>577</v>
      </c>
      <c r="M8" s="1" t="s">
        <v>526</v>
      </c>
      <c r="N8" s="1" t="s">
        <v>527</v>
      </c>
      <c r="O8" s="1">
        <v>7.5</v>
      </c>
    </row>
    <row r="9" spans="1:16">
      <c r="B9" s="2" t="s">
        <v>528</v>
      </c>
      <c r="C9" s="1" t="s">
        <v>529</v>
      </c>
      <c r="D9" s="1" t="s">
        <v>527</v>
      </c>
      <c r="E9" s="1">
        <v>0</v>
      </c>
      <c r="F9" s="3"/>
      <c r="G9" s="2" t="s">
        <v>528</v>
      </c>
      <c r="H9" s="1" t="s">
        <v>529</v>
      </c>
      <c r="I9" s="1" t="s">
        <v>527</v>
      </c>
      <c r="J9" s="1">
        <v>0</v>
      </c>
      <c r="L9" s="2" t="s">
        <v>528</v>
      </c>
      <c r="M9" s="1" t="s">
        <v>529</v>
      </c>
      <c r="N9" s="1" t="s">
        <v>527</v>
      </c>
      <c r="O9" s="1">
        <v>0</v>
      </c>
    </row>
    <row r="10" spans="1:16">
      <c r="B10" s="1" t="s">
        <v>530</v>
      </c>
      <c r="C10" s="1" t="s">
        <v>531</v>
      </c>
      <c r="D10" s="1" t="s">
        <v>532</v>
      </c>
      <c r="E10" s="4">
        <f>(1-E5)*E6*E7*(E8+E9)</f>
        <v>4182.4440000000004</v>
      </c>
      <c r="F10" s="3"/>
      <c r="G10" s="1" t="s">
        <v>530</v>
      </c>
      <c r="H10" s="1" t="s">
        <v>531</v>
      </c>
      <c r="I10" s="1" t="s">
        <v>532</v>
      </c>
      <c r="J10" s="7">
        <f>(1-J5)*J6*J7*(J8+J9)</f>
        <v>2601.9</v>
      </c>
      <c r="L10" s="1" t="s">
        <v>530</v>
      </c>
      <c r="M10" s="1" t="s">
        <v>531</v>
      </c>
      <c r="N10" s="1" t="s">
        <v>532</v>
      </c>
      <c r="O10" s="7">
        <f>(1-O5)*O6*O7*(O8+O9)</f>
        <v>1580.5440000000001</v>
      </c>
    </row>
    <row r="11" spans="1:16">
      <c r="F11" s="3"/>
    </row>
    <row r="12" spans="1:16">
      <c r="B12" s="248" t="s">
        <v>533</v>
      </c>
      <c r="C12" s="249"/>
      <c r="D12" s="249"/>
      <c r="E12" s="253"/>
      <c r="F12" s="3"/>
      <c r="G12" s="248" t="s">
        <v>533</v>
      </c>
      <c r="H12" s="249"/>
      <c r="I12" s="249"/>
      <c r="J12" s="253"/>
      <c r="L12" s="248" t="s">
        <v>533</v>
      </c>
      <c r="M12" s="249"/>
      <c r="N12" s="249"/>
      <c r="O12" s="253"/>
    </row>
    <row r="13" spans="1:16">
      <c r="B13" s="1" t="s">
        <v>534</v>
      </c>
      <c r="C13" s="1" t="s">
        <v>518</v>
      </c>
      <c r="D13" s="1" t="s">
        <v>519</v>
      </c>
      <c r="E13" s="37">
        <v>0.02</v>
      </c>
      <c r="F13" s="3"/>
      <c r="G13" s="1" t="s">
        <v>534</v>
      </c>
      <c r="H13" s="1" t="s">
        <v>518</v>
      </c>
      <c r="I13" s="1" t="s">
        <v>519</v>
      </c>
      <c r="J13" s="109">
        <f>J5</f>
        <v>0.02</v>
      </c>
      <c r="L13" s="1" t="s">
        <v>534</v>
      </c>
      <c r="M13" s="1" t="s">
        <v>518</v>
      </c>
      <c r="N13" s="1" t="s">
        <v>519</v>
      </c>
      <c r="O13" s="109">
        <f>O5</f>
        <v>0.02</v>
      </c>
    </row>
    <row r="14" spans="1:16">
      <c r="B14" s="1" t="s">
        <v>520</v>
      </c>
      <c r="C14" s="1" t="s">
        <v>521</v>
      </c>
      <c r="D14" s="1"/>
      <c r="E14" s="4">
        <f>E6</f>
        <v>1422600</v>
      </c>
      <c r="F14" s="3"/>
      <c r="G14" s="1" t="s">
        <v>520</v>
      </c>
      <c r="H14" s="1" t="s">
        <v>521</v>
      </c>
      <c r="I14" s="1"/>
      <c r="J14" s="4">
        <f>J6</f>
        <v>885000</v>
      </c>
      <c r="L14" s="1" t="s">
        <v>520</v>
      </c>
      <c r="M14" s="1" t="s">
        <v>521</v>
      </c>
      <c r="N14" s="1"/>
      <c r="O14" s="4">
        <f>O6</f>
        <v>537600</v>
      </c>
    </row>
    <row r="15" spans="1:16">
      <c r="B15" s="1" t="s">
        <v>535</v>
      </c>
      <c r="C15" s="1" t="s">
        <v>536</v>
      </c>
      <c r="D15" s="1" t="s">
        <v>524</v>
      </c>
      <c r="E15" s="12">
        <f>E7</f>
        <v>4.0000000000000002E-4</v>
      </c>
      <c r="F15" s="3"/>
      <c r="G15" s="1" t="s">
        <v>535</v>
      </c>
      <c r="H15" s="1" t="s">
        <v>536</v>
      </c>
      <c r="I15" s="1" t="s">
        <v>524</v>
      </c>
      <c r="J15" s="12">
        <f>J7</f>
        <v>4.0000000000000002E-4</v>
      </c>
      <c r="L15" s="1" t="s">
        <v>535</v>
      </c>
      <c r="M15" s="1" t="s">
        <v>536</v>
      </c>
      <c r="N15" s="1" t="s">
        <v>524</v>
      </c>
      <c r="O15" s="12">
        <f>O7</f>
        <v>4.0000000000000002E-4</v>
      </c>
    </row>
    <row r="16" spans="1:16">
      <c r="B16" s="1" t="s">
        <v>537</v>
      </c>
      <c r="C16" s="1" t="s">
        <v>529</v>
      </c>
      <c r="D16" s="1" t="s">
        <v>527</v>
      </c>
      <c r="E16" s="1">
        <v>0</v>
      </c>
      <c r="F16" s="3"/>
      <c r="G16" s="1" t="s">
        <v>537</v>
      </c>
      <c r="H16" s="1" t="s">
        <v>529</v>
      </c>
      <c r="I16" s="1" t="s">
        <v>527</v>
      </c>
      <c r="J16" s="1">
        <v>0</v>
      </c>
      <c r="L16" s="1" t="s">
        <v>537</v>
      </c>
      <c r="M16" s="1" t="s">
        <v>529</v>
      </c>
      <c r="N16" s="1" t="s">
        <v>527</v>
      </c>
      <c r="O16" s="1">
        <v>0</v>
      </c>
    </row>
    <row r="17" spans="2:15">
      <c r="B17" s="1" t="s">
        <v>538</v>
      </c>
      <c r="C17" s="1" t="s">
        <v>539</v>
      </c>
      <c r="D17" s="1" t="s">
        <v>527</v>
      </c>
      <c r="E17" s="22">
        <v>0</v>
      </c>
      <c r="F17" s="3"/>
      <c r="G17" s="1" t="s">
        <v>538</v>
      </c>
      <c r="H17" s="1" t="s">
        <v>539</v>
      </c>
      <c r="I17" s="1" t="s">
        <v>527</v>
      </c>
      <c r="J17" s="22">
        <v>0</v>
      </c>
      <c r="L17" s="1" t="s">
        <v>538</v>
      </c>
      <c r="M17" s="1" t="s">
        <v>539</v>
      </c>
      <c r="N17" s="1" t="s">
        <v>527</v>
      </c>
      <c r="O17" s="22">
        <v>0</v>
      </c>
    </row>
    <row r="18" spans="2:15">
      <c r="B18" s="1" t="s">
        <v>540</v>
      </c>
      <c r="C18" s="1" t="s">
        <v>541</v>
      </c>
      <c r="D18" s="1" t="s">
        <v>532</v>
      </c>
      <c r="E18" s="7">
        <f>(1-E13)*E14*E15*(E16+E17)</f>
        <v>0</v>
      </c>
      <c r="F18" s="3"/>
      <c r="G18" s="1" t="s">
        <v>540</v>
      </c>
      <c r="H18" s="1" t="s">
        <v>541</v>
      </c>
      <c r="I18" s="1" t="s">
        <v>532</v>
      </c>
      <c r="J18" s="7">
        <f>(1-J13)*J14*J15*(J16+J17)</f>
        <v>0</v>
      </c>
      <c r="L18" s="1" t="s">
        <v>540</v>
      </c>
      <c r="M18" s="1" t="s">
        <v>541</v>
      </c>
      <c r="N18" s="1" t="s">
        <v>532</v>
      </c>
      <c r="O18" s="7">
        <f>(1-O13)*O14*O15*(O16+O17)</f>
        <v>0</v>
      </c>
    </row>
    <row r="19" spans="2:15">
      <c r="F19" s="3"/>
    </row>
    <row r="20" spans="2:15">
      <c r="B20" s="248" t="s">
        <v>542</v>
      </c>
      <c r="C20" s="249"/>
      <c r="D20" s="249"/>
      <c r="E20" s="253"/>
      <c r="F20" s="3"/>
      <c r="G20" s="248" t="s">
        <v>542</v>
      </c>
      <c r="H20" s="249"/>
      <c r="I20" s="249"/>
      <c r="J20" s="253"/>
      <c r="L20" s="248" t="s">
        <v>542</v>
      </c>
      <c r="M20" s="249"/>
      <c r="N20" s="249"/>
      <c r="O20" s="253"/>
    </row>
    <row r="21" spans="2:15">
      <c r="B21" s="2" t="s">
        <v>543</v>
      </c>
      <c r="C21" s="1" t="s">
        <v>543</v>
      </c>
      <c r="D21" s="1" t="s">
        <v>544</v>
      </c>
      <c r="E21" s="8">
        <v>0.95</v>
      </c>
      <c r="F21" s="3"/>
      <c r="G21" s="2" t="s">
        <v>543</v>
      </c>
      <c r="H21" s="1" t="s">
        <v>543</v>
      </c>
      <c r="I21" s="1" t="s">
        <v>544</v>
      </c>
      <c r="J21" s="8">
        <v>0.95</v>
      </c>
      <c r="L21" s="2" t="s">
        <v>543</v>
      </c>
      <c r="M21" s="1" t="s">
        <v>543</v>
      </c>
      <c r="N21" s="1" t="s">
        <v>544</v>
      </c>
      <c r="O21" s="8">
        <v>0.95</v>
      </c>
    </row>
    <row r="22" spans="2:15">
      <c r="B22" s="1" t="s">
        <v>545</v>
      </c>
      <c r="C22" s="1" t="s">
        <v>546</v>
      </c>
      <c r="D22" s="1" t="s">
        <v>547</v>
      </c>
      <c r="E22" s="1">
        <v>112</v>
      </c>
      <c r="F22" s="3"/>
      <c r="G22" s="1" t="s">
        <v>545</v>
      </c>
      <c r="H22" s="1" t="s">
        <v>546</v>
      </c>
      <c r="I22" s="1" t="s">
        <v>547</v>
      </c>
      <c r="J22" s="1">
        <v>112</v>
      </c>
      <c r="L22" s="1" t="s">
        <v>545</v>
      </c>
      <c r="M22" s="1" t="s">
        <v>546</v>
      </c>
      <c r="N22" s="1" t="s">
        <v>547</v>
      </c>
      <c r="O22" s="1">
        <v>112</v>
      </c>
    </row>
    <row r="23" spans="2:15">
      <c r="B23" s="1" t="s">
        <v>578</v>
      </c>
      <c r="C23" s="1" t="s">
        <v>549</v>
      </c>
      <c r="D23" s="1" t="s">
        <v>550</v>
      </c>
      <c r="E23" s="161">
        <f>(J6*J23+O6*O23)/E6</f>
        <v>9.4600000000000009</v>
      </c>
      <c r="F23" s="3"/>
      <c r="G23" s="1" t="s">
        <v>548</v>
      </c>
      <c r="H23" s="1" t="s">
        <v>549</v>
      </c>
      <c r="I23" s="1" t="s">
        <v>550</v>
      </c>
      <c r="J23" s="1">
        <v>9.4600000000000009</v>
      </c>
      <c r="L23" s="1" t="s">
        <v>548</v>
      </c>
      <c r="M23" s="1" t="s">
        <v>549</v>
      </c>
      <c r="N23" s="1" t="s">
        <v>550</v>
      </c>
      <c r="O23" s="1">
        <f>9.46</f>
        <v>9.4600000000000009</v>
      </c>
    </row>
    <row r="24" spans="2:15">
      <c r="B24" s="1" t="s">
        <v>551</v>
      </c>
      <c r="C24" s="1" t="s">
        <v>552</v>
      </c>
      <c r="D24" s="1" t="s">
        <v>553</v>
      </c>
      <c r="E24" s="1">
        <f>0.0156</f>
        <v>1.5599999999999999E-2</v>
      </c>
      <c r="F24" s="3"/>
      <c r="G24" s="1" t="s">
        <v>551</v>
      </c>
      <c r="H24" s="1" t="s">
        <v>552</v>
      </c>
      <c r="I24" s="1" t="s">
        <v>553</v>
      </c>
      <c r="J24" s="1">
        <v>1.5599999999999999E-2</v>
      </c>
      <c r="L24" s="1" t="s">
        <v>551</v>
      </c>
      <c r="M24" s="1" t="s">
        <v>552</v>
      </c>
      <c r="N24" s="1" t="s">
        <v>553</v>
      </c>
      <c r="O24" s="1">
        <v>1.5599999999999999E-2</v>
      </c>
    </row>
    <row r="25" spans="2:15">
      <c r="F25" s="3"/>
    </row>
    <row r="26" spans="2:15">
      <c r="B26" s="248" t="s">
        <v>554</v>
      </c>
      <c r="C26" s="249"/>
      <c r="D26" s="249"/>
      <c r="E26" s="253"/>
      <c r="F26" s="3"/>
      <c r="G26" s="248" t="s">
        <v>554</v>
      </c>
      <c r="H26" s="249"/>
      <c r="I26" s="249"/>
      <c r="J26" s="253"/>
      <c r="L26" s="248" t="s">
        <v>554</v>
      </c>
      <c r="M26" s="249"/>
      <c r="N26" s="249"/>
      <c r="O26" s="253"/>
    </row>
    <row r="27" spans="2:15">
      <c r="B27" s="1" t="s">
        <v>555</v>
      </c>
      <c r="C27" s="1" t="s">
        <v>556</v>
      </c>
      <c r="D27" s="1" t="s">
        <v>557</v>
      </c>
      <c r="E27" s="4">
        <f>E10*((E22*E21)+E23)*E24</f>
        <v>7559.4162047039999</v>
      </c>
      <c r="F27" s="3"/>
      <c r="G27" s="1" t="s">
        <v>555</v>
      </c>
      <c r="H27" s="1" t="s">
        <v>556</v>
      </c>
      <c r="I27" s="1" t="s">
        <v>557</v>
      </c>
      <c r="J27" s="4">
        <f>J10*((J22*J21)+J23)*J24</f>
        <v>4702.7156903999994</v>
      </c>
      <c r="L27" s="1" t="s">
        <v>555</v>
      </c>
      <c r="M27" s="1" t="s">
        <v>556</v>
      </c>
      <c r="N27" s="1" t="s">
        <v>557</v>
      </c>
      <c r="O27" s="4">
        <f>O10*((O22*O21)+O23)*O24</f>
        <v>2856.7005143039996</v>
      </c>
    </row>
    <row r="28" spans="2:15">
      <c r="B28" s="1" t="s">
        <v>558</v>
      </c>
      <c r="C28" s="1" t="s">
        <v>559</v>
      </c>
      <c r="D28" s="1" t="s">
        <v>557</v>
      </c>
      <c r="E28" s="4">
        <f>E18*((E22*E21)+E23)*E24</f>
        <v>0</v>
      </c>
      <c r="F28" s="3"/>
      <c r="G28" s="1" t="s">
        <v>558</v>
      </c>
      <c r="H28" s="1" t="s">
        <v>559</v>
      </c>
      <c r="I28" s="1" t="s">
        <v>557</v>
      </c>
      <c r="J28" s="4">
        <f>J18*((J22*J21)+J23)*J24</f>
        <v>0</v>
      </c>
      <c r="L28" s="1" t="s">
        <v>558</v>
      </c>
      <c r="M28" s="1" t="s">
        <v>559</v>
      </c>
      <c r="N28" s="1" t="s">
        <v>557</v>
      </c>
      <c r="O28" s="4">
        <f>O18*((O22*O21)+O23)*O24</f>
        <v>0</v>
      </c>
    </row>
    <row r="29" spans="2:15">
      <c r="B29" s="1" t="s">
        <v>579</v>
      </c>
      <c r="C29" s="1" t="s">
        <v>561</v>
      </c>
      <c r="D29" s="1" t="s">
        <v>519</v>
      </c>
      <c r="E29" s="1">
        <v>0.95</v>
      </c>
      <c r="F29" s="3"/>
      <c r="G29" s="1" t="s">
        <v>579</v>
      </c>
      <c r="H29" s="1" t="s">
        <v>561</v>
      </c>
      <c r="I29" s="1" t="s">
        <v>519</v>
      </c>
      <c r="J29" s="1">
        <v>0.95</v>
      </c>
      <c r="L29" s="1" t="s">
        <v>579</v>
      </c>
      <c r="M29" s="1" t="s">
        <v>561</v>
      </c>
      <c r="N29" s="1" t="s">
        <v>519</v>
      </c>
      <c r="O29" s="1">
        <v>0.95</v>
      </c>
    </row>
    <row r="30" spans="2:15">
      <c r="B30" s="1" t="s">
        <v>562</v>
      </c>
      <c r="C30" s="1" t="s">
        <v>563</v>
      </c>
      <c r="D30" s="1" t="s">
        <v>557</v>
      </c>
      <c r="E30" s="1">
        <v>0</v>
      </c>
      <c r="F30" s="3"/>
      <c r="G30" s="1" t="s">
        <v>562</v>
      </c>
      <c r="H30" s="1" t="s">
        <v>563</v>
      </c>
      <c r="I30" s="1" t="s">
        <v>557</v>
      </c>
      <c r="J30" s="1">
        <v>0</v>
      </c>
      <c r="L30" s="1" t="s">
        <v>562</v>
      </c>
      <c r="M30" s="1" t="s">
        <v>563</v>
      </c>
      <c r="N30" s="1" t="s">
        <v>557</v>
      </c>
      <c r="O30" s="1">
        <v>0</v>
      </c>
    </row>
    <row r="31" spans="2:15">
      <c r="B31" s="1" t="s">
        <v>564</v>
      </c>
      <c r="C31" s="1" t="s">
        <v>565</v>
      </c>
      <c r="D31" s="1" t="s">
        <v>557</v>
      </c>
      <c r="E31" s="4">
        <f>((E27-E28)*E29)-E30</f>
        <v>7181.4453944687993</v>
      </c>
      <c r="F31" s="3"/>
      <c r="G31" s="1" t="s">
        <v>564</v>
      </c>
      <c r="H31" s="1" t="s">
        <v>565</v>
      </c>
      <c r="I31" s="1" t="s">
        <v>557</v>
      </c>
      <c r="J31" s="7">
        <f>((J27-J28)*J29)-J30</f>
        <v>4467.5799058799994</v>
      </c>
      <c r="L31" s="1" t="s">
        <v>564</v>
      </c>
      <c r="M31" s="1" t="s">
        <v>565</v>
      </c>
      <c r="N31" s="1" t="s">
        <v>557</v>
      </c>
      <c r="O31" s="7">
        <f>((O27-O28)*O29)-O30</f>
        <v>2713.8654885887995</v>
      </c>
    </row>
    <row r="32" spans="2:15">
      <c r="D32" s="5"/>
      <c r="F32" s="3"/>
      <c r="I32" s="5"/>
      <c r="N32" s="5"/>
    </row>
    <row r="33" spans="2:15">
      <c r="B33" s="251" t="s">
        <v>566</v>
      </c>
      <c r="C33" s="251"/>
      <c r="D33" s="251"/>
      <c r="E33" s="251"/>
      <c r="F33" s="3"/>
      <c r="G33" s="251" t="s">
        <v>566</v>
      </c>
      <c r="H33" s="251"/>
      <c r="I33" s="251"/>
      <c r="J33" s="251"/>
      <c r="L33" s="251" t="s">
        <v>566</v>
      </c>
      <c r="M33" s="251"/>
      <c r="N33" s="251"/>
      <c r="O33" s="251"/>
    </row>
    <row r="34" spans="2:15">
      <c r="B34" s="13" t="s">
        <v>567</v>
      </c>
      <c r="C34" s="1"/>
      <c r="D34" s="14"/>
      <c r="E34" s="23">
        <f>1-E35</f>
        <v>0.95</v>
      </c>
      <c r="F34" s="3"/>
      <c r="G34" s="13" t="s">
        <v>567</v>
      </c>
      <c r="H34" s="1"/>
      <c r="I34" s="14"/>
      <c r="J34" s="23">
        <f>1-J35</f>
        <v>0.95</v>
      </c>
      <c r="L34" s="13" t="s">
        <v>567</v>
      </c>
      <c r="M34" s="1"/>
      <c r="N34" s="14"/>
      <c r="O34" s="23">
        <f>1-O35</f>
        <v>0.95</v>
      </c>
    </row>
    <row r="35" spans="2:15">
      <c r="B35" s="13" t="s">
        <v>568</v>
      </c>
      <c r="C35" s="1" t="s">
        <v>569</v>
      </c>
      <c r="D35" s="14" t="s">
        <v>37</v>
      </c>
      <c r="E35" s="23">
        <v>0.05</v>
      </c>
      <c r="F35" s="3"/>
      <c r="G35" s="13" t="s">
        <v>568</v>
      </c>
      <c r="H35" s="1" t="s">
        <v>569</v>
      </c>
      <c r="I35" s="14" t="s">
        <v>37</v>
      </c>
      <c r="J35" s="23">
        <v>0.05</v>
      </c>
      <c r="L35" s="13" t="s">
        <v>568</v>
      </c>
      <c r="M35" s="1" t="s">
        <v>569</v>
      </c>
      <c r="N35" s="14" t="s">
        <v>37</v>
      </c>
      <c r="O35" s="23">
        <v>0.05</v>
      </c>
    </row>
    <row r="36" spans="2:15">
      <c r="B36" s="15" t="s">
        <v>564</v>
      </c>
      <c r="C36" s="15" t="s">
        <v>571</v>
      </c>
      <c r="D36" s="15" t="s">
        <v>557</v>
      </c>
      <c r="E36" s="25">
        <f>E31*(1-E35)</f>
        <v>6822.3731247453588</v>
      </c>
      <c r="F36" s="3"/>
      <c r="G36" s="15" t="s">
        <v>564</v>
      </c>
      <c r="H36" s="15" t="s">
        <v>571</v>
      </c>
      <c r="I36" s="15" t="s">
        <v>557</v>
      </c>
      <c r="J36" s="25">
        <f>J31*(1-J35)</f>
        <v>4244.2009105859988</v>
      </c>
      <c r="L36" s="15" t="s">
        <v>564</v>
      </c>
      <c r="M36" s="15" t="s">
        <v>571</v>
      </c>
      <c r="N36" s="15" t="s">
        <v>557</v>
      </c>
      <c r="O36" s="25">
        <f>O31*(1-O35)</f>
        <v>2578.1722141593596</v>
      </c>
    </row>
    <row r="37" spans="2:15">
      <c r="B37" s="21" t="s">
        <v>580</v>
      </c>
      <c r="C37" s="20" t="s">
        <v>571</v>
      </c>
      <c r="D37" s="20" t="s">
        <v>557</v>
      </c>
      <c r="E37" s="26">
        <f>J37+O37</f>
        <v>6822</v>
      </c>
      <c r="F37" s="3"/>
      <c r="G37" s="21" t="s">
        <v>580</v>
      </c>
      <c r="H37" s="20" t="s">
        <v>571</v>
      </c>
      <c r="I37" s="20" t="s">
        <v>557</v>
      </c>
      <c r="J37" s="26">
        <f>_xlfn.FLOOR.MATH(J36)</f>
        <v>4244</v>
      </c>
      <c r="L37" s="21" t="s">
        <v>580</v>
      </c>
      <c r="M37" s="20" t="s">
        <v>571</v>
      </c>
      <c r="N37" s="20" t="s">
        <v>557</v>
      </c>
      <c r="O37" s="26">
        <f>_xlfn.FLOOR.MATH(O36)</f>
        <v>2578</v>
      </c>
    </row>
    <row r="38" spans="2:15">
      <c r="C38" s="252"/>
      <c r="D38" s="252"/>
      <c r="F38" s="3"/>
      <c r="H38" s="252"/>
      <c r="I38" s="252"/>
      <c r="M38" s="252"/>
      <c r="N38" s="252"/>
    </row>
    <row r="39" spans="2:15">
      <c r="I39" s="27"/>
    </row>
    <row r="41" spans="2:15">
      <c r="E41" s="16"/>
      <c r="J41" s="16"/>
      <c r="O41" s="16"/>
    </row>
  </sheetData>
  <mergeCells count="21">
    <mergeCell ref="C38:D38"/>
    <mergeCell ref="H38:I38"/>
    <mergeCell ref="M38:N38"/>
    <mergeCell ref="B26:E26"/>
    <mergeCell ref="G26:J26"/>
    <mergeCell ref="L26:O26"/>
    <mergeCell ref="B33:E33"/>
    <mergeCell ref="G33:J33"/>
    <mergeCell ref="L33:O33"/>
    <mergeCell ref="B12:E12"/>
    <mergeCell ref="G12:J12"/>
    <mergeCell ref="L12:O12"/>
    <mergeCell ref="B20:E20"/>
    <mergeCell ref="G20:J20"/>
    <mergeCell ref="L20:O20"/>
    <mergeCell ref="B2:E2"/>
    <mergeCell ref="G2:J2"/>
    <mergeCell ref="L2:O2"/>
    <mergeCell ref="B4:E4"/>
    <mergeCell ref="G4:J4"/>
    <mergeCell ref="L4:O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E5A51-E468-4130-9056-D209BBCEC228}">
  <dimension ref="A2:P41"/>
  <sheetViews>
    <sheetView topLeftCell="G1" workbookViewId="0">
      <selection activeCell="O6" sqref="O6"/>
    </sheetView>
  </sheetViews>
  <sheetFormatPr defaultRowHeight="14.25"/>
  <cols>
    <col min="2" max="2" width="60.7109375" bestFit="1" customWidth="1"/>
    <col min="3" max="3" width="18.28515625" bestFit="1" customWidth="1"/>
    <col min="4" max="4" width="12.42578125" bestFit="1" customWidth="1"/>
    <col min="5" max="5" width="12.7109375" customWidth="1"/>
    <col min="6" max="6" width="7.28515625" customWidth="1"/>
    <col min="7" max="7" width="60.7109375" bestFit="1" customWidth="1"/>
    <col min="8" max="8" width="18.28515625" bestFit="1" customWidth="1"/>
    <col min="9" max="9" width="12.42578125" bestFit="1" customWidth="1"/>
    <col min="10" max="10" width="12.5703125" customWidth="1"/>
    <col min="11" max="11" width="5" customWidth="1"/>
    <col min="12" max="12" width="60.7109375" bestFit="1" customWidth="1"/>
    <col min="13" max="13" width="18.28515625" bestFit="1" customWidth="1"/>
    <col min="14" max="14" width="12.42578125" bestFit="1" customWidth="1"/>
    <col min="15" max="15" width="12.28515625" customWidth="1"/>
  </cols>
  <sheetData>
    <row r="2" spans="1:16" ht="15" customHeight="1">
      <c r="B2" s="250" t="s">
        <v>573</v>
      </c>
      <c r="C2" s="250"/>
      <c r="D2" s="250"/>
      <c r="E2" s="250"/>
      <c r="G2" s="250" t="s">
        <v>574</v>
      </c>
      <c r="H2" s="250"/>
      <c r="I2" s="250"/>
      <c r="J2" s="250"/>
      <c r="L2" s="250" t="s">
        <v>575</v>
      </c>
      <c r="M2" s="250"/>
      <c r="N2" s="250"/>
      <c r="O2" s="250"/>
    </row>
    <row r="4" spans="1:16">
      <c r="A4" s="3"/>
      <c r="B4" s="248" t="s">
        <v>516</v>
      </c>
      <c r="C4" s="249"/>
      <c r="D4" s="249"/>
      <c r="E4" s="253"/>
      <c r="F4" s="3"/>
      <c r="G4" s="248" t="s">
        <v>516</v>
      </c>
      <c r="H4" s="249"/>
      <c r="I4" s="249"/>
      <c r="J4" s="253"/>
      <c r="K4" s="3"/>
      <c r="L4" s="248" t="s">
        <v>516</v>
      </c>
      <c r="M4" s="249"/>
      <c r="N4" s="249"/>
      <c r="O4" s="253"/>
      <c r="P4" s="3"/>
    </row>
    <row r="5" spans="1:16">
      <c r="B5" s="1" t="s">
        <v>517</v>
      </c>
      <c r="C5" s="1" t="s">
        <v>518</v>
      </c>
      <c r="D5" s="1" t="s">
        <v>519</v>
      </c>
      <c r="E5" s="37">
        <v>0.02</v>
      </c>
      <c r="F5" s="3"/>
      <c r="G5" s="1" t="s">
        <v>517</v>
      </c>
      <c r="H5" s="1" t="s">
        <v>518</v>
      </c>
      <c r="I5" s="1" t="s">
        <v>519</v>
      </c>
      <c r="J5" s="37">
        <v>0.02</v>
      </c>
      <c r="L5" s="1" t="s">
        <v>517</v>
      </c>
      <c r="M5" s="1" t="s">
        <v>518</v>
      </c>
      <c r="N5" s="1" t="s">
        <v>519</v>
      </c>
      <c r="O5" s="109">
        <f>J5</f>
        <v>0.02</v>
      </c>
    </row>
    <row r="6" spans="1:16">
      <c r="B6" s="1" t="s">
        <v>520</v>
      </c>
      <c r="C6" s="1" t="s">
        <v>521</v>
      </c>
      <c r="D6" s="1"/>
      <c r="E6" s="4">
        <f>'Total PTDs'!AM26</f>
        <v>1456350</v>
      </c>
      <c r="F6" s="3"/>
      <c r="G6" s="1" t="s">
        <v>520</v>
      </c>
      <c r="H6" s="1" t="s">
        <v>521</v>
      </c>
      <c r="I6" s="1"/>
      <c r="J6" s="4">
        <f>'Total PTDs'!AH26</f>
        <v>905730</v>
      </c>
      <c r="L6" s="1" t="s">
        <v>520</v>
      </c>
      <c r="M6" s="1" t="s">
        <v>521</v>
      </c>
      <c r="N6" s="1"/>
      <c r="O6" s="4">
        <f>'Total PTDs'!AL26</f>
        <v>550620</v>
      </c>
    </row>
    <row r="7" spans="1:16">
      <c r="B7" s="1" t="s">
        <v>522</v>
      </c>
      <c r="C7" s="1" t="s">
        <v>523</v>
      </c>
      <c r="D7" s="1" t="s">
        <v>524</v>
      </c>
      <c r="E7" s="12">
        <f>J7</f>
        <v>4.0000000000000002E-4</v>
      </c>
      <c r="F7" s="3"/>
      <c r="G7" s="1" t="s">
        <v>522</v>
      </c>
      <c r="H7" s="1" t="s">
        <v>523</v>
      </c>
      <c r="I7" s="1" t="s">
        <v>524</v>
      </c>
      <c r="J7" s="12">
        <v>4.0000000000000002E-4</v>
      </c>
      <c r="L7" s="1" t="s">
        <v>522</v>
      </c>
      <c r="M7" s="1" t="s">
        <v>523</v>
      </c>
      <c r="N7" s="1" t="s">
        <v>524</v>
      </c>
      <c r="O7" s="12">
        <f>J7</f>
        <v>4.0000000000000002E-4</v>
      </c>
    </row>
    <row r="8" spans="1:16" ht="28.5">
      <c r="B8" s="2" t="s">
        <v>577</v>
      </c>
      <c r="C8" s="1" t="s">
        <v>526</v>
      </c>
      <c r="D8" s="1" t="s">
        <v>527</v>
      </c>
      <c r="E8" s="1">
        <v>7.5</v>
      </c>
      <c r="F8" s="3"/>
      <c r="G8" s="2" t="s">
        <v>577</v>
      </c>
      <c r="H8" s="1" t="s">
        <v>526</v>
      </c>
      <c r="I8" s="1" t="s">
        <v>527</v>
      </c>
      <c r="J8" s="1">
        <v>7.5</v>
      </c>
      <c r="L8" s="2" t="s">
        <v>577</v>
      </c>
      <c r="M8" s="1" t="s">
        <v>526</v>
      </c>
      <c r="N8" s="1" t="s">
        <v>527</v>
      </c>
      <c r="O8" s="1">
        <v>7.5</v>
      </c>
    </row>
    <row r="9" spans="1:16">
      <c r="B9" s="2" t="s">
        <v>528</v>
      </c>
      <c r="C9" s="1" t="s">
        <v>529</v>
      </c>
      <c r="D9" s="1" t="s">
        <v>527</v>
      </c>
      <c r="E9" s="1">
        <v>0</v>
      </c>
      <c r="F9" s="3"/>
      <c r="G9" s="2" t="s">
        <v>528</v>
      </c>
      <c r="H9" s="1" t="s">
        <v>529</v>
      </c>
      <c r="I9" s="1" t="s">
        <v>527</v>
      </c>
      <c r="J9" s="1">
        <v>0</v>
      </c>
      <c r="L9" s="2" t="s">
        <v>528</v>
      </c>
      <c r="M9" s="1" t="s">
        <v>529</v>
      </c>
      <c r="N9" s="1" t="s">
        <v>527</v>
      </c>
      <c r="O9" s="1">
        <v>0</v>
      </c>
    </row>
    <row r="10" spans="1:16">
      <c r="B10" s="1" t="s">
        <v>530</v>
      </c>
      <c r="C10" s="1" t="s">
        <v>531</v>
      </c>
      <c r="D10" s="1" t="s">
        <v>532</v>
      </c>
      <c r="E10" s="4">
        <f>(1-E5)*E6*E7*(E8+E9)</f>
        <v>4281.6690000000008</v>
      </c>
      <c r="F10" s="3"/>
      <c r="G10" s="1" t="s">
        <v>530</v>
      </c>
      <c r="H10" s="1" t="s">
        <v>531</v>
      </c>
      <c r="I10" s="1" t="s">
        <v>532</v>
      </c>
      <c r="J10" s="7">
        <f>(1-J5)*J6*J7*(J8+J9)</f>
        <v>2662.8462000000004</v>
      </c>
      <c r="L10" s="1" t="s">
        <v>530</v>
      </c>
      <c r="M10" s="1" t="s">
        <v>531</v>
      </c>
      <c r="N10" s="1" t="s">
        <v>532</v>
      </c>
      <c r="O10" s="7">
        <f>(1-O5)*O6*O7*(O8+O9)</f>
        <v>1618.8227999999999</v>
      </c>
    </row>
    <row r="11" spans="1:16">
      <c r="F11" s="3"/>
    </row>
    <row r="12" spans="1:16">
      <c r="B12" s="248" t="s">
        <v>533</v>
      </c>
      <c r="C12" s="249"/>
      <c r="D12" s="249"/>
      <c r="E12" s="253"/>
      <c r="F12" s="3"/>
      <c r="G12" s="248" t="s">
        <v>533</v>
      </c>
      <c r="H12" s="249"/>
      <c r="I12" s="249"/>
      <c r="J12" s="253"/>
      <c r="L12" s="248" t="s">
        <v>533</v>
      </c>
      <c r="M12" s="249"/>
      <c r="N12" s="249"/>
      <c r="O12" s="253"/>
    </row>
    <row r="13" spans="1:16">
      <c r="B13" s="1" t="s">
        <v>534</v>
      </c>
      <c r="C13" s="1" t="s">
        <v>518</v>
      </c>
      <c r="D13" s="1" t="s">
        <v>519</v>
      </c>
      <c r="E13" s="37">
        <v>0.02</v>
      </c>
      <c r="F13" s="3"/>
      <c r="G13" s="1" t="s">
        <v>534</v>
      </c>
      <c r="H13" s="1" t="s">
        <v>518</v>
      </c>
      <c r="I13" s="1" t="s">
        <v>519</v>
      </c>
      <c r="J13" s="109">
        <f>J5</f>
        <v>0.02</v>
      </c>
      <c r="L13" s="1" t="s">
        <v>534</v>
      </c>
      <c r="M13" s="1" t="s">
        <v>518</v>
      </c>
      <c r="N13" s="1" t="s">
        <v>519</v>
      </c>
      <c r="O13" s="109">
        <f>O5</f>
        <v>0.02</v>
      </c>
    </row>
    <row r="14" spans="1:16">
      <c r="B14" s="1" t="s">
        <v>520</v>
      </c>
      <c r="C14" s="1" t="s">
        <v>521</v>
      </c>
      <c r="D14" s="1"/>
      <c r="E14" s="4">
        <f>E6</f>
        <v>1456350</v>
      </c>
      <c r="F14" s="3"/>
      <c r="G14" s="1" t="s">
        <v>520</v>
      </c>
      <c r="H14" s="1" t="s">
        <v>521</v>
      </c>
      <c r="I14" s="1"/>
      <c r="J14" s="4">
        <f>J6</f>
        <v>905730</v>
      </c>
      <c r="L14" s="1" t="s">
        <v>520</v>
      </c>
      <c r="M14" s="1" t="s">
        <v>521</v>
      </c>
      <c r="N14" s="1"/>
      <c r="O14" s="4">
        <f>O6</f>
        <v>550620</v>
      </c>
    </row>
    <row r="15" spans="1:16">
      <c r="B15" s="1" t="s">
        <v>535</v>
      </c>
      <c r="C15" s="1" t="s">
        <v>536</v>
      </c>
      <c r="D15" s="1" t="s">
        <v>524</v>
      </c>
      <c r="E15" s="12">
        <f>E7</f>
        <v>4.0000000000000002E-4</v>
      </c>
      <c r="F15" s="3"/>
      <c r="G15" s="1" t="s">
        <v>535</v>
      </c>
      <c r="H15" s="1" t="s">
        <v>536</v>
      </c>
      <c r="I15" s="1" t="s">
        <v>524</v>
      </c>
      <c r="J15" s="12">
        <f>J7</f>
        <v>4.0000000000000002E-4</v>
      </c>
      <c r="L15" s="1" t="s">
        <v>535</v>
      </c>
      <c r="M15" s="1" t="s">
        <v>536</v>
      </c>
      <c r="N15" s="1" t="s">
        <v>524</v>
      </c>
      <c r="O15" s="12">
        <f>O7</f>
        <v>4.0000000000000002E-4</v>
      </c>
    </row>
    <row r="16" spans="1:16">
      <c r="B16" s="1" t="s">
        <v>537</v>
      </c>
      <c r="C16" s="1" t="s">
        <v>529</v>
      </c>
      <c r="D16" s="1" t="s">
        <v>527</v>
      </c>
      <c r="E16" s="1">
        <v>0</v>
      </c>
      <c r="F16" s="3"/>
      <c r="G16" s="1" t="s">
        <v>537</v>
      </c>
      <c r="H16" s="1" t="s">
        <v>529</v>
      </c>
      <c r="I16" s="1" t="s">
        <v>527</v>
      </c>
      <c r="J16" s="1">
        <v>0</v>
      </c>
      <c r="L16" s="1" t="s">
        <v>537</v>
      </c>
      <c r="M16" s="1" t="s">
        <v>529</v>
      </c>
      <c r="N16" s="1" t="s">
        <v>527</v>
      </c>
      <c r="O16" s="1">
        <v>0</v>
      </c>
    </row>
    <row r="17" spans="2:15">
      <c r="B17" s="1" t="s">
        <v>538</v>
      </c>
      <c r="C17" s="1" t="s">
        <v>539</v>
      </c>
      <c r="D17" s="1" t="s">
        <v>527</v>
      </c>
      <c r="E17" s="22">
        <v>0</v>
      </c>
      <c r="F17" s="3"/>
      <c r="G17" s="1" t="s">
        <v>538</v>
      </c>
      <c r="H17" s="1" t="s">
        <v>539</v>
      </c>
      <c r="I17" s="1" t="s">
        <v>527</v>
      </c>
      <c r="J17" s="22">
        <v>0</v>
      </c>
      <c r="L17" s="1" t="s">
        <v>538</v>
      </c>
      <c r="M17" s="1" t="s">
        <v>539</v>
      </c>
      <c r="N17" s="1" t="s">
        <v>527</v>
      </c>
      <c r="O17" s="22">
        <v>0</v>
      </c>
    </row>
    <row r="18" spans="2:15">
      <c r="B18" s="1" t="s">
        <v>540</v>
      </c>
      <c r="C18" s="1" t="s">
        <v>541</v>
      </c>
      <c r="D18" s="1" t="s">
        <v>532</v>
      </c>
      <c r="E18" s="7">
        <f>(1-E13)*E14*E15*(E16+E17)</f>
        <v>0</v>
      </c>
      <c r="F18" s="3"/>
      <c r="G18" s="1" t="s">
        <v>540</v>
      </c>
      <c r="H18" s="1" t="s">
        <v>541</v>
      </c>
      <c r="I18" s="1" t="s">
        <v>532</v>
      </c>
      <c r="J18" s="7">
        <f>(1-J13)*J14*J15*(J16+J17)</f>
        <v>0</v>
      </c>
      <c r="L18" s="1" t="s">
        <v>540</v>
      </c>
      <c r="M18" s="1" t="s">
        <v>541</v>
      </c>
      <c r="N18" s="1" t="s">
        <v>532</v>
      </c>
      <c r="O18" s="7">
        <f>(1-O13)*O14*O15*(O16+O17)</f>
        <v>0</v>
      </c>
    </row>
    <row r="19" spans="2:15">
      <c r="F19" s="3"/>
    </row>
    <row r="20" spans="2:15">
      <c r="B20" s="248" t="s">
        <v>542</v>
      </c>
      <c r="C20" s="249"/>
      <c r="D20" s="249"/>
      <c r="E20" s="253"/>
      <c r="F20" s="3"/>
      <c r="G20" s="248" t="s">
        <v>542</v>
      </c>
      <c r="H20" s="249"/>
      <c r="I20" s="249"/>
      <c r="J20" s="253"/>
      <c r="L20" s="248" t="s">
        <v>542</v>
      </c>
      <c r="M20" s="249"/>
      <c r="N20" s="249"/>
      <c r="O20" s="253"/>
    </row>
    <row r="21" spans="2:15">
      <c r="B21" s="2" t="s">
        <v>543</v>
      </c>
      <c r="C21" s="1" t="s">
        <v>543</v>
      </c>
      <c r="D21" s="1" t="s">
        <v>544</v>
      </c>
      <c r="E21" s="8">
        <v>0.95</v>
      </c>
      <c r="F21" s="3"/>
      <c r="G21" s="2" t="s">
        <v>543</v>
      </c>
      <c r="H21" s="1" t="s">
        <v>543</v>
      </c>
      <c r="I21" s="1" t="s">
        <v>544</v>
      </c>
      <c r="J21" s="8">
        <v>0.95</v>
      </c>
      <c r="L21" s="2" t="s">
        <v>543</v>
      </c>
      <c r="M21" s="1" t="s">
        <v>543</v>
      </c>
      <c r="N21" s="1" t="s">
        <v>544</v>
      </c>
      <c r="O21" s="8">
        <v>0.95</v>
      </c>
    </row>
    <row r="22" spans="2:15">
      <c r="B22" s="1" t="s">
        <v>545</v>
      </c>
      <c r="C22" s="1" t="s">
        <v>546</v>
      </c>
      <c r="D22" s="1" t="s">
        <v>547</v>
      </c>
      <c r="E22" s="1">
        <v>112</v>
      </c>
      <c r="F22" s="3"/>
      <c r="G22" s="1" t="s">
        <v>545</v>
      </c>
      <c r="H22" s="1" t="s">
        <v>546</v>
      </c>
      <c r="I22" s="1" t="s">
        <v>547</v>
      </c>
      <c r="J22" s="1">
        <v>112</v>
      </c>
      <c r="L22" s="1" t="s">
        <v>545</v>
      </c>
      <c r="M22" s="1" t="s">
        <v>546</v>
      </c>
      <c r="N22" s="1" t="s">
        <v>547</v>
      </c>
      <c r="O22" s="1">
        <v>112</v>
      </c>
    </row>
    <row r="23" spans="2:15">
      <c r="B23" s="1" t="s">
        <v>578</v>
      </c>
      <c r="C23" s="1" t="s">
        <v>549</v>
      </c>
      <c r="D23" s="1" t="s">
        <v>550</v>
      </c>
      <c r="E23" s="161">
        <f>(J6*J23+O6*O23)/E6</f>
        <v>9.4600000000000009</v>
      </c>
      <c r="F23" s="3"/>
      <c r="G23" s="1" t="s">
        <v>548</v>
      </c>
      <c r="H23" s="1" t="s">
        <v>549</v>
      </c>
      <c r="I23" s="1" t="s">
        <v>550</v>
      </c>
      <c r="J23" s="1">
        <v>9.4600000000000009</v>
      </c>
      <c r="L23" s="1" t="s">
        <v>548</v>
      </c>
      <c r="M23" s="1" t="s">
        <v>549</v>
      </c>
      <c r="N23" s="1" t="s">
        <v>550</v>
      </c>
      <c r="O23" s="1">
        <f>9.46</f>
        <v>9.4600000000000009</v>
      </c>
    </row>
    <row r="24" spans="2:15">
      <c r="B24" s="1" t="s">
        <v>551</v>
      </c>
      <c r="C24" s="1" t="s">
        <v>552</v>
      </c>
      <c r="D24" s="1" t="s">
        <v>553</v>
      </c>
      <c r="E24" s="1">
        <f>0.0156</f>
        <v>1.5599999999999999E-2</v>
      </c>
      <c r="F24" s="3"/>
      <c r="G24" s="1" t="s">
        <v>551</v>
      </c>
      <c r="H24" s="1" t="s">
        <v>552</v>
      </c>
      <c r="I24" s="1" t="s">
        <v>553</v>
      </c>
      <c r="J24" s="1">
        <v>1.5599999999999999E-2</v>
      </c>
      <c r="L24" s="1" t="s">
        <v>551</v>
      </c>
      <c r="M24" s="1" t="s">
        <v>552</v>
      </c>
      <c r="N24" s="1" t="s">
        <v>553</v>
      </c>
      <c r="O24" s="1">
        <v>1.5599999999999999E-2</v>
      </c>
    </row>
    <row r="25" spans="2:15">
      <c r="F25" s="3"/>
    </row>
    <row r="26" spans="2:15">
      <c r="B26" s="248" t="s">
        <v>554</v>
      </c>
      <c r="C26" s="249"/>
      <c r="D26" s="249"/>
      <c r="E26" s="253"/>
      <c r="F26" s="3"/>
      <c r="G26" s="248" t="s">
        <v>554</v>
      </c>
      <c r="H26" s="249"/>
      <c r="I26" s="249"/>
      <c r="J26" s="253"/>
      <c r="L26" s="248" t="s">
        <v>554</v>
      </c>
      <c r="M26" s="249"/>
      <c r="N26" s="249"/>
      <c r="O26" s="253"/>
    </row>
    <row r="27" spans="2:15">
      <c r="B27" s="1" t="s">
        <v>555</v>
      </c>
      <c r="C27" s="1" t="s">
        <v>556</v>
      </c>
      <c r="D27" s="1" t="s">
        <v>557</v>
      </c>
      <c r="E27" s="4">
        <f>E10*((E22*E21)+E23)*E24</f>
        <v>7738.7570573040002</v>
      </c>
      <c r="F27" s="3"/>
      <c r="G27" s="1" t="s">
        <v>555</v>
      </c>
      <c r="H27" s="1" t="s">
        <v>556</v>
      </c>
      <c r="I27" s="1" t="s">
        <v>557</v>
      </c>
      <c r="J27" s="4">
        <f>J10*((J22*J21)+J23)*J24</f>
        <v>4812.8708274192004</v>
      </c>
      <c r="L27" s="1" t="s">
        <v>555</v>
      </c>
      <c r="M27" s="1" t="s">
        <v>556</v>
      </c>
      <c r="N27" s="1" t="s">
        <v>557</v>
      </c>
      <c r="O27" s="4">
        <f>O10*((O22*O21)+O23)*O24</f>
        <v>2925.8862298847989</v>
      </c>
    </row>
    <row r="28" spans="2:15">
      <c r="B28" s="1" t="s">
        <v>558</v>
      </c>
      <c r="C28" s="1" t="s">
        <v>559</v>
      </c>
      <c r="D28" s="1" t="s">
        <v>557</v>
      </c>
      <c r="E28" s="4">
        <f>E18*((E22*E21)+E23)*E24</f>
        <v>0</v>
      </c>
      <c r="F28" s="3"/>
      <c r="G28" s="1" t="s">
        <v>558</v>
      </c>
      <c r="H28" s="1" t="s">
        <v>559</v>
      </c>
      <c r="I28" s="1" t="s">
        <v>557</v>
      </c>
      <c r="J28" s="4">
        <f>J18*((J22*J21)+J23)*J24</f>
        <v>0</v>
      </c>
      <c r="L28" s="1" t="s">
        <v>558</v>
      </c>
      <c r="M28" s="1" t="s">
        <v>559</v>
      </c>
      <c r="N28" s="1" t="s">
        <v>557</v>
      </c>
      <c r="O28" s="4">
        <f>O18*((O22*O21)+O23)*O24</f>
        <v>0</v>
      </c>
    </row>
    <row r="29" spans="2:15">
      <c r="B29" s="1" t="s">
        <v>579</v>
      </c>
      <c r="C29" s="1" t="s">
        <v>561</v>
      </c>
      <c r="D29" s="1" t="s">
        <v>519</v>
      </c>
      <c r="E29" s="1">
        <v>0.95</v>
      </c>
      <c r="F29" s="3"/>
      <c r="G29" s="1" t="s">
        <v>579</v>
      </c>
      <c r="H29" s="1" t="s">
        <v>561</v>
      </c>
      <c r="I29" s="1" t="s">
        <v>519</v>
      </c>
      <c r="J29" s="1">
        <v>0.95</v>
      </c>
      <c r="L29" s="1" t="s">
        <v>579</v>
      </c>
      <c r="M29" s="1" t="s">
        <v>561</v>
      </c>
      <c r="N29" s="1" t="s">
        <v>519</v>
      </c>
      <c r="O29" s="1">
        <v>0.95</v>
      </c>
    </row>
    <row r="30" spans="2:15">
      <c r="B30" s="1" t="s">
        <v>562</v>
      </c>
      <c r="C30" s="1" t="s">
        <v>563</v>
      </c>
      <c r="D30" s="1" t="s">
        <v>557</v>
      </c>
      <c r="E30" s="1">
        <v>0</v>
      </c>
      <c r="F30" s="3"/>
      <c r="G30" s="1" t="s">
        <v>562</v>
      </c>
      <c r="H30" s="1" t="s">
        <v>563</v>
      </c>
      <c r="I30" s="1" t="s">
        <v>557</v>
      </c>
      <c r="J30" s="1">
        <v>0</v>
      </c>
      <c r="L30" s="1" t="s">
        <v>562</v>
      </c>
      <c r="M30" s="1" t="s">
        <v>563</v>
      </c>
      <c r="N30" s="1" t="s">
        <v>557</v>
      </c>
      <c r="O30" s="1">
        <v>0</v>
      </c>
    </row>
    <row r="31" spans="2:15">
      <c r="B31" s="1" t="s">
        <v>564</v>
      </c>
      <c r="C31" s="1" t="s">
        <v>565</v>
      </c>
      <c r="D31" s="1" t="s">
        <v>557</v>
      </c>
      <c r="E31" s="4">
        <f>((E27-E28)*E29)-E30</f>
        <v>7351.8192044387997</v>
      </c>
      <c r="F31" s="3"/>
      <c r="G31" s="1" t="s">
        <v>564</v>
      </c>
      <c r="H31" s="1" t="s">
        <v>565</v>
      </c>
      <c r="I31" s="1" t="s">
        <v>557</v>
      </c>
      <c r="J31" s="7">
        <f>((J27-J28)*J29)-J30</f>
        <v>4572.2272860482399</v>
      </c>
      <c r="L31" s="1" t="s">
        <v>564</v>
      </c>
      <c r="M31" s="1" t="s">
        <v>565</v>
      </c>
      <c r="N31" s="1" t="s">
        <v>557</v>
      </c>
      <c r="O31" s="7">
        <f>((O27-O28)*O29)-O30</f>
        <v>2779.5919183905589</v>
      </c>
    </row>
    <row r="32" spans="2:15">
      <c r="D32" s="5"/>
      <c r="F32" s="3"/>
      <c r="I32" s="5"/>
      <c r="N32" s="5"/>
    </row>
    <row r="33" spans="2:15">
      <c r="B33" s="251" t="s">
        <v>566</v>
      </c>
      <c r="C33" s="251"/>
      <c r="D33" s="251"/>
      <c r="E33" s="251"/>
      <c r="F33" s="3"/>
      <c r="G33" s="251" t="s">
        <v>566</v>
      </c>
      <c r="H33" s="251"/>
      <c r="I33" s="251"/>
      <c r="J33" s="251"/>
      <c r="L33" s="251" t="s">
        <v>566</v>
      </c>
      <c r="M33" s="251"/>
      <c r="N33" s="251"/>
      <c r="O33" s="251"/>
    </row>
    <row r="34" spans="2:15">
      <c r="B34" s="13" t="s">
        <v>567</v>
      </c>
      <c r="C34" s="1"/>
      <c r="D34" s="14"/>
      <c r="E34" s="23">
        <f>1-E35</f>
        <v>0.95</v>
      </c>
      <c r="F34" s="3"/>
      <c r="G34" s="13" t="s">
        <v>567</v>
      </c>
      <c r="H34" s="1"/>
      <c r="I34" s="14"/>
      <c r="J34" s="23">
        <f>1-J35</f>
        <v>0.95</v>
      </c>
      <c r="L34" s="13" t="s">
        <v>567</v>
      </c>
      <c r="M34" s="1"/>
      <c r="N34" s="14"/>
      <c r="O34" s="23">
        <f>1-O35</f>
        <v>0.95</v>
      </c>
    </row>
    <row r="35" spans="2:15">
      <c r="B35" s="13" t="s">
        <v>568</v>
      </c>
      <c r="C35" s="1" t="s">
        <v>569</v>
      </c>
      <c r="D35" s="14" t="s">
        <v>37</v>
      </c>
      <c r="E35" s="23">
        <v>0.05</v>
      </c>
      <c r="F35" s="3"/>
      <c r="G35" s="13" t="s">
        <v>568</v>
      </c>
      <c r="H35" s="1" t="s">
        <v>569</v>
      </c>
      <c r="I35" s="14" t="s">
        <v>37</v>
      </c>
      <c r="J35" s="23">
        <v>0.05</v>
      </c>
      <c r="L35" s="13" t="s">
        <v>568</v>
      </c>
      <c r="M35" s="1" t="s">
        <v>569</v>
      </c>
      <c r="N35" s="14" t="s">
        <v>37</v>
      </c>
      <c r="O35" s="23">
        <v>0.05</v>
      </c>
    </row>
    <row r="36" spans="2:15">
      <c r="B36" s="15" t="s">
        <v>564</v>
      </c>
      <c r="C36" s="15" t="s">
        <v>571</v>
      </c>
      <c r="D36" s="15" t="s">
        <v>557</v>
      </c>
      <c r="E36" s="25">
        <f>E31*(1-E35)</f>
        <v>6984.2282442168598</v>
      </c>
      <c r="F36" s="3"/>
      <c r="G36" s="15" t="s">
        <v>564</v>
      </c>
      <c r="H36" s="15" t="s">
        <v>571</v>
      </c>
      <c r="I36" s="15" t="s">
        <v>557</v>
      </c>
      <c r="J36" s="25">
        <f>J31*(1-J35)</f>
        <v>4343.615921745828</v>
      </c>
      <c r="L36" s="15" t="s">
        <v>564</v>
      </c>
      <c r="M36" s="15" t="s">
        <v>571</v>
      </c>
      <c r="N36" s="15" t="s">
        <v>557</v>
      </c>
      <c r="O36" s="25">
        <f>O31*(1-O35)</f>
        <v>2640.6123224710309</v>
      </c>
    </row>
    <row r="37" spans="2:15">
      <c r="B37" s="21" t="s">
        <v>580</v>
      </c>
      <c r="C37" s="20" t="s">
        <v>571</v>
      </c>
      <c r="D37" s="20" t="s">
        <v>557</v>
      </c>
      <c r="E37" s="26">
        <f>J37+O37</f>
        <v>6983</v>
      </c>
      <c r="F37" s="3"/>
      <c r="G37" s="21" t="s">
        <v>580</v>
      </c>
      <c r="H37" s="20" t="s">
        <v>571</v>
      </c>
      <c r="I37" s="20" t="s">
        <v>557</v>
      </c>
      <c r="J37" s="26">
        <f>_xlfn.FLOOR.MATH(J36)</f>
        <v>4343</v>
      </c>
      <c r="L37" s="21" t="s">
        <v>580</v>
      </c>
      <c r="M37" s="20" t="s">
        <v>571</v>
      </c>
      <c r="N37" s="20" t="s">
        <v>557</v>
      </c>
      <c r="O37" s="26">
        <f>_xlfn.FLOOR.MATH(O36)</f>
        <v>2640</v>
      </c>
    </row>
    <row r="38" spans="2:15">
      <c r="C38" s="252"/>
      <c r="D38" s="252"/>
      <c r="F38" s="3"/>
      <c r="H38" s="252"/>
      <c r="I38" s="252"/>
      <c r="M38" s="252"/>
      <c r="N38" s="252"/>
    </row>
    <row r="39" spans="2:15">
      <c r="I39" s="27"/>
    </row>
    <row r="41" spans="2:15">
      <c r="E41" s="16"/>
      <c r="J41" s="16"/>
      <c r="O41" s="16"/>
    </row>
  </sheetData>
  <mergeCells count="21">
    <mergeCell ref="C38:D38"/>
    <mergeCell ref="H38:I38"/>
    <mergeCell ref="M38:N38"/>
    <mergeCell ref="B26:E26"/>
    <mergeCell ref="G26:J26"/>
    <mergeCell ref="L26:O26"/>
    <mergeCell ref="B33:E33"/>
    <mergeCell ref="G33:J33"/>
    <mergeCell ref="L33:O33"/>
    <mergeCell ref="B12:E12"/>
    <mergeCell ref="G12:J12"/>
    <mergeCell ref="L12:O12"/>
    <mergeCell ref="B20:E20"/>
    <mergeCell ref="G20:J20"/>
    <mergeCell ref="L20:O20"/>
    <mergeCell ref="B2:E2"/>
    <mergeCell ref="G2:J2"/>
    <mergeCell ref="L2:O2"/>
    <mergeCell ref="B4:E4"/>
    <mergeCell ref="G4:J4"/>
    <mergeCell ref="L4:O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5B261-4779-4F15-961E-7D53802CCE60}">
  <dimension ref="A2:P41"/>
  <sheetViews>
    <sheetView topLeftCell="G1" workbookViewId="0">
      <selection activeCell="O7" sqref="O7"/>
    </sheetView>
  </sheetViews>
  <sheetFormatPr defaultRowHeight="14.25"/>
  <cols>
    <col min="2" max="2" width="60.7109375" bestFit="1" customWidth="1"/>
    <col min="3" max="3" width="18.28515625" bestFit="1" customWidth="1"/>
    <col min="4" max="4" width="12.42578125" bestFit="1" customWidth="1"/>
    <col min="5" max="5" width="12.7109375" customWidth="1"/>
    <col min="6" max="6" width="7.28515625" customWidth="1"/>
    <col min="7" max="7" width="60.7109375" bestFit="1" customWidth="1"/>
    <col min="8" max="8" width="18.28515625" bestFit="1" customWidth="1"/>
    <col min="9" max="9" width="12.42578125" bestFit="1" customWidth="1"/>
    <col min="10" max="10" width="12.5703125" customWidth="1"/>
    <col min="11" max="11" width="5" customWidth="1"/>
    <col min="12" max="12" width="60.7109375" bestFit="1" customWidth="1"/>
    <col min="13" max="13" width="18.28515625" bestFit="1" customWidth="1"/>
    <col min="14" max="14" width="12.42578125" bestFit="1" customWidth="1"/>
    <col min="15" max="15" width="12.28515625" customWidth="1"/>
  </cols>
  <sheetData>
    <row r="2" spans="1:16" ht="15" customHeight="1">
      <c r="B2" s="250" t="s">
        <v>573</v>
      </c>
      <c r="C2" s="250"/>
      <c r="D2" s="250"/>
      <c r="E2" s="250"/>
      <c r="G2" s="250" t="s">
        <v>574</v>
      </c>
      <c r="H2" s="250"/>
      <c r="I2" s="250"/>
      <c r="J2" s="250"/>
      <c r="L2" s="250" t="s">
        <v>575</v>
      </c>
      <c r="M2" s="250"/>
      <c r="N2" s="250"/>
      <c r="O2" s="250"/>
    </row>
    <row r="4" spans="1:16">
      <c r="A4" s="3"/>
      <c r="B4" s="248" t="s">
        <v>516</v>
      </c>
      <c r="C4" s="249"/>
      <c r="D4" s="249"/>
      <c r="E4" s="253"/>
      <c r="F4" s="3"/>
      <c r="G4" s="248" t="s">
        <v>516</v>
      </c>
      <c r="H4" s="249"/>
      <c r="I4" s="249"/>
      <c r="J4" s="253"/>
      <c r="K4" s="3"/>
      <c r="L4" s="248" t="s">
        <v>516</v>
      </c>
      <c r="M4" s="249"/>
      <c r="N4" s="249"/>
      <c r="O4" s="253"/>
      <c r="P4" s="3"/>
    </row>
    <row r="5" spans="1:16">
      <c r="B5" s="1" t="s">
        <v>517</v>
      </c>
      <c r="C5" s="1" t="s">
        <v>518</v>
      </c>
      <c r="D5" s="1" t="s">
        <v>519</v>
      </c>
      <c r="E5" s="37">
        <v>0.02</v>
      </c>
      <c r="F5" s="3"/>
      <c r="G5" s="1" t="s">
        <v>517</v>
      </c>
      <c r="H5" s="1" t="s">
        <v>518</v>
      </c>
      <c r="I5" s="1" t="s">
        <v>519</v>
      </c>
      <c r="J5" s="37">
        <v>0.02</v>
      </c>
      <c r="L5" s="1" t="s">
        <v>517</v>
      </c>
      <c r="M5" s="1" t="s">
        <v>518</v>
      </c>
      <c r="N5" s="1" t="s">
        <v>519</v>
      </c>
      <c r="O5" s="109">
        <f>J5</f>
        <v>0.02</v>
      </c>
    </row>
    <row r="6" spans="1:16">
      <c r="B6" s="1" t="s">
        <v>520</v>
      </c>
      <c r="C6" s="1" t="s">
        <v>521</v>
      </c>
      <c r="D6" s="1"/>
      <c r="E6" s="4">
        <f>'Total PTDs'!AM27</f>
        <v>1481715</v>
      </c>
      <c r="F6" s="3"/>
      <c r="G6" s="1" t="s">
        <v>520</v>
      </c>
      <c r="H6" s="1" t="s">
        <v>521</v>
      </c>
      <c r="I6" s="1"/>
      <c r="J6" s="4">
        <f>'Total PTDs'!AH27</f>
        <v>905730</v>
      </c>
      <c r="L6" s="1" t="s">
        <v>520</v>
      </c>
      <c r="M6" s="1" t="s">
        <v>521</v>
      </c>
      <c r="N6" s="1"/>
      <c r="O6" s="4">
        <f>'Total PTDs'!AL27</f>
        <v>575985</v>
      </c>
    </row>
    <row r="7" spans="1:16">
      <c r="B7" s="1" t="s">
        <v>522</v>
      </c>
      <c r="C7" s="1" t="s">
        <v>523</v>
      </c>
      <c r="D7" s="1" t="s">
        <v>524</v>
      </c>
      <c r="E7" s="12">
        <f>J7</f>
        <v>4.0000000000000002E-4</v>
      </c>
      <c r="F7" s="3"/>
      <c r="G7" s="1" t="s">
        <v>522</v>
      </c>
      <c r="H7" s="1" t="s">
        <v>523</v>
      </c>
      <c r="I7" s="1" t="s">
        <v>524</v>
      </c>
      <c r="J7" s="12">
        <v>4.0000000000000002E-4</v>
      </c>
      <c r="L7" s="1" t="s">
        <v>522</v>
      </c>
      <c r="M7" s="1" t="s">
        <v>523</v>
      </c>
      <c r="N7" s="1" t="s">
        <v>524</v>
      </c>
      <c r="O7" s="12">
        <f>J7</f>
        <v>4.0000000000000002E-4</v>
      </c>
    </row>
    <row r="8" spans="1:16" ht="28.5">
      <c r="B8" s="2" t="s">
        <v>577</v>
      </c>
      <c r="C8" s="1" t="s">
        <v>526</v>
      </c>
      <c r="D8" s="1" t="s">
        <v>527</v>
      </c>
      <c r="E8" s="1">
        <v>7.5</v>
      </c>
      <c r="F8" s="3"/>
      <c r="G8" s="2" t="s">
        <v>577</v>
      </c>
      <c r="H8" s="1" t="s">
        <v>526</v>
      </c>
      <c r="I8" s="1" t="s">
        <v>527</v>
      </c>
      <c r="J8" s="1">
        <v>7.5</v>
      </c>
      <c r="L8" s="2" t="s">
        <v>577</v>
      </c>
      <c r="M8" s="1" t="s">
        <v>526</v>
      </c>
      <c r="N8" s="1" t="s">
        <v>527</v>
      </c>
      <c r="O8" s="1">
        <v>7.5</v>
      </c>
    </row>
    <row r="9" spans="1:16">
      <c r="B9" s="2" t="s">
        <v>528</v>
      </c>
      <c r="C9" s="1" t="s">
        <v>529</v>
      </c>
      <c r="D9" s="1" t="s">
        <v>527</v>
      </c>
      <c r="E9" s="1">
        <v>0</v>
      </c>
      <c r="F9" s="3"/>
      <c r="G9" s="2" t="s">
        <v>528</v>
      </c>
      <c r="H9" s="1" t="s">
        <v>529</v>
      </c>
      <c r="I9" s="1" t="s">
        <v>527</v>
      </c>
      <c r="J9" s="1">
        <v>0</v>
      </c>
      <c r="L9" s="2" t="s">
        <v>528</v>
      </c>
      <c r="M9" s="1" t="s">
        <v>529</v>
      </c>
      <c r="N9" s="1" t="s">
        <v>527</v>
      </c>
      <c r="O9" s="1">
        <v>0</v>
      </c>
    </row>
    <row r="10" spans="1:16">
      <c r="B10" s="1" t="s">
        <v>530</v>
      </c>
      <c r="C10" s="1" t="s">
        <v>531</v>
      </c>
      <c r="D10" s="1" t="s">
        <v>532</v>
      </c>
      <c r="E10" s="4">
        <f>(1-E5)*E6*E7*(E8+E9)</f>
        <v>4356.2420999999995</v>
      </c>
      <c r="F10" s="3"/>
      <c r="G10" s="1" t="s">
        <v>530</v>
      </c>
      <c r="H10" s="1" t="s">
        <v>531</v>
      </c>
      <c r="I10" s="1" t="s">
        <v>532</v>
      </c>
      <c r="J10" s="7">
        <f>(1-J5)*J6*J7*(J8+J9)</f>
        <v>2662.8462000000004</v>
      </c>
      <c r="L10" s="1" t="s">
        <v>530</v>
      </c>
      <c r="M10" s="1" t="s">
        <v>531</v>
      </c>
      <c r="N10" s="1" t="s">
        <v>532</v>
      </c>
      <c r="O10" s="7">
        <f>(1-O5)*O6*O7*(O8+O9)</f>
        <v>1693.3959000000002</v>
      </c>
    </row>
    <row r="11" spans="1:16">
      <c r="F11" s="3"/>
    </row>
    <row r="12" spans="1:16">
      <c r="B12" s="248" t="s">
        <v>533</v>
      </c>
      <c r="C12" s="249"/>
      <c r="D12" s="249"/>
      <c r="E12" s="253"/>
      <c r="F12" s="3"/>
      <c r="G12" s="248" t="s">
        <v>533</v>
      </c>
      <c r="H12" s="249"/>
      <c r="I12" s="249"/>
      <c r="J12" s="253"/>
      <c r="L12" s="248" t="s">
        <v>533</v>
      </c>
      <c r="M12" s="249"/>
      <c r="N12" s="249"/>
      <c r="O12" s="253"/>
    </row>
    <row r="13" spans="1:16">
      <c r="B13" s="1" t="s">
        <v>534</v>
      </c>
      <c r="C13" s="1" t="s">
        <v>518</v>
      </c>
      <c r="D13" s="1" t="s">
        <v>519</v>
      </c>
      <c r="E13" s="37">
        <v>0.02</v>
      </c>
      <c r="F13" s="3"/>
      <c r="G13" s="1" t="s">
        <v>534</v>
      </c>
      <c r="H13" s="1" t="s">
        <v>518</v>
      </c>
      <c r="I13" s="1" t="s">
        <v>519</v>
      </c>
      <c r="J13" s="109">
        <f>J5</f>
        <v>0.02</v>
      </c>
      <c r="L13" s="1" t="s">
        <v>534</v>
      </c>
      <c r="M13" s="1" t="s">
        <v>518</v>
      </c>
      <c r="N13" s="1" t="s">
        <v>519</v>
      </c>
      <c r="O13" s="109">
        <f>O5</f>
        <v>0.02</v>
      </c>
    </row>
    <row r="14" spans="1:16">
      <c r="B14" s="1" t="s">
        <v>520</v>
      </c>
      <c r="C14" s="1" t="s">
        <v>521</v>
      </c>
      <c r="D14" s="1"/>
      <c r="E14" s="4">
        <f>E6</f>
        <v>1481715</v>
      </c>
      <c r="F14" s="3"/>
      <c r="G14" s="1" t="s">
        <v>520</v>
      </c>
      <c r="H14" s="1" t="s">
        <v>521</v>
      </c>
      <c r="I14" s="1"/>
      <c r="J14" s="4">
        <f>J6</f>
        <v>905730</v>
      </c>
      <c r="L14" s="1" t="s">
        <v>520</v>
      </c>
      <c r="M14" s="1" t="s">
        <v>521</v>
      </c>
      <c r="N14" s="1"/>
      <c r="O14" s="4">
        <f>O6</f>
        <v>575985</v>
      </c>
    </row>
    <row r="15" spans="1:16">
      <c r="B15" s="1" t="s">
        <v>535</v>
      </c>
      <c r="C15" s="1" t="s">
        <v>536</v>
      </c>
      <c r="D15" s="1" t="s">
        <v>524</v>
      </c>
      <c r="E15" s="12">
        <f>E7</f>
        <v>4.0000000000000002E-4</v>
      </c>
      <c r="F15" s="3"/>
      <c r="G15" s="1" t="s">
        <v>535</v>
      </c>
      <c r="H15" s="1" t="s">
        <v>536</v>
      </c>
      <c r="I15" s="1" t="s">
        <v>524</v>
      </c>
      <c r="J15" s="12">
        <f>J7</f>
        <v>4.0000000000000002E-4</v>
      </c>
      <c r="L15" s="1" t="s">
        <v>535</v>
      </c>
      <c r="M15" s="1" t="s">
        <v>536</v>
      </c>
      <c r="N15" s="1" t="s">
        <v>524</v>
      </c>
      <c r="O15" s="12">
        <f>O7</f>
        <v>4.0000000000000002E-4</v>
      </c>
    </row>
    <row r="16" spans="1:16">
      <c r="B16" s="1" t="s">
        <v>537</v>
      </c>
      <c r="C16" s="1" t="s">
        <v>529</v>
      </c>
      <c r="D16" s="1" t="s">
        <v>527</v>
      </c>
      <c r="E16" s="1">
        <v>0</v>
      </c>
      <c r="F16" s="3"/>
      <c r="G16" s="1" t="s">
        <v>537</v>
      </c>
      <c r="H16" s="1" t="s">
        <v>529</v>
      </c>
      <c r="I16" s="1" t="s">
        <v>527</v>
      </c>
      <c r="J16" s="1">
        <v>0</v>
      </c>
      <c r="L16" s="1" t="s">
        <v>537</v>
      </c>
      <c r="M16" s="1" t="s">
        <v>529</v>
      </c>
      <c r="N16" s="1" t="s">
        <v>527</v>
      </c>
      <c r="O16" s="1">
        <v>0</v>
      </c>
    </row>
    <row r="17" spans="2:15">
      <c r="B17" s="1" t="s">
        <v>538</v>
      </c>
      <c r="C17" s="1" t="s">
        <v>539</v>
      </c>
      <c r="D17" s="1" t="s">
        <v>527</v>
      </c>
      <c r="E17" s="22">
        <v>0</v>
      </c>
      <c r="F17" s="3"/>
      <c r="G17" s="1" t="s">
        <v>538</v>
      </c>
      <c r="H17" s="1" t="s">
        <v>539</v>
      </c>
      <c r="I17" s="1" t="s">
        <v>527</v>
      </c>
      <c r="J17" s="22">
        <v>0</v>
      </c>
      <c r="L17" s="1" t="s">
        <v>538</v>
      </c>
      <c r="M17" s="1" t="s">
        <v>539</v>
      </c>
      <c r="N17" s="1" t="s">
        <v>527</v>
      </c>
      <c r="O17" s="22">
        <v>0</v>
      </c>
    </row>
    <row r="18" spans="2:15">
      <c r="B18" s="1" t="s">
        <v>540</v>
      </c>
      <c r="C18" s="1" t="s">
        <v>541</v>
      </c>
      <c r="D18" s="1" t="s">
        <v>532</v>
      </c>
      <c r="E18" s="7">
        <f>(1-E13)*E14*E15*(E16+E17)</f>
        <v>0</v>
      </c>
      <c r="F18" s="3"/>
      <c r="G18" s="1" t="s">
        <v>540</v>
      </c>
      <c r="H18" s="1" t="s">
        <v>541</v>
      </c>
      <c r="I18" s="1" t="s">
        <v>532</v>
      </c>
      <c r="J18" s="7">
        <f>(1-J13)*J14*J15*(J16+J17)</f>
        <v>0</v>
      </c>
      <c r="L18" s="1" t="s">
        <v>540</v>
      </c>
      <c r="M18" s="1" t="s">
        <v>541</v>
      </c>
      <c r="N18" s="1" t="s">
        <v>532</v>
      </c>
      <c r="O18" s="7">
        <f>(1-O13)*O14*O15*(O16+O17)</f>
        <v>0</v>
      </c>
    </row>
    <row r="19" spans="2:15">
      <c r="F19" s="3"/>
    </row>
    <row r="20" spans="2:15">
      <c r="B20" s="248" t="s">
        <v>542</v>
      </c>
      <c r="C20" s="249"/>
      <c r="D20" s="249"/>
      <c r="E20" s="253"/>
      <c r="F20" s="3"/>
      <c r="G20" s="248" t="s">
        <v>542</v>
      </c>
      <c r="H20" s="249"/>
      <c r="I20" s="249"/>
      <c r="J20" s="253"/>
      <c r="L20" s="248" t="s">
        <v>542</v>
      </c>
      <c r="M20" s="249"/>
      <c r="N20" s="249"/>
      <c r="O20" s="253"/>
    </row>
    <row r="21" spans="2:15">
      <c r="B21" s="2" t="s">
        <v>543</v>
      </c>
      <c r="C21" s="1" t="s">
        <v>543</v>
      </c>
      <c r="D21" s="1" t="s">
        <v>544</v>
      </c>
      <c r="E21" s="8">
        <v>0.95</v>
      </c>
      <c r="F21" s="3"/>
      <c r="G21" s="2" t="s">
        <v>543</v>
      </c>
      <c r="H21" s="1" t="s">
        <v>543</v>
      </c>
      <c r="I21" s="1" t="s">
        <v>544</v>
      </c>
      <c r="J21" s="8">
        <v>0.95</v>
      </c>
      <c r="L21" s="2" t="s">
        <v>543</v>
      </c>
      <c r="M21" s="1" t="s">
        <v>543</v>
      </c>
      <c r="N21" s="1" t="s">
        <v>544</v>
      </c>
      <c r="O21" s="8">
        <v>0.95</v>
      </c>
    </row>
    <row r="22" spans="2:15">
      <c r="B22" s="1" t="s">
        <v>545</v>
      </c>
      <c r="C22" s="1" t="s">
        <v>546</v>
      </c>
      <c r="D22" s="1" t="s">
        <v>547</v>
      </c>
      <c r="E22" s="1">
        <v>112</v>
      </c>
      <c r="F22" s="3"/>
      <c r="G22" s="1" t="s">
        <v>545</v>
      </c>
      <c r="H22" s="1" t="s">
        <v>546</v>
      </c>
      <c r="I22" s="1" t="s">
        <v>547</v>
      </c>
      <c r="J22" s="1">
        <v>112</v>
      </c>
      <c r="L22" s="1" t="s">
        <v>545</v>
      </c>
      <c r="M22" s="1" t="s">
        <v>546</v>
      </c>
      <c r="N22" s="1" t="s">
        <v>547</v>
      </c>
      <c r="O22" s="1">
        <v>112</v>
      </c>
    </row>
    <row r="23" spans="2:15">
      <c r="B23" s="1" t="s">
        <v>578</v>
      </c>
      <c r="C23" s="1" t="s">
        <v>549</v>
      </c>
      <c r="D23" s="1" t="s">
        <v>550</v>
      </c>
      <c r="E23" s="161">
        <f>(J6*J23+O6*O23)/E6</f>
        <v>9.4600000000000009</v>
      </c>
      <c r="F23" s="3"/>
      <c r="G23" s="1" t="s">
        <v>548</v>
      </c>
      <c r="H23" s="1" t="s">
        <v>549</v>
      </c>
      <c r="I23" s="1" t="s">
        <v>550</v>
      </c>
      <c r="J23" s="1">
        <v>9.4600000000000009</v>
      </c>
      <c r="L23" s="1" t="s">
        <v>548</v>
      </c>
      <c r="M23" s="1" t="s">
        <v>549</v>
      </c>
      <c r="N23" s="1" t="s">
        <v>550</v>
      </c>
      <c r="O23" s="1">
        <f>9.46</f>
        <v>9.4600000000000009</v>
      </c>
    </row>
    <row r="24" spans="2:15">
      <c r="B24" s="1" t="s">
        <v>551</v>
      </c>
      <c r="C24" s="1" t="s">
        <v>552</v>
      </c>
      <c r="D24" s="1" t="s">
        <v>553</v>
      </c>
      <c r="E24" s="1">
        <f>0.0156</f>
        <v>1.5599999999999999E-2</v>
      </c>
      <c r="F24" s="3"/>
      <c r="G24" s="1" t="s">
        <v>551</v>
      </c>
      <c r="H24" s="1" t="s">
        <v>552</v>
      </c>
      <c r="I24" s="1" t="s">
        <v>553</v>
      </c>
      <c r="J24" s="1">
        <v>1.5599999999999999E-2</v>
      </c>
      <c r="L24" s="1" t="s">
        <v>551</v>
      </c>
      <c r="M24" s="1" t="s">
        <v>552</v>
      </c>
      <c r="N24" s="1" t="s">
        <v>553</v>
      </c>
      <c r="O24" s="1">
        <v>1.5599999999999999E-2</v>
      </c>
    </row>
    <row r="25" spans="2:15">
      <c r="F25" s="3"/>
    </row>
    <row r="26" spans="2:15">
      <c r="B26" s="248" t="s">
        <v>554</v>
      </c>
      <c r="C26" s="249"/>
      <c r="D26" s="249"/>
      <c r="E26" s="253"/>
      <c r="F26" s="3"/>
      <c r="G26" s="248" t="s">
        <v>554</v>
      </c>
      <c r="H26" s="249"/>
      <c r="I26" s="249"/>
      <c r="J26" s="253"/>
      <c r="L26" s="248" t="s">
        <v>554</v>
      </c>
      <c r="M26" s="249"/>
      <c r="N26" s="249"/>
      <c r="O26" s="253"/>
    </row>
    <row r="27" spans="2:15">
      <c r="B27" s="1" t="s">
        <v>555</v>
      </c>
      <c r="C27" s="1" t="s">
        <v>556</v>
      </c>
      <c r="D27" s="1" t="s">
        <v>557</v>
      </c>
      <c r="E27" s="4">
        <f>E10*((E22*E21)+E23)*E24</f>
        <v>7873.5416714135981</v>
      </c>
      <c r="F27" s="3"/>
      <c r="G27" s="1" t="s">
        <v>555</v>
      </c>
      <c r="H27" s="1" t="s">
        <v>556</v>
      </c>
      <c r="I27" s="1" t="s">
        <v>557</v>
      </c>
      <c r="J27" s="4">
        <f>J10*((J22*J21)+J23)*J24</f>
        <v>4812.8708274192004</v>
      </c>
      <c r="L27" s="1" t="s">
        <v>555</v>
      </c>
      <c r="M27" s="1" t="s">
        <v>556</v>
      </c>
      <c r="N27" s="1" t="s">
        <v>557</v>
      </c>
      <c r="O27" s="4">
        <f>O10*((O22*O21)+O23)*O24</f>
        <v>3060.6708439943995</v>
      </c>
    </row>
    <row r="28" spans="2:15">
      <c r="B28" s="1" t="s">
        <v>558</v>
      </c>
      <c r="C28" s="1" t="s">
        <v>559</v>
      </c>
      <c r="D28" s="1" t="s">
        <v>557</v>
      </c>
      <c r="E28" s="4">
        <f>E18*((E22*E21)+E23)*E24</f>
        <v>0</v>
      </c>
      <c r="F28" s="3"/>
      <c r="G28" s="1" t="s">
        <v>558</v>
      </c>
      <c r="H28" s="1" t="s">
        <v>559</v>
      </c>
      <c r="I28" s="1" t="s">
        <v>557</v>
      </c>
      <c r="J28" s="4">
        <f>J18*((J22*J21)+J23)*J24</f>
        <v>0</v>
      </c>
      <c r="L28" s="1" t="s">
        <v>558</v>
      </c>
      <c r="M28" s="1" t="s">
        <v>559</v>
      </c>
      <c r="N28" s="1" t="s">
        <v>557</v>
      </c>
      <c r="O28" s="4">
        <f>O18*((O22*O21)+O23)*O24</f>
        <v>0</v>
      </c>
    </row>
    <row r="29" spans="2:15">
      <c r="B29" s="1" t="s">
        <v>579</v>
      </c>
      <c r="C29" s="1" t="s">
        <v>561</v>
      </c>
      <c r="D29" s="1" t="s">
        <v>519</v>
      </c>
      <c r="E29" s="1">
        <v>0.95</v>
      </c>
      <c r="F29" s="3"/>
      <c r="G29" s="1" t="s">
        <v>579</v>
      </c>
      <c r="H29" s="1" t="s">
        <v>561</v>
      </c>
      <c r="I29" s="1" t="s">
        <v>519</v>
      </c>
      <c r="J29" s="1">
        <v>0.95</v>
      </c>
      <c r="L29" s="1" t="s">
        <v>579</v>
      </c>
      <c r="M29" s="1" t="s">
        <v>561</v>
      </c>
      <c r="N29" s="1" t="s">
        <v>519</v>
      </c>
      <c r="O29" s="1">
        <v>0.95</v>
      </c>
    </row>
    <row r="30" spans="2:15">
      <c r="B30" s="1" t="s">
        <v>562</v>
      </c>
      <c r="C30" s="1" t="s">
        <v>563</v>
      </c>
      <c r="D30" s="1" t="s">
        <v>557</v>
      </c>
      <c r="E30" s="1">
        <v>0</v>
      </c>
      <c r="F30" s="3"/>
      <c r="G30" s="1" t="s">
        <v>562</v>
      </c>
      <c r="H30" s="1" t="s">
        <v>563</v>
      </c>
      <c r="I30" s="1" t="s">
        <v>557</v>
      </c>
      <c r="J30" s="1">
        <v>0</v>
      </c>
      <c r="L30" s="1" t="s">
        <v>562</v>
      </c>
      <c r="M30" s="1" t="s">
        <v>563</v>
      </c>
      <c r="N30" s="1" t="s">
        <v>557</v>
      </c>
      <c r="O30" s="1">
        <v>0</v>
      </c>
    </row>
    <row r="31" spans="2:15">
      <c r="B31" s="1" t="s">
        <v>564</v>
      </c>
      <c r="C31" s="1" t="s">
        <v>565</v>
      </c>
      <c r="D31" s="1" t="s">
        <v>557</v>
      </c>
      <c r="E31" s="4">
        <f>((E27-E28)*E29)-E30</f>
        <v>7479.8645878429179</v>
      </c>
      <c r="F31" s="3"/>
      <c r="G31" s="1" t="s">
        <v>564</v>
      </c>
      <c r="H31" s="1" t="s">
        <v>565</v>
      </c>
      <c r="I31" s="1" t="s">
        <v>557</v>
      </c>
      <c r="J31" s="7">
        <f>((J27-J28)*J29)-J30</f>
        <v>4572.2272860482399</v>
      </c>
      <c r="L31" s="1" t="s">
        <v>564</v>
      </c>
      <c r="M31" s="1" t="s">
        <v>565</v>
      </c>
      <c r="N31" s="1" t="s">
        <v>557</v>
      </c>
      <c r="O31" s="7">
        <f>((O27-O28)*O29)-O30</f>
        <v>2907.6373017946794</v>
      </c>
    </row>
    <row r="32" spans="2:15">
      <c r="D32" s="5"/>
      <c r="F32" s="3"/>
      <c r="I32" s="5"/>
      <c r="N32" s="5"/>
    </row>
    <row r="33" spans="2:15">
      <c r="B33" s="251" t="s">
        <v>566</v>
      </c>
      <c r="C33" s="251"/>
      <c r="D33" s="251"/>
      <c r="E33" s="251"/>
      <c r="F33" s="3"/>
      <c r="G33" s="251" t="s">
        <v>566</v>
      </c>
      <c r="H33" s="251"/>
      <c r="I33" s="251"/>
      <c r="J33" s="251"/>
      <c r="L33" s="251" t="s">
        <v>566</v>
      </c>
      <c r="M33" s="251"/>
      <c r="N33" s="251"/>
      <c r="O33" s="251"/>
    </row>
    <row r="34" spans="2:15">
      <c r="B34" s="13" t="s">
        <v>567</v>
      </c>
      <c r="C34" s="1"/>
      <c r="D34" s="14"/>
      <c r="E34" s="23">
        <f>1-E35</f>
        <v>0.95</v>
      </c>
      <c r="F34" s="3"/>
      <c r="G34" s="13" t="s">
        <v>567</v>
      </c>
      <c r="H34" s="1"/>
      <c r="I34" s="14"/>
      <c r="J34" s="23">
        <f>1-J35</f>
        <v>0.95</v>
      </c>
      <c r="L34" s="13" t="s">
        <v>567</v>
      </c>
      <c r="M34" s="1"/>
      <c r="N34" s="14"/>
      <c r="O34" s="23">
        <f>1-O35</f>
        <v>0.95</v>
      </c>
    </row>
    <row r="35" spans="2:15">
      <c r="B35" s="13" t="s">
        <v>568</v>
      </c>
      <c r="C35" s="1" t="s">
        <v>569</v>
      </c>
      <c r="D35" s="14" t="s">
        <v>37</v>
      </c>
      <c r="E35" s="23">
        <v>0.05</v>
      </c>
      <c r="F35" s="3"/>
      <c r="G35" s="13" t="s">
        <v>568</v>
      </c>
      <c r="H35" s="1" t="s">
        <v>569</v>
      </c>
      <c r="I35" s="14" t="s">
        <v>37</v>
      </c>
      <c r="J35" s="23">
        <v>0.05</v>
      </c>
      <c r="L35" s="13" t="s">
        <v>568</v>
      </c>
      <c r="M35" s="1" t="s">
        <v>569</v>
      </c>
      <c r="N35" s="14" t="s">
        <v>37</v>
      </c>
      <c r="O35" s="23">
        <v>0.05</v>
      </c>
    </row>
    <row r="36" spans="2:15">
      <c r="B36" s="15" t="s">
        <v>564</v>
      </c>
      <c r="C36" s="15" t="s">
        <v>571</v>
      </c>
      <c r="D36" s="15" t="s">
        <v>557</v>
      </c>
      <c r="E36" s="25">
        <f>E31*(1-E35)</f>
        <v>7105.8713584507714</v>
      </c>
      <c r="F36" s="3"/>
      <c r="G36" s="15" t="s">
        <v>564</v>
      </c>
      <c r="H36" s="15" t="s">
        <v>571</v>
      </c>
      <c r="I36" s="15" t="s">
        <v>557</v>
      </c>
      <c r="J36" s="25">
        <f>J31*(1-J35)</f>
        <v>4343.615921745828</v>
      </c>
      <c r="L36" s="15" t="s">
        <v>564</v>
      </c>
      <c r="M36" s="15" t="s">
        <v>571</v>
      </c>
      <c r="N36" s="15" t="s">
        <v>557</v>
      </c>
      <c r="O36" s="25">
        <f>O31*(1-O35)</f>
        <v>2762.2554367049452</v>
      </c>
    </row>
    <row r="37" spans="2:15">
      <c r="B37" s="21" t="s">
        <v>580</v>
      </c>
      <c r="C37" s="20" t="s">
        <v>571</v>
      </c>
      <c r="D37" s="20" t="s">
        <v>557</v>
      </c>
      <c r="E37" s="26">
        <f>J37+O37</f>
        <v>7105</v>
      </c>
      <c r="F37" s="3"/>
      <c r="G37" s="21" t="s">
        <v>580</v>
      </c>
      <c r="H37" s="20" t="s">
        <v>571</v>
      </c>
      <c r="I37" s="20" t="s">
        <v>557</v>
      </c>
      <c r="J37" s="26">
        <f>_xlfn.FLOOR.MATH(J36)</f>
        <v>4343</v>
      </c>
      <c r="L37" s="21" t="s">
        <v>580</v>
      </c>
      <c r="M37" s="20" t="s">
        <v>571</v>
      </c>
      <c r="N37" s="20" t="s">
        <v>557</v>
      </c>
      <c r="O37" s="26">
        <f>_xlfn.FLOOR.MATH(O36)</f>
        <v>2762</v>
      </c>
    </row>
    <row r="38" spans="2:15">
      <c r="C38" s="252"/>
      <c r="D38" s="252"/>
      <c r="F38" s="3"/>
      <c r="H38" s="252"/>
      <c r="I38" s="252"/>
      <c r="M38" s="252"/>
      <c r="N38" s="252"/>
    </row>
    <row r="39" spans="2:15">
      <c r="I39" s="27"/>
    </row>
    <row r="41" spans="2:15">
      <c r="E41" s="16"/>
      <c r="J41" s="16"/>
      <c r="O41" s="16"/>
    </row>
  </sheetData>
  <mergeCells count="21">
    <mergeCell ref="C38:D38"/>
    <mergeCell ref="H38:I38"/>
    <mergeCell ref="M38:N38"/>
    <mergeCell ref="B26:E26"/>
    <mergeCell ref="G26:J26"/>
    <mergeCell ref="L26:O26"/>
    <mergeCell ref="B33:E33"/>
    <mergeCell ref="G33:J33"/>
    <mergeCell ref="L33:O33"/>
    <mergeCell ref="B12:E12"/>
    <mergeCell ref="G12:J12"/>
    <mergeCell ref="L12:O12"/>
    <mergeCell ref="B20:E20"/>
    <mergeCell ref="G20:J20"/>
    <mergeCell ref="L20:O20"/>
    <mergeCell ref="B2:E2"/>
    <mergeCell ref="G2:J2"/>
    <mergeCell ref="L2:O2"/>
    <mergeCell ref="B4:E4"/>
    <mergeCell ref="G4:J4"/>
    <mergeCell ref="L4:O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F2F5-9A6C-4CE1-9E44-66C49E908B0D}">
  <dimension ref="A2:P39"/>
  <sheetViews>
    <sheetView topLeftCell="A6" workbookViewId="0">
      <selection activeCell="G42" sqref="G42"/>
    </sheetView>
  </sheetViews>
  <sheetFormatPr defaultRowHeight="14.25"/>
  <cols>
    <col min="2" max="2" width="60.7109375" bestFit="1" customWidth="1"/>
    <col min="3" max="3" width="18.28515625" bestFit="1" customWidth="1"/>
    <col min="4" max="4" width="12.42578125" bestFit="1" customWidth="1"/>
    <col min="5" max="5" width="12.7109375" customWidth="1"/>
    <col min="6" max="6" width="9.28515625" customWidth="1"/>
    <col min="7" max="7" width="60.7109375" bestFit="1" customWidth="1"/>
    <col min="8" max="8" width="18.28515625" bestFit="1" customWidth="1"/>
    <col min="9" max="9" width="12.42578125" bestFit="1" customWidth="1"/>
    <col min="10" max="10" width="12.5703125" customWidth="1"/>
    <col min="11" max="11" width="5" customWidth="1"/>
    <col min="12" max="12" width="60.7109375" bestFit="1" customWidth="1"/>
    <col min="13" max="13" width="18.28515625" bestFit="1" customWidth="1"/>
    <col min="14" max="14" width="12.42578125" bestFit="1" customWidth="1"/>
    <col min="15" max="15" width="12.28515625" customWidth="1"/>
  </cols>
  <sheetData>
    <row r="2" spans="1:16" ht="15" customHeight="1">
      <c r="B2" s="250" t="s">
        <v>582</v>
      </c>
      <c r="C2" s="250"/>
      <c r="D2" s="250"/>
      <c r="E2" s="250"/>
      <c r="G2" s="250" t="s">
        <v>574</v>
      </c>
      <c r="H2" s="250"/>
      <c r="I2" s="250"/>
      <c r="J2" s="250"/>
      <c r="L2" s="250" t="s">
        <v>575</v>
      </c>
      <c r="M2" s="250"/>
      <c r="N2" s="250"/>
      <c r="O2" s="250"/>
    </row>
    <row r="4" spans="1:16">
      <c r="A4" s="3"/>
      <c r="B4" s="248" t="s">
        <v>516</v>
      </c>
      <c r="C4" s="249"/>
      <c r="D4" s="249"/>
      <c r="E4" s="253"/>
      <c r="F4" s="3"/>
      <c r="G4" s="248" t="s">
        <v>516</v>
      </c>
      <c r="H4" s="249"/>
      <c r="I4" s="249"/>
      <c r="J4" s="253"/>
      <c r="K4" s="3"/>
      <c r="L4" s="248" t="s">
        <v>516</v>
      </c>
      <c r="M4" s="249"/>
      <c r="N4" s="249"/>
      <c r="O4" s="253"/>
      <c r="P4" s="3"/>
    </row>
    <row r="5" spans="1:16">
      <c r="B5" s="1" t="s">
        <v>517</v>
      </c>
      <c r="C5" s="1" t="s">
        <v>518</v>
      </c>
      <c r="D5" s="1" t="s">
        <v>519</v>
      </c>
      <c r="E5" s="233">
        <v>5.3999999999999999E-2</v>
      </c>
      <c r="F5" s="3"/>
      <c r="G5" s="1" t="s">
        <v>517</v>
      </c>
      <c r="H5" s="1" t="s">
        <v>518</v>
      </c>
      <c r="I5" s="1" t="s">
        <v>519</v>
      </c>
      <c r="J5" s="233">
        <v>5.3999999999999999E-2</v>
      </c>
      <c r="L5" s="1" t="s">
        <v>517</v>
      </c>
      <c r="M5" s="1" t="s">
        <v>518</v>
      </c>
      <c r="N5" s="1" t="s">
        <v>519</v>
      </c>
      <c r="O5" s="235">
        <f>J5</f>
        <v>5.3999999999999999E-2</v>
      </c>
    </row>
    <row r="6" spans="1:16">
      <c r="B6" s="1" t="s">
        <v>581</v>
      </c>
      <c r="C6" s="1" t="s">
        <v>521</v>
      </c>
      <c r="D6" s="1"/>
      <c r="E6" s="4">
        <f>'Total PTDs'!AM28</f>
        <v>2122227</v>
      </c>
      <c r="F6" s="3"/>
      <c r="G6" s="1" t="s">
        <v>520</v>
      </c>
      <c r="H6" s="1" t="s">
        <v>521</v>
      </c>
      <c r="I6" s="1"/>
      <c r="J6" s="4">
        <f>'Total PTDs'!AH28</f>
        <v>1330984</v>
      </c>
      <c r="L6" s="1" t="s">
        <v>520</v>
      </c>
      <c r="M6" s="1" t="s">
        <v>521</v>
      </c>
      <c r="N6" s="1"/>
      <c r="O6" s="4">
        <f>'Total PTDs'!AL28</f>
        <v>791243</v>
      </c>
    </row>
    <row r="7" spans="1:16">
      <c r="B7" s="1" t="s">
        <v>522</v>
      </c>
      <c r="C7" s="1" t="s">
        <v>523</v>
      </c>
      <c r="D7" s="1" t="s">
        <v>524</v>
      </c>
      <c r="E7" s="12">
        <f>J7</f>
        <v>4.0000000000000002E-4</v>
      </c>
      <c r="F7" s="3"/>
      <c r="G7" s="1" t="s">
        <v>522</v>
      </c>
      <c r="H7" s="1" t="s">
        <v>523</v>
      </c>
      <c r="I7" s="1" t="s">
        <v>524</v>
      </c>
      <c r="J7" s="12">
        <v>4.0000000000000002E-4</v>
      </c>
      <c r="L7" s="1" t="s">
        <v>522</v>
      </c>
      <c r="M7" s="1" t="s">
        <v>523</v>
      </c>
      <c r="N7" s="1" t="s">
        <v>524</v>
      </c>
      <c r="O7" s="12">
        <f>J7</f>
        <v>4.0000000000000002E-4</v>
      </c>
    </row>
    <row r="8" spans="1:16" ht="28.5">
      <c r="B8" s="2" t="s">
        <v>577</v>
      </c>
      <c r="C8" s="1" t="s">
        <v>526</v>
      </c>
      <c r="D8" s="1" t="s">
        <v>527</v>
      </c>
      <c r="E8" s="1">
        <v>7</v>
      </c>
      <c r="F8" s="3"/>
      <c r="G8" s="2" t="s">
        <v>577</v>
      </c>
      <c r="H8" s="1" t="s">
        <v>526</v>
      </c>
      <c r="I8" s="1" t="s">
        <v>527</v>
      </c>
      <c r="J8" s="1">
        <v>7</v>
      </c>
      <c r="L8" s="2" t="s">
        <v>577</v>
      </c>
      <c r="M8" s="1" t="s">
        <v>526</v>
      </c>
      <c r="N8" s="1" t="s">
        <v>527</v>
      </c>
      <c r="O8" s="1">
        <v>7</v>
      </c>
    </row>
    <row r="9" spans="1:16">
      <c r="B9" s="2" t="s">
        <v>528</v>
      </c>
      <c r="C9" s="1" t="s">
        <v>529</v>
      </c>
      <c r="D9" s="1" t="s">
        <v>527</v>
      </c>
      <c r="E9" s="1">
        <v>0</v>
      </c>
      <c r="F9" s="3"/>
      <c r="G9" s="2" t="s">
        <v>528</v>
      </c>
      <c r="H9" s="1" t="s">
        <v>529</v>
      </c>
      <c r="I9" s="1" t="s">
        <v>527</v>
      </c>
      <c r="J9" s="1">
        <v>0</v>
      </c>
      <c r="L9" s="2" t="s">
        <v>528</v>
      </c>
      <c r="M9" s="1" t="s">
        <v>529</v>
      </c>
      <c r="N9" s="1" t="s">
        <v>527</v>
      </c>
      <c r="O9" s="1">
        <v>0</v>
      </c>
    </row>
    <row r="10" spans="1:16">
      <c r="B10" s="1" t="s">
        <v>530</v>
      </c>
      <c r="C10" s="1" t="s">
        <v>531</v>
      </c>
      <c r="D10" s="1" t="s">
        <v>532</v>
      </c>
      <c r="E10" s="4">
        <f>(1-E5)*E6*E7*(E8+E9)</f>
        <v>5621.3548775999998</v>
      </c>
      <c r="F10" s="3"/>
      <c r="G10" s="1" t="s">
        <v>530</v>
      </c>
      <c r="H10" s="1" t="s">
        <v>531</v>
      </c>
      <c r="I10" s="1" t="s">
        <v>532</v>
      </c>
      <c r="J10" s="7">
        <f>(1-J5)*J6*J7*(J8+J9)</f>
        <v>3525.5104191999999</v>
      </c>
      <c r="L10" s="1" t="s">
        <v>530</v>
      </c>
      <c r="M10" s="1" t="s">
        <v>531</v>
      </c>
      <c r="N10" s="1" t="s">
        <v>532</v>
      </c>
      <c r="O10" s="7">
        <f>(1-O5)*O6*O7*(O8+O9)</f>
        <v>2095.8444583999999</v>
      </c>
    </row>
    <row r="11" spans="1:16">
      <c r="F11" s="3"/>
    </row>
    <row r="12" spans="1:16">
      <c r="B12" s="248" t="s">
        <v>533</v>
      </c>
      <c r="C12" s="249"/>
      <c r="D12" s="249"/>
      <c r="E12" s="253"/>
      <c r="F12" s="3"/>
      <c r="G12" s="248" t="s">
        <v>533</v>
      </c>
      <c r="H12" s="249"/>
      <c r="I12" s="249"/>
      <c r="J12" s="253"/>
      <c r="L12" s="248" t="s">
        <v>533</v>
      </c>
      <c r="M12" s="249"/>
      <c r="N12" s="249"/>
      <c r="O12" s="253"/>
    </row>
    <row r="13" spans="1:16">
      <c r="B13" s="1" t="s">
        <v>534</v>
      </c>
      <c r="C13" s="1" t="s">
        <v>518</v>
      </c>
      <c r="D13" s="1" t="s">
        <v>519</v>
      </c>
      <c r="E13" s="233">
        <f>E5</f>
        <v>5.3999999999999999E-2</v>
      </c>
      <c r="F13" s="234"/>
      <c r="G13" s="235" t="s">
        <v>534</v>
      </c>
      <c r="H13" s="235" t="s">
        <v>518</v>
      </c>
      <c r="I13" s="235" t="s">
        <v>519</v>
      </c>
      <c r="J13" s="235">
        <f>J5</f>
        <v>5.3999999999999999E-2</v>
      </c>
      <c r="K13" s="236"/>
      <c r="L13" s="235" t="s">
        <v>534</v>
      </c>
      <c r="M13" s="235" t="s">
        <v>518</v>
      </c>
      <c r="N13" s="235" t="s">
        <v>519</v>
      </c>
      <c r="O13" s="235">
        <f>O5</f>
        <v>5.3999999999999999E-2</v>
      </c>
    </row>
    <row r="14" spans="1:16">
      <c r="B14" s="1" t="s">
        <v>520</v>
      </c>
      <c r="C14" s="1" t="s">
        <v>521</v>
      </c>
      <c r="D14" s="1"/>
      <c r="E14" s="4">
        <f>E6</f>
        <v>2122227</v>
      </c>
      <c r="F14" s="3"/>
      <c r="G14" s="1" t="s">
        <v>520</v>
      </c>
      <c r="H14" s="1" t="s">
        <v>521</v>
      </c>
      <c r="I14" s="1"/>
      <c r="J14" s="4">
        <f>J6</f>
        <v>1330984</v>
      </c>
      <c r="L14" s="1" t="s">
        <v>520</v>
      </c>
      <c r="M14" s="1" t="s">
        <v>521</v>
      </c>
      <c r="N14" s="1"/>
      <c r="O14" s="4">
        <f>O6</f>
        <v>791243</v>
      </c>
    </row>
    <row r="15" spans="1:16">
      <c r="B15" s="1" t="s">
        <v>535</v>
      </c>
      <c r="C15" s="1" t="s">
        <v>536</v>
      </c>
      <c r="D15" s="1" t="s">
        <v>524</v>
      </c>
      <c r="E15" s="12">
        <f>E7</f>
        <v>4.0000000000000002E-4</v>
      </c>
      <c r="F15" s="3"/>
      <c r="G15" s="1" t="s">
        <v>535</v>
      </c>
      <c r="H15" s="1" t="s">
        <v>536</v>
      </c>
      <c r="I15" s="1" t="s">
        <v>524</v>
      </c>
      <c r="J15" s="12">
        <f>J7</f>
        <v>4.0000000000000002E-4</v>
      </c>
      <c r="L15" s="1" t="s">
        <v>535</v>
      </c>
      <c r="M15" s="1" t="s">
        <v>536</v>
      </c>
      <c r="N15" s="1" t="s">
        <v>524</v>
      </c>
      <c r="O15" s="12">
        <f>O7</f>
        <v>4.0000000000000002E-4</v>
      </c>
    </row>
    <row r="16" spans="1:16">
      <c r="B16" s="1" t="s">
        <v>537</v>
      </c>
      <c r="C16" s="1" t="s">
        <v>529</v>
      </c>
      <c r="D16" s="1" t="s">
        <v>527</v>
      </c>
      <c r="E16" s="1">
        <v>0</v>
      </c>
      <c r="F16" s="3"/>
      <c r="G16" s="1" t="s">
        <v>537</v>
      </c>
      <c r="H16" s="1" t="s">
        <v>529</v>
      </c>
      <c r="I16" s="1" t="s">
        <v>527</v>
      </c>
      <c r="J16" s="1">
        <v>0</v>
      </c>
      <c r="L16" s="1" t="s">
        <v>537</v>
      </c>
      <c r="M16" s="1" t="s">
        <v>529</v>
      </c>
      <c r="N16" s="1" t="s">
        <v>527</v>
      </c>
      <c r="O16" s="1">
        <v>0</v>
      </c>
    </row>
    <row r="17" spans="2:15">
      <c r="B17" s="1" t="s">
        <v>538</v>
      </c>
      <c r="C17" s="1" t="s">
        <v>539</v>
      </c>
      <c r="D17" s="1" t="s">
        <v>527</v>
      </c>
      <c r="E17" s="22">
        <v>0</v>
      </c>
      <c r="F17" s="3"/>
      <c r="G17" s="1" t="s">
        <v>538</v>
      </c>
      <c r="H17" s="1" t="s">
        <v>539</v>
      </c>
      <c r="I17" s="1" t="s">
        <v>527</v>
      </c>
      <c r="J17" s="22">
        <v>0</v>
      </c>
      <c r="L17" s="1" t="s">
        <v>538</v>
      </c>
      <c r="M17" s="1" t="s">
        <v>539</v>
      </c>
      <c r="N17" s="1" t="s">
        <v>527</v>
      </c>
      <c r="O17" s="22">
        <v>0</v>
      </c>
    </row>
    <row r="18" spans="2:15">
      <c r="B18" s="1" t="s">
        <v>540</v>
      </c>
      <c r="C18" s="1" t="s">
        <v>541</v>
      </c>
      <c r="D18" s="1" t="s">
        <v>532</v>
      </c>
      <c r="E18" s="7">
        <f>(1-E13)*E14*E15*(E16+E17)</f>
        <v>0</v>
      </c>
      <c r="F18" s="3"/>
      <c r="G18" s="1" t="s">
        <v>540</v>
      </c>
      <c r="H18" s="1" t="s">
        <v>541</v>
      </c>
      <c r="I18" s="1" t="s">
        <v>532</v>
      </c>
      <c r="J18" s="7">
        <f>(1-J13)*J14*J15*(J16+J17)</f>
        <v>0</v>
      </c>
      <c r="L18" s="1" t="s">
        <v>540</v>
      </c>
      <c r="M18" s="1" t="s">
        <v>541</v>
      </c>
      <c r="N18" s="1" t="s">
        <v>532</v>
      </c>
      <c r="O18" s="7">
        <f>(1-O13)*O14*O15*(O16+O17)</f>
        <v>0</v>
      </c>
    </row>
    <row r="19" spans="2:15">
      <c r="F19" s="3"/>
    </row>
    <row r="20" spans="2:15">
      <c r="B20" s="248" t="s">
        <v>542</v>
      </c>
      <c r="C20" s="249"/>
      <c r="D20" s="249"/>
      <c r="E20" s="253"/>
      <c r="F20" s="3"/>
      <c r="G20" s="248" t="s">
        <v>542</v>
      </c>
      <c r="H20" s="249"/>
      <c r="I20" s="249"/>
      <c r="J20" s="253"/>
      <c r="L20" s="248" t="s">
        <v>542</v>
      </c>
      <c r="M20" s="249"/>
      <c r="N20" s="249"/>
      <c r="O20" s="253"/>
    </row>
    <row r="21" spans="2:15">
      <c r="B21" s="2" t="s">
        <v>543</v>
      </c>
      <c r="C21" s="1" t="s">
        <v>543</v>
      </c>
      <c r="D21" s="1" t="s">
        <v>544</v>
      </c>
      <c r="E21" s="8">
        <v>0.95</v>
      </c>
      <c r="F21" s="3"/>
      <c r="G21" s="2" t="s">
        <v>543</v>
      </c>
      <c r="H21" s="1" t="s">
        <v>543</v>
      </c>
      <c r="I21" s="1" t="s">
        <v>544</v>
      </c>
      <c r="J21" s="8">
        <v>0.95</v>
      </c>
      <c r="L21" s="2" t="s">
        <v>543</v>
      </c>
      <c r="M21" s="1" t="s">
        <v>543</v>
      </c>
      <c r="N21" s="1" t="s">
        <v>544</v>
      </c>
      <c r="O21" s="8">
        <v>0.95</v>
      </c>
    </row>
    <row r="22" spans="2:15">
      <c r="B22" s="1" t="s">
        <v>545</v>
      </c>
      <c r="C22" s="1" t="s">
        <v>546</v>
      </c>
      <c r="D22" s="1" t="s">
        <v>547</v>
      </c>
      <c r="E22" s="1">
        <v>112</v>
      </c>
      <c r="F22" s="3"/>
      <c r="G22" s="1" t="s">
        <v>545</v>
      </c>
      <c r="H22" s="1" t="s">
        <v>546</v>
      </c>
      <c r="I22" s="1" t="s">
        <v>547</v>
      </c>
      <c r="J22" s="1">
        <v>112</v>
      </c>
      <c r="L22" s="1" t="s">
        <v>545</v>
      </c>
      <c r="M22" s="1" t="s">
        <v>546</v>
      </c>
      <c r="N22" s="1" t="s">
        <v>547</v>
      </c>
      <c r="O22" s="1">
        <v>112</v>
      </c>
    </row>
    <row r="23" spans="2:15">
      <c r="B23" s="1" t="s">
        <v>578</v>
      </c>
      <c r="C23" s="1" t="s">
        <v>549</v>
      </c>
      <c r="D23" s="1" t="s">
        <v>550</v>
      </c>
      <c r="E23" s="161">
        <f>(J6*J23+O6*O23)/E6</f>
        <v>9.4600000000000009</v>
      </c>
      <c r="F23" s="3"/>
      <c r="G23" s="1" t="s">
        <v>548</v>
      </c>
      <c r="H23" s="1" t="s">
        <v>549</v>
      </c>
      <c r="I23" s="1" t="s">
        <v>550</v>
      </c>
      <c r="J23" s="1">
        <v>9.4600000000000009</v>
      </c>
      <c r="L23" s="1" t="s">
        <v>548</v>
      </c>
      <c r="M23" s="1" t="s">
        <v>549</v>
      </c>
      <c r="N23" s="1" t="s">
        <v>550</v>
      </c>
      <c r="O23" s="1">
        <f>9.46</f>
        <v>9.4600000000000009</v>
      </c>
    </row>
    <row r="24" spans="2:15">
      <c r="B24" s="1" t="s">
        <v>551</v>
      </c>
      <c r="C24" s="1" t="s">
        <v>552</v>
      </c>
      <c r="D24" s="1" t="s">
        <v>553</v>
      </c>
      <c r="E24" s="1">
        <f>0.0156</f>
        <v>1.5599999999999999E-2</v>
      </c>
      <c r="F24" s="3"/>
      <c r="G24" s="1" t="s">
        <v>551</v>
      </c>
      <c r="H24" s="1" t="s">
        <v>552</v>
      </c>
      <c r="I24" s="1" t="s">
        <v>553</v>
      </c>
      <c r="J24" s="1">
        <v>1.5599999999999999E-2</v>
      </c>
      <c r="L24" s="1" t="s">
        <v>551</v>
      </c>
      <c r="M24" s="1" t="s">
        <v>552</v>
      </c>
      <c r="N24" s="1" t="s">
        <v>553</v>
      </c>
      <c r="O24" s="1">
        <v>1.5599999999999999E-2</v>
      </c>
    </row>
    <row r="25" spans="2:15">
      <c r="F25" s="3"/>
    </row>
    <row r="26" spans="2:15">
      <c r="B26" s="248" t="s">
        <v>554</v>
      </c>
      <c r="C26" s="249"/>
      <c r="D26" s="249"/>
      <c r="E26" s="253"/>
      <c r="F26" s="3"/>
      <c r="G26" s="248" t="s">
        <v>554</v>
      </c>
      <c r="H26" s="249"/>
      <c r="I26" s="249"/>
      <c r="J26" s="253"/>
      <c r="L26" s="248" t="s">
        <v>554</v>
      </c>
      <c r="M26" s="249"/>
      <c r="N26" s="249"/>
      <c r="O26" s="253"/>
    </row>
    <row r="27" spans="2:15">
      <c r="B27" s="1" t="s">
        <v>555</v>
      </c>
      <c r="C27" s="1" t="s">
        <v>556</v>
      </c>
      <c r="D27" s="1" t="s">
        <v>557</v>
      </c>
      <c r="E27" s="4">
        <f>E10*((E22*E21)+E23)*E24</f>
        <v>10160.126747452279</v>
      </c>
      <c r="F27" s="3"/>
      <c r="G27" s="1" t="s">
        <v>555</v>
      </c>
      <c r="H27" s="1" t="s">
        <v>556</v>
      </c>
      <c r="I27" s="1" t="s">
        <v>557</v>
      </c>
      <c r="J27" s="4">
        <f>J10*((J22*J21)+J23)*J24</f>
        <v>6372.0639398287858</v>
      </c>
      <c r="L27" s="1" t="s">
        <v>555</v>
      </c>
      <c r="M27" s="1" t="s">
        <v>556</v>
      </c>
      <c r="N27" s="1" t="s">
        <v>557</v>
      </c>
      <c r="O27" s="4">
        <f>O10*((O22*O21)+O23)*O24</f>
        <v>3788.0628076234939</v>
      </c>
    </row>
    <row r="28" spans="2:15">
      <c r="B28" s="1" t="s">
        <v>558</v>
      </c>
      <c r="C28" s="1" t="s">
        <v>559</v>
      </c>
      <c r="D28" s="1" t="s">
        <v>557</v>
      </c>
      <c r="E28" s="4">
        <f>E18*((E22*E21)+E23)*E24</f>
        <v>0</v>
      </c>
      <c r="F28" s="3"/>
      <c r="G28" s="1" t="s">
        <v>558</v>
      </c>
      <c r="H28" s="1" t="s">
        <v>559</v>
      </c>
      <c r="I28" s="1" t="s">
        <v>557</v>
      </c>
      <c r="J28" s="4">
        <f>J18*((J22*J21)+J23)*J24</f>
        <v>0</v>
      </c>
      <c r="L28" s="1" t="s">
        <v>558</v>
      </c>
      <c r="M28" s="1" t="s">
        <v>559</v>
      </c>
      <c r="N28" s="1" t="s">
        <v>557</v>
      </c>
      <c r="O28" s="4">
        <f>O18*((O22*O21)+O23)*O24</f>
        <v>0</v>
      </c>
    </row>
    <row r="29" spans="2:15">
      <c r="B29" s="1" t="s">
        <v>579</v>
      </c>
      <c r="C29" s="1" t="s">
        <v>561</v>
      </c>
      <c r="D29" s="1" t="s">
        <v>519</v>
      </c>
      <c r="E29" s="1">
        <v>0.95</v>
      </c>
      <c r="F29" s="3"/>
      <c r="G29" s="1" t="s">
        <v>579</v>
      </c>
      <c r="H29" s="1" t="s">
        <v>561</v>
      </c>
      <c r="I29" s="1" t="s">
        <v>519</v>
      </c>
      <c r="J29" s="1">
        <v>0.95</v>
      </c>
      <c r="L29" s="1" t="s">
        <v>579</v>
      </c>
      <c r="M29" s="1" t="s">
        <v>561</v>
      </c>
      <c r="N29" s="1" t="s">
        <v>519</v>
      </c>
      <c r="O29" s="1">
        <v>0.95</v>
      </c>
    </row>
    <row r="30" spans="2:15">
      <c r="B30" s="1" t="s">
        <v>562</v>
      </c>
      <c r="C30" s="1" t="s">
        <v>563</v>
      </c>
      <c r="D30" s="1" t="s">
        <v>557</v>
      </c>
      <c r="E30" s="1">
        <v>0</v>
      </c>
      <c r="F30" s="3"/>
      <c r="G30" s="1" t="s">
        <v>562</v>
      </c>
      <c r="H30" s="1" t="s">
        <v>563</v>
      </c>
      <c r="I30" s="1" t="s">
        <v>557</v>
      </c>
      <c r="J30" s="1">
        <v>0</v>
      </c>
      <c r="L30" s="1" t="s">
        <v>562</v>
      </c>
      <c r="M30" s="1" t="s">
        <v>563</v>
      </c>
      <c r="N30" s="1" t="s">
        <v>557</v>
      </c>
      <c r="O30" s="1">
        <v>0</v>
      </c>
    </row>
    <row r="31" spans="2:15">
      <c r="B31" s="1" t="s">
        <v>564</v>
      </c>
      <c r="C31" s="1" t="s">
        <v>565</v>
      </c>
      <c r="D31" s="1" t="s">
        <v>557</v>
      </c>
      <c r="E31" s="4">
        <f>((E27-E28)*E29)-E30</f>
        <v>9652.120410079664</v>
      </c>
      <c r="F31" s="3"/>
      <c r="G31" s="1" t="s">
        <v>564</v>
      </c>
      <c r="H31" s="1" t="s">
        <v>565</v>
      </c>
      <c r="I31" s="1" t="s">
        <v>557</v>
      </c>
      <c r="J31" s="7">
        <f>((J27-J28)*J29)-J30</f>
        <v>6053.4607428373465</v>
      </c>
      <c r="L31" s="1" t="s">
        <v>564</v>
      </c>
      <c r="M31" s="1" t="s">
        <v>565</v>
      </c>
      <c r="N31" s="1" t="s">
        <v>557</v>
      </c>
      <c r="O31" s="7">
        <f>((O27-O28)*O29)-O30</f>
        <v>3598.6596672423188</v>
      </c>
    </row>
    <row r="32" spans="2:15">
      <c r="D32" s="5"/>
      <c r="F32" s="3"/>
      <c r="I32" s="5"/>
      <c r="N32" s="5"/>
    </row>
    <row r="33" spans="2:15">
      <c r="B33" s="251" t="s">
        <v>566</v>
      </c>
      <c r="C33" s="251"/>
      <c r="D33" s="251"/>
      <c r="E33" s="251"/>
      <c r="F33" s="3"/>
      <c r="G33" s="251" t="s">
        <v>566</v>
      </c>
      <c r="H33" s="251"/>
      <c r="I33" s="251"/>
      <c r="J33" s="251"/>
      <c r="L33" s="251" t="s">
        <v>566</v>
      </c>
      <c r="M33" s="251"/>
      <c r="N33" s="251"/>
      <c r="O33" s="251"/>
    </row>
    <row r="34" spans="2:15">
      <c r="B34" s="13" t="s">
        <v>567</v>
      </c>
      <c r="C34" s="1"/>
      <c r="D34" s="14"/>
      <c r="E34" s="23">
        <v>0</v>
      </c>
      <c r="F34" s="3"/>
      <c r="G34" s="13" t="s">
        <v>567</v>
      </c>
      <c r="H34" s="1"/>
      <c r="I34" s="14"/>
      <c r="J34" s="23">
        <v>0</v>
      </c>
      <c r="L34" s="13" t="s">
        <v>567</v>
      </c>
      <c r="M34" s="1"/>
      <c r="N34" s="14"/>
      <c r="O34" s="23">
        <v>0</v>
      </c>
    </row>
    <row r="35" spans="2:15">
      <c r="B35" s="13" t="s">
        <v>568</v>
      </c>
      <c r="C35" s="1" t="s">
        <v>569</v>
      </c>
      <c r="D35" s="14" t="s">
        <v>37</v>
      </c>
      <c r="E35" s="23">
        <v>0</v>
      </c>
      <c r="F35" s="3"/>
      <c r="G35" s="13" t="s">
        <v>568</v>
      </c>
      <c r="H35" s="1" t="s">
        <v>569</v>
      </c>
      <c r="I35" s="14" t="s">
        <v>37</v>
      </c>
      <c r="J35" s="23">
        <v>0</v>
      </c>
      <c r="L35" s="13" t="s">
        <v>568</v>
      </c>
      <c r="M35" s="1" t="s">
        <v>569</v>
      </c>
      <c r="N35" s="14" t="s">
        <v>37</v>
      </c>
      <c r="O35" s="23">
        <v>0</v>
      </c>
    </row>
    <row r="36" spans="2:15">
      <c r="B36" s="15" t="s">
        <v>564</v>
      </c>
      <c r="C36" s="15" t="s">
        <v>571</v>
      </c>
      <c r="D36" s="15" t="s">
        <v>557</v>
      </c>
      <c r="E36" s="25">
        <f>E31*(1-E35)</f>
        <v>9652.120410079664</v>
      </c>
      <c r="F36" s="3"/>
      <c r="G36" s="15" t="s">
        <v>564</v>
      </c>
      <c r="H36" s="15" t="s">
        <v>571</v>
      </c>
      <c r="I36" s="15" t="s">
        <v>557</v>
      </c>
      <c r="J36" s="25">
        <f>J31*(1-J35)</f>
        <v>6053.4607428373465</v>
      </c>
      <c r="L36" s="15" t="s">
        <v>564</v>
      </c>
      <c r="M36" s="15" t="s">
        <v>571</v>
      </c>
      <c r="N36" s="15" t="s">
        <v>557</v>
      </c>
      <c r="O36" s="25">
        <f>O31*(1-O35)</f>
        <v>3598.6596672423188</v>
      </c>
    </row>
    <row r="37" spans="2:15">
      <c r="B37" s="21" t="s">
        <v>580</v>
      </c>
      <c r="C37" s="20" t="s">
        <v>571</v>
      </c>
      <c r="D37" s="20" t="s">
        <v>557</v>
      </c>
      <c r="E37" s="26">
        <f>J37+O37</f>
        <v>9651</v>
      </c>
      <c r="F37" s="3"/>
      <c r="G37" s="21" t="s">
        <v>580</v>
      </c>
      <c r="H37" s="20" t="s">
        <v>571</v>
      </c>
      <c r="I37" s="20" t="s">
        <v>557</v>
      </c>
      <c r="J37" s="26">
        <f>_xlfn.FLOOR.MATH(J36)</f>
        <v>6053</v>
      </c>
      <c r="L37" s="21" t="s">
        <v>580</v>
      </c>
      <c r="M37" s="20" t="s">
        <v>571</v>
      </c>
      <c r="N37" s="20" t="s">
        <v>557</v>
      </c>
      <c r="O37" s="26">
        <f>_xlfn.FLOOR.MATH(O36)</f>
        <v>3598</v>
      </c>
    </row>
    <row r="38" spans="2:15">
      <c r="C38" s="252"/>
      <c r="D38" s="252"/>
      <c r="F38" s="3"/>
      <c r="H38" s="252"/>
      <c r="I38" s="252"/>
      <c r="M38" s="252"/>
      <c r="N38" s="252"/>
    </row>
    <row r="39" spans="2:15">
      <c r="I39" s="27"/>
    </row>
  </sheetData>
  <mergeCells count="21">
    <mergeCell ref="B2:E2"/>
    <mergeCell ref="G2:J2"/>
    <mergeCell ref="L2:O2"/>
    <mergeCell ref="B4:E4"/>
    <mergeCell ref="G4:J4"/>
    <mergeCell ref="L4:O4"/>
    <mergeCell ref="B12:E12"/>
    <mergeCell ref="G12:J12"/>
    <mergeCell ref="L12:O12"/>
    <mergeCell ref="B20:E20"/>
    <mergeCell ref="G20:J20"/>
    <mergeCell ref="L20:O20"/>
    <mergeCell ref="C38:D38"/>
    <mergeCell ref="H38:I38"/>
    <mergeCell ref="M38:N38"/>
    <mergeCell ref="B26:E26"/>
    <mergeCell ref="G26:J26"/>
    <mergeCell ref="L26:O26"/>
    <mergeCell ref="B33:E33"/>
    <mergeCell ref="G33:J33"/>
    <mergeCell ref="L33:O3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0BB60-84BA-41EB-A676-A4D1CBA85258}">
  <dimension ref="A2:P41"/>
  <sheetViews>
    <sheetView topLeftCell="C1" zoomScale="85" zoomScaleNormal="85" workbookViewId="0">
      <selection activeCell="P30" sqref="P30"/>
    </sheetView>
  </sheetViews>
  <sheetFormatPr defaultRowHeight="14.25"/>
  <cols>
    <col min="2" max="2" width="60.7109375" bestFit="1" customWidth="1"/>
    <col min="3" max="3" width="18.28515625" bestFit="1" customWidth="1"/>
    <col min="4" max="4" width="12.42578125" bestFit="1" customWidth="1"/>
    <col min="5" max="5" width="12.7109375" customWidth="1"/>
    <col min="6" max="6" width="7.28515625" customWidth="1"/>
    <col min="7" max="7" width="60.7109375" bestFit="1" customWidth="1"/>
    <col min="8" max="8" width="18.28515625" bestFit="1" customWidth="1"/>
    <col min="9" max="9" width="12.42578125" bestFit="1" customWidth="1"/>
    <col min="10" max="10" width="12.5703125" customWidth="1"/>
    <col min="11" max="11" width="5" customWidth="1"/>
    <col min="12" max="12" width="60.7109375" bestFit="1" customWidth="1"/>
    <col min="13" max="13" width="18.28515625" bestFit="1" customWidth="1"/>
    <col min="14" max="14" width="12.42578125" bestFit="1" customWidth="1"/>
    <col min="15" max="15" width="12.28515625" customWidth="1"/>
  </cols>
  <sheetData>
    <row r="2" spans="1:16" ht="15" customHeight="1">
      <c r="B2" s="250" t="s">
        <v>583</v>
      </c>
      <c r="C2" s="250"/>
      <c r="D2" s="250"/>
      <c r="E2" s="250"/>
      <c r="G2" s="250" t="s">
        <v>574</v>
      </c>
      <c r="H2" s="250"/>
      <c r="I2" s="250"/>
      <c r="J2" s="250"/>
      <c r="L2" s="250" t="s">
        <v>575</v>
      </c>
      <c r="M2" s="250"/>
      <c r="N2" s="250"/>
      <c r="O2" s="250"/>
    </row>
    <row r="4" spans="1:16">
      <c r="A4" s="3"/>
      <c r="B4" s="248" t="s">
        <v>516</v>
      </c>
      <c r="C4" s="249"/>
      <c r="D4" s="249"/>
      <c r="E4" s="253"/>
      <c r="F4" s="3"/>
      <c r="G4" s="248" t="s">
        <v>516</v>
      </c>
      <c r="H4" s="249"/>
      <c r="I4" s="249"/>
      <c r="J4" s="253"/>
      <c r="K4" s="3"/>
      <c r="L4" s="248" t="s">
        <v>516</v>
      </c>
      <c r="M4" s="249"/>
      <c r="N4" s="249"/>
      <c r="O4" s="253"/>
      <c r="P4" s="3"/>
    </row>
    <row r="5" spans="1:16">
      <c r="B5" s="1" t="s">
        <v>517</v>
      </c>
      <c r="C5" s="1" t="s">
        <v>518</v>
      </c>
      <c r="D5" s="1" t="s">
        <v>519</v>
      </c>
      <c r="E5" s="233">
        <v>5.3999999999999999E-2</v>
      </c>
      <c r="F5" s="234"/>
      <c r="G5" s="235" t="s">
        <v>517</v>
      </c>
      <c r="H5" s="235" t="s">
        <v>518</v>
      </c>
      <c r="I5" s="235" t="s">
        <v>519</v>
      </c>
      <c r="J5" s="233">
        <f>E5</f>
        <v>5.3999999999999999E-2</v>
      </c>
      <c r="K5" s="236"/>
      <c r="L5" s="235" t="s">
        <v>517</v>
      </c>
      <c r="M5" s="235" t="s">
        <v>518</v>
      </c>
      <c r="N5" s="235" t="s">
        <v>519</v>
      </c>
      <c r="O5" s="235">
        <f>J5</f>
        <v>5.3999999999999999E-2</v>
      </c>
    </row>
    <row r="6" spans="1:16">
      <c r="B6" s="1" t="s">
        <v>520</v>
      </c>
      <c r="C6" s="1" t="s">
        <v>521</v>
      </c>
      <c r="D6" s="1"/>
      <c r="E6" s="4">
        <f>'Total PTDs'!AM29</f>
        <v>1839659</v>
      </c>
      <c r="F6" s="3"/>
      <c r="G6" s="1" t="s">
        <v>520</v>
      </c>
      <c r="H6" s="1" t="s">
        <v>521</v>
      </c>
      <c r="I6" s="1"/>
      <c r="J6" s="4">
        <f>'Total PTDs'!AH29</f>
        <v>1049472</v>
      </c>
      <c r="L6" s="1" t="s">
        <v>520</v>
      </c>
      <c r="M6" s="1" t="s">
        <v>521</v>
      </c>
      <c r="N6" s="1"/>
      <c r="O6" s="4">
        <f>'Total PTDs'!AL29</f>
        <v>790187</v>
      </c>
    </row>
    <row r="7" spans="1:16">
      <c r="B7" s="1" t="s">
        <v>522</v>
      </c>
      <c r="C7" s="1" t="s">
        <v>523</v>
      </c>
      <c r="D7" s="1" t="s">
        <v>524</v>
      </c>
      <c r="E7" s="12">
        <f>J7</f>
        <v>4.0000000000000002E-4</v>
      </c>
      <c r="F7" s="3"/>
      <c r="G7" s="1" t="s">
        <v>522</v>
      </c>
      <c r="H7" s="1" t="s">
        <v>523</v>
      </c>
      <c r="I7" s="1" t="s">
        <v>524</v>
      </c>
      <c r="J7" s="12">
        <v>4.0000000000000002E-4</v>
      </c>
      <c r="L7" s="1" t="s">
        <v>522</v>
      </c>
      <c r="M7" s="1" t="s">
        <v>523</v>
      </c>
      <c r="N7" s="1" t="s">
        <v>524</v>
      </c>
      <c r="O7" s="12">
        <f>J7</f>
        <v>4.0000000000000002E-4</v>
      </c>
    </row>
    <row r="8" spans="1:16" ht="28.5">
      <c r="B8" s="2" t="s">
        <v>577</v>
      </c>
      <c r="C8" s="1" t="s">
        <v>526</v>
      </c>
      <c r="D8" s="1" t="s">
        <v>527</v>
      </c>
      <c r="E8" s="1">
        <v>7</v>
      </c>
      <c r="F8" s="3"/>
      <c r="G8" s="2" t="s">
        <v>577</v>
      </c>
      <c r="H8" s="1" t="s">
        <v>526</v>
      </c>
      <c r="I8" s="1" t="s">
        <v>527</v>
      </c>
      <c r="J8" s="1">
        <v>7</v>
      </c>
      <c r="L8" s="2" t="s">
        <v>577</v>
      </c>
      <c r="M8" s="1" t="s">
        <v>526</v>
      </c>
      <c r="N8" s="1" t="s">
        <v>527</v>
      </c>
      <c r="O8" s="1">
        <v>7</v>
      </c>
    </row>
    <row r="9" spans="1:16">
      <c r="B9" s="2" t="s">
        <v>528</v>
      </c>
      <c r="C9" s="1" t="s">
        <v>529</v>
      </c>
      <c r="D9" s="1" t="s">
        <v>527</v>
      </c>
      <c r="E9" s="1">
        <v>0</v>
      </c>
      <c r="F9" s="3"/>
      <c r="G9" s="2" t="s">
        <v>528</v>
      </c>
      <c r="H9" s="1" t="s">
        <v>529</v>
      </c>
      <c r="I9" s="1" t="s">
        <v>527</v>
      </c>
      <c r="J9" s="1">
        <v>0</v>
      </c>
      <c r="L9" s="2" t="s">
        <v>528</v>
      </c>
      <c r="M9" s="1" t="s">
        <v>529</v>
      </c>
      <c r="N9" s="1" t="s">
        <v>527</v>
      </c>
      <c r="O9" s="1">
        <v>0</v>
      </c>
    </row>
    <row r="10" spans="1:16">
      <c r="B10" s="1" t="s">
        <v>530</v>
      </c>
      <c r="C10" s="1" t="s">
        <v>531</v>
      </c>
      <c r="D10" s="1" t="s">
        <v>532</v>
      </c>
      <c r="E10" s="4">
        <f>(1-E5)*E6*E7*(E8+E9)</f>
        <v>4872.8887591999992</v>
      </c>
      <c r="F10" s="3"/>
      <c r="G10" s="1" t="s">
        <v>530</v>
      </c>
      <c r="H10" s="1" t="s">
        <v>531</v>
      </c>
      <c r="I10" s="1" t="s">
        <v>532</v>
      </c>
      <c r="J10" s="7">
        <f>(1-J5)*J6*J7*(J8+J9)</f>
        <v>2779.8414336000001</v>
      </c>
      <c r="L10" s="1" t="s">
        <v>530</v>
      </c>
      <c r="M10" s="1" t="s">
        <v>531</v>
      </c>
      <c r="N10" s="1" t="s">
        <v>532</v>
      </c>
      <c r="O10" s="7">
        <f>(1-O5)*O6*O7*(O8+O9)</f>
        <v>2093.0473256</v>
      </c>
    </row>
    <row r="11" spans="1:16">
      <c r="F11" s="3"/>
    </row>
    <row r="12" spans="1:16">
      <c r="B12" s="248" t="s">
        <v>533</v>
      </c>
      <c r="C12" s="249"/>
      <c r="D12" s="249"/>
      <c r="E12" s="253"/>
      <c r="F12" s="3"/>
      <c r="G12" s="248" t="s">
        <v>533</v>
      </c>
      <c r="H12" s="249"/>
      <c r="I12" s="249"/>
      <c r="J12" s="253"/>
      <c r="L12" s="248" t="s">
        <v>533</v>
      </c>
      <c r="M12" s="249"/>
      <c r="N12" s="249"/>
      <c r="O12" s="253"/>
    </row>
    <row r="13" spans="1:16">
      <c r="B13" s="1" t="s">
        <v>534</v>
      </c>
      <c r="C13" s="1" t="s">
        <v>518</v>
      </c>
      <c r="D13" s="1" t="s">
        <v>519</v>
      </c>
      <c r="E13" s="233">
        <f>E5</f>
        <v>5.3999999999999999E-2</v>
      </c>
      <c r="F13" s="234"/>
      <c r="G13" s="235" t="s">
        <v>534</v>
      </c>
      <c r="H13" s="235" t="s">
        <v>518</v>
      </c>
      <c r="I13" s="235" t="s">
        <v>519</v>
      </c>
      <c r="J13" s="235">
        <f>J5</f>
        <v>5.3999999999999999E-2</v>
      </c>
      <c r="K13" s="236"/>
      <c r="L13" s="235" t="s">
        <v>534</v>
      </c>
      <c r="M13" s="235" t="s">
        <v>518</v>
      </c>
      <c r="N13" s="235" t="s">
        <v>519</v>
      </c>
      <c r="O13" s="235">
        <f>O5</f>
        <v>5.3999999999999999E-2</v>
      </c>
    </row>
    <row r="14" spans="1:16">
      <c r="B14" s="1" t="s">
        <v>520</v>
      </c>
      <c r="C14" s="1" t="s">
        <v>521</v>
      </c>
      <c r="D14" s="1"/>
      <c r="E14" s="4">
        <f>E6</f>
        <v>1839659</v>
      </c>
      <c r="F14" s="3"/>
      <c r="G14" s="1" t="s">
        <v>520</v>
      </c>
      <c r="H14" s="1" t="s">
        <v>521</v>
      </c>
      <c r="I14" s="1"/>
      <c r="J14" s="4">
        <f>J6</f>
        <v>1049472</v>
      </c>
      <c r="L14" s="1" t="s">
        <v>520</v>
      </c>
      <c r="M14" s="1" t="s">
        <v>521</v>
      </c>
      <c r="N14" s="1"/>
      <c r="O14" s="4">
        <f>O6</f>
        <v>790187</v>
      </c>
    </row>
    <row r="15" spans="1:16">
      <c r="B15" s="1" t="s">
        <v>535</v>
      </c>
      <c r="C15" s="1" t="s">
        <v>536</v>
      </c>
      <c r="D15" s="1" t="s">
        <v>524</v>
      </c>
      <c r="E15" s="12">
        <f>E7</f>
        <v>4.0000000000000002E-4</v>
      </c>
      <c r="F15" s="3"/>
      <c r="G15" s="1" t="s">
        <v>535</v>
      </c>
      <c r="H15" s="1" t="s">
        <v>536</v>
      </c>
      <c r="I15" s="1" t="s">
        <v>524</v>
      </c>
      <c r="J15" s="12">
        <f>J7</f>
        <v>4.0000000000000002E-4</v>
      </c>
      <c r="L15" s="1" t="s">
        <v>535</v>
      </c>
      <c r="M15" s="1" t="s">
        <v>536</v>
      </c>
      <c r="N15" s="1" t="s">
        <v>524</v>
      </c>
      <c r="O15" s="12">
        <f>O7</f>
        <v>4.0000000000000002E-4</v>
      </c>
    </row>
    <row r="16" spans="1:16">
      <c r="B16" s="1" t="s">
        <v>537</v>
      </c>
      <c r="C16" s="1" t="s">
        <v>529</v>
      </c>
      <c r="D16" s="1" t="s">
        <v>527</v>
      </c>
      <c r="E16" s="1">
        <v>0</v>
      </c>
      <c r="F16" s="3"/>
      <c r="G16" s="1" t="s">
        <v>537</v>
      </c>
      <c r="H16" s="1" t="s">
        <v>529</v>
      </c>
      <c r="I16" s="1" t="s">
        <v>527</v>
      </c>
      <c r="J16" s="1">
        <v>0</v>
      </c>
      <c r="L16" s="1" t="s">
        <v>537</v>
      </c>
      <c r="M16" s="1" t="s">
        <v>529</v>
      </c>
      <c r="N16" s="1" t="s">
        <v>527</v>
      </c>
      <c r="O16" s="1">
        <v>0</v>
      </c>
    </row>
    <row r="17" spans="2:15">
      <c r="B17" s="1" t="s">
        <v>538</v>
      </c>
      <c r="C17" s="1" t="s">
        <v>539</v>
      </c>
      <c r="D17" s="1" t="s">
        <v>527</v>
      </c>
      <c r="E17" s="22">
        <v>0</v>
      </c>
      <c r="F17" s="3"/>
      <c r="G17" s="1" t="s">
        <v>538</v>
      </c>
      <c r="H17" s="1" t="s">
        <v>539</v>
      </c>
      <c r="I17" s="1" t="s">
        <v>527</v>
      </c>
      <c r="J17" s="22">
        <v>0</v>
      </c>
      <c r="L17" s="1" t="s">
        <v>538</v>
      </c>
      <c r="M17" s="1" t="s">
        <v>539</v>
      </c>
      <c r="N17" s="1" t="s">
        <v>527</v>
      </c>
      <c r="O17" s="22">
        <v>0</v>
      </c>
    </row>
    <row r="18" spans="2:15">
      <c r="B18" s="1" t="s">
        <v>540</v>
      </c>
      <c r="C18" s="1" t="s">
        <v>541</v>
      </c>
      <c r="D18" s="1" t="s">
        <v>532</v>
      </c>
      <c r="E18" s="7">
        <f>(1-E13)*E14*E15*(E16+E17)</f>
        <v>0</v>
      </c>
      <c r="F18" s="3"/>
      <c r="G18" s="1" t="s">
        <v>540</v>
      </c>
      <c r="H18" s="1" t="s">
        <v>541</v>
      </c>
      <c r="I18" s="1" t="s">
        <v>532</v>
      </c>
      <c r="J18" s="7">
        <f>(1-J13)*J14*J15*(J16+J17)</f>
        <v>0</v>
      </c>
      <c r="L18" s="1" t="s">
        <v>540</v>
      </c>
      <c r="M18" s="1" t="s">
        <v>541</v>
      </c>
      <c r="N18" s="1" t="s">
        <v>532</v>
      </c>
      <c r="O18" s="7">
        <f>(1-O13)*O14*O15*(O16+O17)</f>
        <v>0</v>
      </c>
    </row>
    <row r="19" spans="2:15">
      <c r="F19" s="3"/>
    </row>
    <row r="20" spans="2:15">
      <c r="B20" s="248" t="s">
        <v>542</v>
      </c>
      <c r="C20" s="249"/>
      <c r="D20" s="249"/>
      <c r="E20" s="253"/>
      <c r="F20" s="3"/>
      <c r="G20" s="248" t="s">
        <v>542</v>
      </c>
      <c r="H20" s="249"/>
      <c r="I20" s="249"/>
      <c r="J20" s="253"/>
      <c r="L20" s="248" t="s">
        <v>542</v>
      </c>
      <c r="M20" s="249"/>
      <c r="N20" s="249"/>
      <c r="O20" s="253"/>
    </row>
    <row r="21" spans="2:15">
      <c r="B21" s="2" t="s">
        <v>543</v>
      </c>
      <c r="C21" s="1" t="s">
        <v>543</v>
      </c>
      <c r="D21" s="1" t="s">
        <v>544</v>
      </c>
      <c r="E21" s="8">
        <v>0.95</v>
      </c>
      <c r="F21" s="3"/>
      <c r="G21" s="2" t="s">
        <v>543</v>
      </c>
      <c r="H21" s="1" t="s">
        <v>543</v>
      </c>
      <c r="I21" s="1" t="s">
        <v>544</v>
      </c>
      <c r="J21" s="8">
        <v>0.95</v>
      </c>
      <c r="L21" s="2" t="s">
        <v>543</v>
      </c>
      <c r="M21" s="1" t="s">
        <v>543</v>
      </c>
      <c r="N21" s="1" t="s">
        <v>544</v>
      </c>
      <c r="O21" s="8">
        <v>0.95</v>
      </c>
    </row>
    <row r="22" spans="2:15">
      <c r="B22" s="1" t="s">
        <v>545</v>
      </c>
      <c r="C22" s="1" t="s">
        <v>546</v>
      </c>
      <c r="D22" s="1" t="s">
        <v>547</v>
      </c>
      <c r="E22" s="1">
        <v>112</v>
      </c>
      <c r="F22" s="3"/>
      <c r="G22" s="1" t="s">
        <v>545</v>
      </c>
      <c r="H22" s="1" t="s">
        <v>546</v>
      </c>
      <c r="I22" s="1" t="s">
        <v>547</v>
      </c>
      <c r="J22" s="1">
        <v>112</v>
      </c>
      <c r="L22" s="1" t="s">
        <v>545</v>
      </c>
      <c r="M22" s="1" t="s">
        <v>546</v>
      </c>
      <c r="N22" s="1" t="s">
        <v>547</v>
      </c>
      <c r="O22" s="1">
        <v>112</v>
      </c>
    </row>
    <row r="23" spans="2:15">
      <c r="B23" s="1" t="s">
        <v>578</v>
      </c>
      <c r="C23" s="1" t="s">
        <v>549</v>
      </c>
      <c r="D23" s="1" t="s">
        <v>550</v>
      </c>
      <c r="E23" s="161">
        <f>(J6*J23+O6*O23)/E6</f>
        <v>9.4600000000000009</v>
      </c>
      <c r="F23" s="3"/>
      <c r="G23" s="1" t="s">
        <v>548</v>
      </c>
      <c r="H23" s="1" t="s">
        <v>549</v>
      </c>
      <c r="I23" s="1" t="s">
        <v>550</v>
      </c>
      <c r="J23" s="1">
        <v>9.4600000000000009</v>
      </c>
      <c r="L23" s="1" t="s">
        <v>548</v>
      </c>
      <c r="M23" s="1" t="s">
        <v>549</v>
      </c>
      <c r="N23" s="1" t="s">
        <v>550</v>
      </c>
      <c r="O23" s="1">
        <f>9.46</f>
        <v>9.4600000000000009</v>
      </c>
    </row>
    <row r="24" spans="2:15">
      <c r="B24" s="1" t="s">
        <v>551</v>
      </c>
      <c r="C24" s="1" t="s">
        <v>552</v>
      </c>
      <c r="D24" s="1" t="s">
        <v>553</v>
      </c>
      <c r="E24" s="1">
        <f>0.0156</f>
        <v>1.5599999999999999E-2</v>
      </c>
      <c r="F24" s="3"/>
      <c r="G24" s="1" t="s">
        <v>551</v>
      </c>
      <c r="H24" s="1" t="s">
        <v>552</v>
      </c>
      <c r="I24" s="1" t="s">
        <v>553</v>
      </c>
      <c r="J24" s="1">
        <v>1.5599999999999999E-2</v>
      </c>
      <c r="L24" s="1" t="s">
        <v>551</v>
      </c>
      <c r="M24" s="1" t="s">
        <v>552</v>
      </c>
      <c r="N24" s="1" t="s">
        <v>553</v>
      </c>
      <c r="O24" s="1">
        <v>1.5599999999999999E-2</v>
      </c>
    </row>
    <row r="25" spans="2:15">
      <c r="F25" s="3"/>
    </row>
    <row r="26" spans="2:15">
      <c r="B26" s="248" t="s">
        <v>554</v>
      </c>
      <c r="C26" s="249"/>
      <c r="D26" s="249"/>
      <c r="E26" s="253"/>
      <c r="F26" s="3"/>
      <c r="G26" s="248" t="s">
        <v>554</v>
      </c>
      <c r="H26" s="249"/>
      <c r="I26" s="249"/>
      <c r="J26" s="253"/>
      <c r="L26" s="248" t="s">
        <v>554</v>
      </c>
      <c r="M26" s="249"/>
      <c r="N26" s="249"/>
      <c r="O26" s="253"/>
    </row>
    <row r="27" spans="2:15">
      <c r="B27" s="1" t="s">
        <v>555</v>
      </c>
      <c r="C27" s="1" t="s">
        <v>556</v>
      </c>
      <c r="D27" s="1" t="s">
        <v>557</v>
      </c>
      <c r="E27" s="4">
        <f>E10*((E22*E21)+E23)*E24</f>
        <v>8807.3371095982238</v>
      </c>
      <c r="F27" s="3"/>
      <c r="G27" s="1" t="s">
        <v>555</v>
      </c>
      <c r="H27" s="1" t="s">
        <v>556</v>
      </c>
      <c r="I27" s="1" t="s">
        <v>557</v>
      </c>
      <c r="J27" s="4">
        <f>J10*((J22*J21)+J23)*J24</f>
        <v>5024.3298845515765</v>
      </c>
      <c r="L27" s="1" t="s">
        <v>555</v>
      </c>
      <c r="M27" s="1" t="s">
        <v>556</v>
      </c>
      <c r="N27" s="1" t="s">
        <v>557</v>
      </c>
      <c r="O27" s="4">
        <f>O10*((O22*O21)+O23)*O24</f>
        <v>3783.0072250466487</v>
      </c>
    </row>
    <row r="28" spans="2:15">
      <c r="B28" s="1" t="s">
        <v>558</v>
      </c>
      <c r="C28" s="1" t="s">
        <v>559</v>
      </c>
      <c r="D28" s="1" t="s">
        <v>557</v>
      </c>
      <c r="E28" s="4">
        <f>E18*((E22*E21)+E23)*E24</f>
        <v>0</v>
      </c>
      <c r="F28" s="3"/>
      <c r="G28" s="1" t="s">
        <v>558</v>
      </c>
      <c r="H28" s="1" t="s">
        <v>559</v>
      </c>
      <c r="I28" s="1" t="s">
        <v>557</v>
      </c>
      <c r="J28" s="4">
        <f>J18*((J22*J21)+J23)*J24</f>
        <v>0</v>
      </c>
      <c r="L28" s="1" t="s">
        <v>558</v>
      </c>
      <c r="M28" s="1" t="s">
        <v>559</v>
      </c>
      <c r="N28" s="1" t="s">
        <v>557</v>
      </c>
      <c r="O28" s="4">
        <f>O18*((O22*O21)+O23)*O24</f>
        <v>0</v>
      </c>
    </row>
    <row r="29" spans="2:15">
      <c r="B29" s="1" t="s">
        <v>579</v>
      </c>
      <c r="C29" s="1" t="s">
        <v>561</v>
      </c>
      <c r="D29" s="1" t="s">
        <v>519</v>
      </c>
      <c r="E29" s="1">
        <v>0.95</v>
      </c>
      <c r="F29" s="3"/>
      <c r="G29" s="1" t="s">
        <v>579</v>
      </c>
      <c r="H29" s="1" t="s">
        <v>561</v>
      </c>
      <c r="I29" s="1" t="s">
        <v>519</v>
      </c>
      <c r="J29" s="1">
        <v>0.95</v>
      </c>
      <c r="L29" s="1" t="s">
        <v>579</v>
      </c>
      <c r="M29" s="1" t="s">
        <v>561</v>
      </c>
      <c r="N29" s="1" t="s">
        <v>519</v>
      </c>
      <c r="O29" s="1">
        <v>0.95</v>
      </c>
    </row>
    <row r="30" spans="2:15">
      <c r="B30" s="1" t="s">
        <v>562</v>
      </c>
      <c r="C30" s="1" t="s">
        <v>563</v>
      </c>
      <c r="D30" s="1" t="s">
        <v>557</v>
      </c>
      <c r="E30" s="1">
        <v>0</v>
      </c>
      <c r="F30" s="3"/>
      <c r="G30" s="1" t="s">
        <v>562</v>
      </c>
      <c r="H30" s="1" t="s">
        <v>563</v>
      </c>
      <c r="I30" s="1" t="s">
        <v>557</v>
      </c>
      <c r="J30" s="1">
        <v>0</v>
      </c>
      <c r="L30" s="1" t="s">
        <v>562</v>
      </c>
      <c r="M30" s="1" t="s">
        <v>563</v>
      </c>
      <c r="N30" s="1" t="s">
        <v>557</v>
      </c>
      <c r="O30" s="1">
        <v>0</v>
      </c>
    </row>
    <row r="31" spans="2:15">
      <c r="B31" s="1" t="s">
        <v>564</v>
      </c>
      <c r="C31" s="1" t="s">
        <v>565</v>
      </c>
      <c r="D31" s="1" t="s">
        <v>557</v>
      </c>
      <c r="E31" s="4">
        <f>((E27-E28)*E29)-E30</f>
        <v>8366.9702541183124</v>
      </c>
      <c r="F31" s="3"/>
      <c r="G31" s="1" t="s">
        <v>564</v>
      </c>
      <c r="H31" s="1" t="s">
        <v>565</v>
      </c>
      <c r="I31" s="1" t="s">
        <v>557</v>
      </c>
      <c r="J31" s="7">
        <f>((J27-J28)*J29)-J30</f>
        <v>4773.113390323997</v>
      </c>
      <c r="L31" s="1" t="s">
        <v>564</v>
      </c>
      <c r="M31" s="1" t="s">
        <v>565</v>
      </c>
      <c r="N31" s="1" t="s">
        <v>557</v>
      </c>
      <c r="O31" s="7">
        <f>((O27-O28)*O29)-O30</f>
        <v>3593.8568637943163</v>
      </c>
    </row>
    <row r="32" spans="2:15">
      <c r="D32" s="5"/>
      <c r="F32" s="3"/>
      <c r="I32" s="5"/>
      <c r="N32" s="5"/>
    </row>
    <row r="33" spans="2:15">
      <c r="B33" s="251" t="s">
        <v>566</v>
      </c>
      <c r="C33" s="251"/>
      <c r="D33" s="251"/>
      <c r="E33" s="251"/>
      <c r="F33" s="3"/>
      <c r="G33" s="251" t="s">
        <v>566</v>
      </c>
      <c r="H33" s="251"/>
      <c r="I33" s="251"/>
      <c r="J33" s="251"/>
      <c r="L33" s="251" t="s">
        <v>566</v>
      </c>
      <c r="M33" s="251"/>
      <c r="N33" s="251"/>
      <c r="O33" s="251"/>
    </row>
    <row r="34" spans="2:15">
      <c r="B34" s="13" t="s">
        <v>567</v>
      </c>
      <c r="C34" s="1"/>
      <c r="D34" s="14"/>
      <c r="E34" s="23">
        <v>0</v>
      </c>
      <c r="F34" s="3"/>
      <c r="G34" s="13" t="s">
        <v>567</v>
      </c>
      <c r="H34" s="1"/>
      <c r="I34" s="14"/>
      <c r="J34" s="23">
        <v>0</v>
      </c>
      <c r="L34" s="13" t="s">
        <v>567</v>
      </c>
      <c r="M34" s="1"/>
      <c r="N34" s="14"/>
      <c r="O34" s="23">
        <v>0</v>
      </c>
    </row>
    <row r="35" spans="2:15">
      <c r="B35" s="13" t="s">
        <v>568</v>
      </c>
      <c r="C35" s="1" t="s">
        <v>569</v>
      </c>
      <c r="D35" s="14" t="s">
        <v>37</v>
      </c>
      <c r="E35" s="23">
        <v>0</v>
      </c>
      <c r="F35" s="3"/>
      <c r="G35" s="13" t="s">
        <v>568</v>
      </c>
      <c r="H35" s="1" t="s">
        <v>569</v>
      </c>
      <c r="I35" s="14" t="s">
        <v>37</v>
      </c>
      <c r="J35" s="23">
        <v>0</v>
      </c>
      <c r="L35" s="13" t="s">
        <v>568</v>
      </c>
      <c r="M35" s="1" t="s">
        <v>569</v>
      </c>
      <c r="N35" s="14" t="s">
        <v>37</v>
      </c>
      <c r="O35" s="23">
        <v>0</v>
      </c>
    </row>
    <row r="36" spans="2:15">
      <c r="B36" s="15" t="s">
        <v>564</v>
      </c>
      <c r="C36" s="15" t="s">
        <v>571</v>
      </c>
      <c r="D36" s="15" t="s">
        <v>557</v>
      </c>
      <c r="E36" s="25">
        <f>E31*(1-E35)</f>
        <v>8366.9702541183124</v>
      </c>
      <c r="F36" s="3"/>
      <c r="G36" s="15" t="s">
        <v>564</v>
      </c>
      <c r="H36" s="15" t="s">
        <v>571</v>
      </c>
      <c r="I36" s="15" t="s">
        <v>557</v>
      </c>
      <c r="J36" s="25">
        <f>J31*(1-J35)</f>
        <v>4773.113390323997</v>
      </c>
      <c r="L36" s="15" t="s">
        <v>564</v>
      </c>
      <c r="M36" s="15" t="s">
        <v>571</v>
      </c>
      <c r="N36" s="15" t="s">
        <v>557</v>
      </c>
      <c r="O36" s="25">
        <f>O31*(1-O35)</f>
        <v>3593.8568637943163</v>
      </c>
    </row>
    <row r="37" spans="2:15">
      <c r="B37" s="21" t="s">
        <v>580</v>
      </c>
      <c r="C37" s="20" t="s">
        <v>571</v>
      </c>
      <c r="D37" s="20" t="s">
        <v>557</v>
      </c>
      <c r="E37" s="26">
        <f>J37+O37</f>
        <v>8366</v>
      </c>
      <c r="F37" s="3"/>
      <c r="G37" s="21" t="s">
        <v>580</v>
      </c>
      <c r="H37" s="20" t="s">
        <v>571</v>
      </c>
      <c r="I37" s="20" t="s">
        <v>557</v>
      </c>
      <c r="J37" s="26">
        <f>_xlfn.FLOOR.MATH(J36)</f>
        <v>4773</v>
      </c>
      <c r="L37" s="21" t="s">
        <v>580</v>
      </c>
      <c r="M37" s="20" t="s">
        <v>571</v>
      </c>
      <c r="N37" s="20" t="s">
        <v>557</v>
      </c>
      <c r="O37" s="26">
        <f>_xlfn.FLOOR.MATH(O36)</f>
        <v>3593</v>
      </c>
    </row>
    <row r="38" spans="2:15">
      <c r="C38" s="252"/>
      <c r="D38" s="252"/>
      <c r="F38" s="3"/>
      <c r="H38" s="252"/>
      <c r="I38" s="252"/>
      <c r="M38" s="252"/>
      <c r="N38" s="252"/>
    </row>
    <row r="39" spans="2:15">
      <c r="I39" s="27"/>
    </row>
    <row r="41" spans="2:15">
      <c r="E41" s="16"/>
      <c r="J41" s="16"/>
      <c r="O41" s="16"/>
    </row>
  </sheetData>
  <mergeCells count="21">
    <mergeCell ref="B2:E2"/>
    <mergeCell ref="G2:J2"/>
    <mergeCell ref="L2:O2"/>
    <mergeCell ref="B4:E4"/>
    <mergeCell ref="G4:J4"/>
    <mergeCell ref="L4:O4"/>
    <mergeCell ref="B12:E12"/>
    <mergeCell ref="G12:J12"/>
    <mergeCell ref="L12:O12"/>
    <mergeCell ref="B20:E20"/>
    <mergeCell ref="G20:J20"/>
    <mergeCell ref="L20:O20"/>
    <mergeCell ref="C38:D38"/>
    <mergeCell ref="H38:I38"/>
    <mergeCell ref="M38:N38"/>
    <mergeCell ref="B26:E26"/>
    <mergeCell ref="G26:J26"/>
    <mergeCell ref="L26:O26"/>
    <mergeCell ref="B33:E33"/>
    <mergeCell ref="G33:J33"/>
    <mergeCell ref="L33:O3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ACE7-819E-4F1D-90FF-5B5FDF1F359E}">
  <dimension ref="A2:P41"/>
  <sheetViews>
    <sheetView topLeftCell="B1" zoomScale="85" zoomScaleNormal="85" workbookViewId="0">
      <selection activeCell="O36" sqref="O36"/>
    </sheetView>
  </sheetViews>
  <sheetFormatPr defaultRowHeight="14.25"/>
  <cols>
    <col min="2" max="2" width="60.7109375" bestFit="1" customWidth="1"/>
    <col min="3" max="3" width="18.28515625" bestFit="1" customWidth="1"/>
    <col min="4" max="4" width="12.42578125" bestFit="1" customWidth="1"/>
    <col min="5" max="5" width="12.7109375" customWidth="1"/>
    <col min="6" max="6" width="7.28515625" customWidth="1"/>
    <col min="7" max="7" width="60.7109375" bestFit="1" customWidth="1"/>
    <col min="8" max="8" width="18.28515625" bestFit="1" customWidth="1"/>
    <col min="9" max="9" width="12.42578125" bestFit="1" customWidth="1"/>
    <col min="10" max="10" width="12.5703125" customWidth="1"/>
    <col min="11" max="11" width="5" customWidth="1"/>
    <col min="12" max="12" width="60.7109375" bestFit="1" customWidth="1"/>
    <col min="13" max="13" width="18.28515625" bestFit="1" customWidth="1"/>
    <col min="14" max="14" width="12.42578125" bestFit="1" customWidth="1"/>
    <col min="15" max="15" width="12.28515625" customWidth="1"/>
  </cols>
  <sheetData>
    <row r="2" spans="1:16" ht="15" customHeight="1">
      <c r="B2" s="250" t="s">
        <v>584</v>
      </c>
      <c r="C2" s="250"/>
      <c r="D2" s="250"/>
      <c r="E2" s="250"/>
      <c r="G2" s="250" t="s">
        <v>574</v>
      </c>
      <c r="H2" s="250"/>
      <c r="I2" s="250"/>
      <c r="J2" s="250"/>
      <c r="L2" s="250" t="s">
        <v>575</v>
      </c>
      <c r="M2" s="250"/>
      <c r="N2" s="250"/>
      <c r="O2" s="250"/>
    </row>
    <row r="4" spans="1:16">
      <c r="A4" s="3"/>
      <c r="B4" s="248" t="s">
        <v>516</v>
      </c>
      <c r="C4" s="249"/>
      <c r="D4" s="249"/>
      <c r="E4" s="253"/>
      <c r="F4" s="3"/>
      <c r="G4" s="248" t="s">
        <v>516</v>
      </c>
      <c r="H4" s="249"/>
      <c r="I4" s="249"/>
      <c r="J4" s="253"/>
      <c r="K4" s="3"/>
      <c r="L4" s="248" t="s">
        <v>516</v>
      </c>
      <c r="M4" s="249"/>
      <c r="N4" s="249"/>
      <c r="O4" s="253"/>
      <c r="P4" s="3"/>
    </row>
    <row r="5" spans="1:16">
      <c r="B5" s="1" t="s">
        <v>517</v>
      </c>
      <c r="C5" s="1" t="s">
        <v>518</v>
      </c>
      <c r="D5" s="1" t="s">
        <v>519</v>
      </c>
      <c r="E5" s="37">
        <v>5.3999999999999999E-2</v>
      </c>
      <c r="F5" s="3"/>
      <c r="G5" s="1" t="s">
        <v>517</v>
      </c>
      <c r="H5" s="1" t="s">
        <v>518</v>
      </c>
      <c r="I5" s="1" t="s">
        <v>519</v>
      </c>
      <c r="J5" s="37">
        <f>E5</f>
        <v>5.3999999999999999E-2</v>
      </c>
      <c r="L5" s="1" t="s">
        <v>517</v>
      </c>
      <c r="M5" s="1" t="s">
        <v>518</v>
      </c>
      <c r="N5" s="1" t="s">
        <v>519</v>
      </c>
      <c r="O5" s="109">
        <f>J5</f>
        <v>5.3999999999999999E-2</v>
      </c>
    </row>
    <row r="6" spans="1:16">
      <c r="B6" s="1" t="s">
        <v>520</v>
      </c>
      <c r="C6" s="1" t="s">
        <v>521</v>
      </c>
      <c r="D6" s="1"/>
      <c r="E6" s="4">
        <f>'Total PTDs'!AM30</f>
        <v>1459485</v>
      </c>
      <c r="F6" s="3"/>
      <c r="G6" s="1" t="s">
        <v>520</v>
      </c>
      <c r="H6" s="1" t="s">
        <v>521</v>
      </c>
      <c r="I6" s="1"/>
      <c r="J6" s="4">
        <f>'Total PTDs'!AH30</f>
        <v>667185</v>
      </c>
      <c r="L6" s="1" t="s">
        <v>520</v>
      </c>
      <c r="M6" s="1" t="s">
        <v>521</v>
      </c>
      <c r="N6" s="1"/>
      <c r="O6" s="4">
        <f>'Total PTDs'!AL30</f>
        <v>792300</v>
      </c>
    </row>
    <row r="7" spans="1:16">
      <c r="B7" s="1" t="s">
        <v>522</v>
      </c>
      <c r="C7" s="1" t="s">
        <v>523</v>
      </c>
      <c r="D7" s="1" t="s">
        <v>524</v>
      </c>
      <c r="E7" s="12">
        <f>J7</f>
        <v>4.0000000000000002E-4</v>
      </c>
      <c r="F7" s="3"/>
      <c r="G7" s="1" t="s">
        <v>522</v>
      </c>
      <c r="H7" s="1" t="s">
        <v>523</v>
      </c>
      <c r="I7" s="1" t="s">
        <v>524</v>
      </c>
      <c r="J7" s="12">
        <v>4.0000000000000002E-4</v>
      </c>
      <c r="L7" s="1" t="s">
        <v>522</v>
      </c>
      <c r="M7" s="1" t="s">
        <v>523</v>
      </c>
      <c r="N7" s="1" t="s">
        <v>524</v>
      </c>
      <c r="O7" s="12">
        <f>J7</f>
        <v>4.0000000000000002E-4</v>
      </c>
    </row>
    <row r="8" spans="1:16" ht="28.5">
      <c r="B8" s="2" t="s">
        <v>577</v>
      </c>
      <c r="C8" s="1" t="s">
        <v>526</v>
      </c>
      <c r="D8" s="1" t="s">
        <v>527</v>
      </c>
      <c r="E8" s="1">
        <v>7</v>
      </c>
      <c r="F8" s="3"/>
      <c r="G8" s="2" t="s">
        <v>577</v>
      </c>
      <c r="H8" s="1" t="s">
        <v>526</v>
      </c>
      <c r="I8" s="1" t="s">
        <v>527</v>
      </c>
      <c r="J8" s="1">
        <v>7</v>
      </c>
      <c r="L8" s="2" t="s">
        <v>577</v>
      </c>
      <c r="M8" s="1" t="s">
        <v>526</v>
      </c>
      <c r="N8" s="1" t="s">
        <v>527</v>
      </c>
      <c r="O8" s="1">
        <v>7</v>
      </c>
    </row>
    <row r="9" spans="1:16">
      <c r="B9" s="2" t="s">
        <v>528</v>
      </c>
      <c r="C9" s="1" t="s">
        <v>529</v>
      </c>
      <c r="D9" s="1" t="s">
        <v>527</v>
      </c>
      <c r="E9" s="1">
        <v>0</v>
      </c>
      <c r="F9" s="3"/>
      <c r="G9" s="2" t="s">
        <v>528</v>
      </c>
      <c r="H9" s="1" t="s">
        <v>529</v>
      </c>
      <c r="I9" s="1" t="s">
        <v>527</v>
      </c>
      <c r="J9" s="1">
        <v>0</v>
      </c>
      <c r="L9" s="2" t="s">
        <v>528</v>
      </c>
      <c r="M9" s="1" t="s">
        <v>529</v>
      </c>
      <c r="N9" s="1" t="s">
        <v>527</v>
      </c>
      <c r="O9" s="1">
        <v>0</v>
      </c>
    </row>
    <row r="10" spans="1:16">
      <c r="B10" s="1" t="s">
        <v>530</v>
      </c>
      <c r="C10" s="1" t="s">
        <v>531</v>
      </c>
      <c r="D10" s="1" t="s">
        <v>532</v>
      </c>
      <c r="E10" s="4">
        <f>(1-E5)*E6*E7*(E8+E9)</f>
        <v>3865.8838679999994</v>
      </c>
      <c r="F10" s="3"/>
      <c r="G10" s="1" t="s">
        <v>530</v>
      </c>
      <c r="H10" s="1" t="s">
        <v>531</v>
      </c>
      <c r="I10" s="1" t="s">
        <v>532</v>
      </c>
      <c r="J10" s="7">
        <f>(1-J5)*J6*J7*(J8+J9)</f>
        <v>1767.239628</v>
      </c>
      <c r="L10" s="1" t="s">
        <v>530</v>
      </c>
      <c r="M10" s="1" t="s">
        <v>531</v>
      </c>
      <c r="N10" s="1" t="s">
        <v>532</v>
      </c>
      <c r="O10" s="7">
        <f>(1-O5)*O6*O7*(O8+O9)</f>
        <v>2098.6442399999996</v>
      </c>
    </row>
    <row r="11" spans="1:16">
      <c r="F11" s="3"/>
    </row>
    <row r="12" spans="1:16">
      <c r="B12" s="248" t="s">
        <v>533</v>
      </c>
      <c r="C12" s="249"/>
      <c r="D12" s="249"/>
      <c r="E12" s="253"/>
      <c r="F12" s="3"/>
      <c r="G12" s="248" t="s">
        <v>533</v>
      </c>
      <c r="H12" s="249"/>
      <c r="I12" s="249"/>
      <c r="J12" s="253"/>
      <c r="L12" s="248" t="s">
        <v>533</v>
      </c>
      <c r="M12" s="249"/>
      <c r="N12" s="249"/>
      <c r="O12" s="253"/>
    </row>
    <row r="13" spans="1:16">
      <c r="B13" s="1" t="s">
        <v>534</v>
      </c>
      <c r="C13" s="1" t="s">
        <v>518</v>
      </c>
      <c r="D13" s="1" t="s">
        <v>519</v>
      </c>
      <c r="E13" s="37">
        <f>E5</f>
        <v>5.3999999999999999E-2</v>
      </c>
      <c r="F13" s="3"/>
      <c r="G13" s="1" t="s">
        <v>534</v>
      </c>
      <c r="H13" s="1" t="s">
        <v>518</v>
      </c>
      <c r="I13" s="1" t="s">
        <v>519</v>
      </c>
      <c r="J13" s="109">
        <f>J5</f>
        <v>5.3999999999999999E-2</v>
      </c>
      <c r="L13" s="1" t="s">
        <v>534</v>
      </c>
      <c r="M13" s="1" t="s">
        <v>518</v>
      </c>
      <c r="N13" s="1" t="s">
        <v>519</v>
      </c>
      <c r="O13" s="109">
        <f>O5</f>
        <v>5.3999999999999999E-2</v>
      </c>
    </row>
    <row r="14" spans="1:16">
      <c r="B14" s="1" t="s">
        <v>520</v>
      </c>
      <c r="C14" s="1" t="s">
        <v>521</v>
      </c>
      <c r="D14" s="1"/>
      <c r="E14" s="4">
        <f>E6</f>
        <v>1459485</v>
      </c>
      <c r="F14" s="3"/>
      <c r="G14" s="1" t="s">
        <v>520</v>
      </c>
      <c r="H14" s="1" t="s">
        <v>521</v>
      </c>
      <c r="I14" s="1"/>
      <c r="J14" s="4">
        <f>J6</f>
        <v>667185</v>
      </c>
      <c r="L14" s="1" t="s">
        <v>520</v>
      </c>
      <c r="M14" s="1" t="s">
        <v>521</v>
      </c>
      <c r="N14" s="1"/>
      <c r="O14" s="4">
        <f>O6</f>
        <v>792300</v>
      </c>
    </row>
    <row r="15" spans="1:16">
      <c r="B15" s="1" t="s">
        <v>535</v>
      </c>
      <c r="C15" s="1" t="s">
        <v>536</v>
      </c>
      <c r="D15" s="1" t="s">
        <v>524</v>
      </c>
      <c r="E15" s="12">
        <f>E7</f>
        <v>4.0000000000000002E-4</v>
      </c>
      <c r="F15" s="3"/>
      <c r="G15" s="1" t="s">
        <v>535</v>
      </c>
      <c r="H15" s="1" t="s">
        <v>536</v>
      </c>
      <c r="I15" s="1" t="s">
        <v>524</v>
      </c>
      <c r="J15" s="12">
        <f>J7</f>
        <v>4.0000000000000002E-4</v>
      </c>
      <c r="L15" s="1" t="s">
        <v>535</v>
      </c>
      <c r="M15" s="1" t="s">
        <v>536</v>
      </c>
      <c r="N15" s="1" t="s">
        <v>524</v>
      </c>
      <c r="O15" s="12">
        <f>O7</f>
        <v>4.0000000000000002E-4</v>
      </c>
    </row>
    <row r="16" spans="1:16">
      <c r="B16" s="1" t="s">
        <v>537</v>
      </c>
      <c r="C16" s="1" t="s">
        <v>529</v>
      </c>
      <c r="D16" s="1" t="s">
        <v>527</v>
      </c>
      <c r="E16" s="1">
        <v>0</v>
      </c>
      <c r="F16" s="3"/>
      <c r="G16" s="1" t="s">
        <v>537</v>
      </c>
      <c r="H16" s="1" t="s">
        <v>529</v>
      </c>
      <c r="I16" s="1" t="s">
        <v>527</v>
      </c>
      <c r="J16" s="1">
        <v>0</v>
      </c>
      <c r="L16" s="1" t="s">
        <v>537</v>
      </c>
      <c r="M16" s="1" t="s">
        <v>529</v>
      </c>
      <c r="N16" s="1" t="s">
        <v>527</v>
      </c>
      <c r="O16" s="1">
        <v>0</v>
      </c>
    </row>
    <row r="17" spans="2:15">
      <c r="B17" s="1" t="s">
        <v>538</v>
      </c>
      <c r="C17" s="1" t="s">
        <v>539</v>
      </c>
      <c r="D17" s="1" t="s">
        <v>527</v>
      </c>
      <c r="E17" s="22">
        <v>0</v>
      </c>
      <c r="F17" s="3"/>
      <c r="G17" s="1" t="s">
        <v>538</v>
      </c>
      <c r="H17" s="1" t="s">
        <v>539</v>
      </c>
      <c r="I17" s="1" t="s">
        <v>527</v>
      </c>
      <c r="J17" s="22">
        <v>0</v>
      </c>
      <c r="L17" s="1" t="s">
        <v>538</v>
      </c>
      <c r="M17" s="1" t="s">
        <v>539</v>
      </c>
      <c r="N17" s="1" t="s">
        <v>527</v>
      </c>
      <c r="O17" s="22">
        <v>0</v>
      </c>
    </row>
    <row r="18" spans="2:15">
      <c r="B18" s="1" t="s">
        <v>540</v>
      </c>
      <c r="C18" s="1" t="s">
        <v>541</v>
      </c>
      <c r="D18" s="1" t="s">
        <v>532</v>
      </c>
      <c r="E18" s="7">
        <f>(1-E13)*E14*E15*(E16+E17)</f>
        <v>0</v>
      </c>
      <c r="F18" s="3"/>
      <c r="G18" s="1" t="s">
        <v>540</v>
      </c>
      <c r="H18" s="1" t="s">
        <v>541</v>
      </c>
      <c r="I18" s="1" t="s">
        <v>532</v>
      </c>
      <c r="J18" s="7">
        <f>(1-J13)*J14*J15*(J16+J17)</f>
        <v>0</v>
      </c>
      <c r="L18" s="1" t="s">
        <v>540</v>
      </c>
      <c r="M18" s="1" t="s">
        <v>541</v>
      </c>
      <c r="N18" s="1" t="s">
        <v>532</v>
      </c>
      <c r="O18" s="7">
        <f>(1-O13)*O14*O15*(O16+O17)</f>
        <v>0</v>
      </c>
    </row>
    <row r="19" spans="2:15">
      <c r="F19" s="3"/>
    </row>
    <row r="20" spans="2:15">
      <c r="B20" s="248" t="s">
        <v>542</v>
      </c>
      <c r="C20" s="249"/>
      <c r="D20" s="249"/>
      <c r="E20" s="253"/>
      <c r="F20" s="3"/>
      <c r="G20" s="248" t="s">
        <v>542</v>
      </c>
      <c r="H20" s="249"/>
      <c r="I20" s="249"/>
      <c r="J20" s="253"/>
      <c r="L20" s="248" t="s">
        <v>542</v>
      </c>
      <c r="M20" s="249"/>
      <c r="N20" s="249"/>
      <c r="O20" s="253"/>
    </row>
    <row r="21" spans="2:15">
      <c r="B21" s="2" t="s">
        <v>543</v>
      </c>
      <c r="C21" s="1" t="s">
        <v>543</v>
      </c>
      <c r="D21" s="1" t="s">
        <v>544</v>
      </c>
      <c r="E21" s="8">
        <v>0.95</v>
      </c>
      <c r="F21" s="3"/>
      <c r="G21" s="2" t="s">
        <v>543</v>
      </c>
      <c r="H21" s="1" t="s">
        <v>543</v>
      </c>
      <c r="I21" s="1" t="s">
        <v>544</v>
      </c>
      <c r="J21" s="8">
        <v>0.95</v>
      </c>
      <c r="L21" s="2" t="s">
        <v>543</v>
      </c>
      <c r="M21" s="1" t="s">
        <v>543</v>
      </c>
      <c r="N21" s="1" t="s">
        <v>544</v>
      </c>
      <c r="O21" s="8">
        <v>0.95</v>
      </c>
    </row>
    <row r="22" spans="2:15">
      <c r="B22" s="1" t="s">
        <v>545</v>
      </c>
      <c r="C22" s="1" t="s">
        <v>546</v>
      </c>
      <c r="D22" s="1" t="s">
        <v>547</v>
      </c>
      <c r="E22" s="1">
        <v>112</v>
      </c>
      <c r="F22" s="3"/>
      <c r="G22" s="1" t="s">
        <v>545</v>
      </c>
      <c r="H22" s="1" t="s">
        <v>546</v>
      </c>
      <c r="I22" s="1" t="s">
        <v>547</v>
      </c>
      <c r="J22" s="1">
        <v>112</v>
      </c>
      <c r="L22" s="1" t="s">
        <v>545</v>
      </c>
      <c r="M22" s="1" t="s">
        <v>546</v>
      </c>
      <c r="N22" s="1" t="s">
        <v>547</v>
      </c>
      <c r="O22" s="1">
        <v>112</v>
      </c>
    </row>
    <row r="23" spans="2:15">
      <c r="B23" s="1" t="s">
        <v>578</v>
      </c>
      <c r="C23" s="1" t="s">
        <v>549</v>
      </c>
      <c r="D23" s="1" t="s">
        <v>550</v>
      </c>
      <c r="E23" s="161">
        <f>(J6*J23+O6*O23)/E6</f>
        <v>9.4600000000000009</v>
      </c>
      <c r="F23" s="3"/>
      <c r="G23" s="1" t="s">
        <v>548</v>
      </c>
      <c r="H23" s="1" t="s">
        <v>549</v>
      </c>
      <c r="I23" s="1" t="s">
        <v>550</v>
      </c>
      <c r="J23" s="1">
        <v>9.4600000000000009</v>
      </c>
      <c r="L23" s="1" t="s">
        <v>548</v>
      </c>
      <c r="M23" s="1" t="s">
        <v>549</v>
      </c>
      <c r="N23" s="1" t="s">
        <v>550</v>
      </c>
      <c r="O23" s="1">
        <f>9.46</f>
        <v>9.4600000000000009</v>
      </c>
    </row>
    <row r="24" spans="2:15">
      <c r="B24" s="1" t="s">
        <v>551</v>
      </c>
      <c r="C24" s="1" t="s">
        <v>552</v>
      </c>
      <c r="D24" s="1" t="s">
        <v>553</v>
      </c>
      <c r="E24" s="1">
        <f>0.0156</f>
        <v>1.5599999999999999E-2</v>
      </c>
      <c r="F24" s="3"/>
      <c r="G24" s="1" t="s">
        <v>551</v>
      </c>
      <c r="H24" s="1" t="s">
        <v>552</v>
      </c>
      <c r="I24" s="1" t="s">
        <v>553</v>
      </c>
      <c r="J24" s="1">
        <v>1.5599999999999999E-2</v>
      </c>
      <c r="L24" s="1" t="s">
        <v>551</v>
      </c>
      <c r="M24" s="1" t="s">
        <v>552</v>
      </c>
      <c r="N24" s="1" t="s">
        <v>553</v>
      </c>
      <c r="O24" s="1">
        <v>1.5599999999999999E-2</v>
      </c>
    </row>
    <row r="25" spans="2:15">
      <c r="F25" s="3"/>
    </row>
    <row r="26" spans="2:15">
      <c r="B26" s="248" t="s">
        <v>554</v>
      </c>
      <c r="C26" s="249"/>
      <c r="D26" s="249"/>
      <c r="E26" s="253"/>
      <c r="F26" s="3"/>
      <c r="G26" s="248" t="s">
        <v>554</v>
      </c>
      <c r="H26" s="249"/>
      <c r="I26" s="249"/>
      <c r="J26" s="253"/>
      <c r="L26" s="248" t="s">
        <v>554</v>
      </c>
      <c r="M26" s="249"/>
      <c r="N26" s="249"/>
      <c r="O26" s="253"/>
    </row>
    <row r="27" spans="2:15">
      <c r="B27" s="1" t="s">
        <v>555</v>
      </c>
      <c r="C27" s="1" t="s">
        <v>556</v>
      </c>
      <c r="D27" s="1" t="s">
        <v>557</v>
      </c>
      <c r="E27" s="4">
        <f>E10*((E22*E21)+E23)*E24</f>
        <v>6987.2603571650852</v>
      </c>
      <c r="F27" s="3"/>
      <c r="G27" s="1" t="s">
        <v>555</v>
      </c>
      <c r="H27" s="1" t="s">
        <v>556</v>
      </c>
      <c r="I27" s="1" t="s">
        <v>557</v>
      </c>
      <c r="J27" s="4">
        <f>J10*((J22*J21)+J23)*J24</f>
        <v>3194.1371794812471</v>
      </c>
      <c r="L27" s="1" t="s">
        <v>555</v>
      </c>
      <c r="M27" s="1" t="s">
        <v>556</v>
      </c>
      <c r="N27" s="1" t="s">
        <v>557</v>
      </c>
      <c r="O27" s="4">
        <f>O10*((O22*O21)+O23)*O24</f>
        <v>3793.1231776838385</v>
      </c>
    </row>
    <row r="28" spans="2:15">
      <c r="B28" s="1" t="s">
        <v>558</v>
      </c>
      <c r="C28" s="1" t="s">
        <v>559</v>
      </c>
      <c r="D28" s="1" t="s">
        <v>557</v>
      </c>
      <c r="E28" s="4">
        <f>E18*((E22*E21)+E23)*E24</f>
        <v>0</v>
      </c>
      <c r="F28" s="3"/>
      <c r="G28" s="1" t="s">
        <v>558</v>
      </c>
      <c r="H28" s="1" t="s">
        <v>559</v>
      </c>
      <c r="I28" s="1" t="s">
        <v>557</v>
      </c>
      <c r="J28" s="4">
        <f>J18*((J22*J21)+J23)*J24</f>
        <v>0</v>
      </c>
      <c r="L28" s="1" t="s">
        <v>558</v>
      </c>
      <c r="M28" s="1" t="s">
        <v>559</v>
      </c>
      <c r="N28" s="1" t="s">
        <v>557</v>
      </c>
      <c r="O28" s="4">
        <f>O18*((O22*O21)+O23)*O24</f>
        <v>0</v>
      </c>
    </row>
    <row r="29" spans="2:15">
      <c r="B29" s="1" t="s">
        <v>579</v>
      </c>
      <c r="C29" s="1" t="s">
        <v>561</v>
      </c>
      <c r="D29" s="1" t="s">
        <v>519</v>
      </c>
      <c r="E29" s="1">
        <v>0.95</v>
      </c>
      <c r="F29" s="3"/>
      <c r="G29" s="1" t="s">
        <v>579</v>
      </c>
      <c r="H29" s="1" t="s">
        <v>561</v>
      </c>
      <c r="I29" s="1" t="s">
        <v>519</v>
      </c>
      <c r="J29" s="1">
        <v>0.95</v>
      </c>
      <c r="L29" s="1" t="s">
        <v>579</v>
      </c>
      <c r="M29" s="1" t="s">
        <v>561</v>
      </c>
      <c r="N29" s="1" t="s">
        <v>519</v>
      </c>
      <c r="O29" s="1">
        <v>0.95</v>
      </c>
    </row>
    <row r="30" spans="2:15">
      <c r="B30" s="1" t="s">
        <v>562</v>
      </c>
      <c r="C30" s="1" t="s">
        <v>563</v>
      </c>
      <c r="D30" s="1" t="s">
        <v>557</v>
      </c>
      <c r="E30" s="1">
        <v>0</v>
      </c>
      <c r="F30" s="3"/>
      <c r="G30" s="1" t="s">
        <v>562</v>
      </c>
      <c r="H30" s="1" t="s">
        <v>563</v>
      </c>
      <c r="I30" s="1" t="s">
        <v>557</v>
      </c>
      <c r="J30" s="1">
        <v>0</v>
      </c>
      <c r="L30" s="1" t="s">
        <v>562</v>
      </c>
      <c r="M30" s="1" t="s">
        <v>563</v>
      </c>
      <c r="N30" s="1" t="s">
        <v>557</v>
      </c>
      <c r="O30" s="1">
        <v>0</v>
      </c>
    </row>
    <row r="31" spans="2:15">
      <c r="B31" s="1" t="s">
        <v>564</v>
      </c>
      <c r="C31" s="1" t="s">
        <v>565</v>
      </c>
      <c r="D31" s="1" t="s">
        <v>557</v>
      </c>
      <c r="E31" s="4">
        <f>((E27-E28)*E29)-E30</f>
        <v>6637.8973393068309</v>
      </c>
      <c r="F31" s="3"/>
      <c r="G31" s="1" t="s">
        <v>564</v>
      </c>
      <c r="H31" s="1" t="s">
        <v>565</v>
      </c>
      <c r="I31" s="1" t="s">
        <v>557</v>
      </c>
      <c r="J31" s="7">
        <f>((J27-J28)*J29)-J30</f>
        <v>3034.4303205071847</v>
      </c>
      <c r="L31" s="1" t="s">
        <v>564</v>
      </c>
      <c r="M31" s="1" t="s">
        <v>565</v>
      </c>
      <c r="N31" s="1" t="s">
        <v>557</v>
      </c>
      <c r="O31" s="7">
        <f>((O27-O28)*O29)-O30</f>
        <v>3603.4670187996467</v>
      </c>
    </row>
    <row r="32" spans="2:15">
      <c r="D32" s="5"/>
      <c r="F32" s="3"/>
      <c r="I32" s="5"/>
      <c r="N32" s="5"/>
    </row>
    <row r="33" spans="2:15">
      <c r="B33" s="251" t="s">
        <v>566</v>
      </c>
      <c r="C33" s="251"/>
      <c r="D33" s="251"/>
      <c r="E33" s="251"/>
      <c r="F33" s="3"/>
      <c r="G33" s="251" t="s">
        <v>566</v>
      </c>
      <c r="H33" s="251"/>
      <c r="I33" s="251"/>
      <c r="J33" s="251"/>
      <c r="L33" s="251" t="s">
        <v>566</v>
      </c>
      <c r="M33" s="251"/>
      <c r="N33" s="251"/>
      <c r="O33" s="251"/>
    </row>
    <row r="34" spans="2:15">
      <c r="B34" s="13" t="s">
        <v>567</v>
      </c>
      <c r="C34" s="1"/>
      <c r="D34" s="14"/>
      <c r="E34" s="23">
        <f>1-E35</f>
        <v>1</v>
      </c>
      <c r="F34" s="3"/>
      <c r="G34" s="13" t="s">
        <v>567</v>
      </c>
      <c r="H34" s="1"/>
      <c r="I34" s="14"/>
      <c r="J34" s="23">
        <f>1-J35</f>
        <v>1</v>
      </c>
      <c r="L34" s="13" t="s">
        <v>567</v>
      </c>
      <c r="M34" s="1"/>
      <c r="N34" s="14"/>
      <c r="O34" s="23">
        <f>1-O35</f>
        <v>1</v>
      </c>
    </row>
    <row r="35" spans="2:15">
      <c r="B35" s="13" t="s">
        <v>568</v>
      </c>
      <c r="C35" s="1" t="s">
        <v>569</v>
      </c>
      <c r="D35" s="14" t="s">
        <v>37</v>
      </c>
      <c r="E35" s="23">
        <v>0</v>
      </c>
      <c r="F35" s="3"/>
      <c r="G35" s="13" t="s">
        <v>568</v>
      </c>
      <c r="H35" s="1" t="s">
        <v>569</v>
      </c>
      <c r="I35" s="14" t="s">
        <v>37</v>
      </c>
      <c r="J35" s="23">
        <v>0</v>
      </c>
      <c r="L35" s="13" t="s">
        <v>568</v>
      </c>
      <c r="M35" s="1" t="s">
        <v>569</v>
      </c>
      <c r="N35" s="14" t="s">
        <v>37</v>
      </c>
      <c r="O35" s="23">
        <v>0</v>
      </c>
    </row>
    <row r="36" spans="2:15">
      <c r="B36" s="15" t="s">
        <v>564</v>
      </c>
      <c r="C36" s="15" t="s">
        <v>571</v>
      </c>
      <c r="D36" s="15" t="s">
        <v>557</v>
      </c>
      <c r="E36" s="25">
        <f>E31*(1-E35)</f>
        <v>6637.8973393068309</v>
      </c>
      <c r="F36" s="3"/>
      <c r="G36" s="15" t="s">
        <v>564</v>
      </c>
      <c r="H36" s="15" t="s">
        <v>571</v>
      </c>
      <c r="I36" s="15" t="s">
        <v>557</v>
      </c>
      <c r="J36" s="25">
        <f>J31*(1-J35)</f>
        <v>3034.4303205071847</v>
      </c>
      <c r="L36" s="15" t="s">
        <v>564</v>
      </c>
      <c r="M36" s="15" t="s">
        <v>571</v>
      </c>
      <c r="N36" s="15" t="s">
        <v>557</v>
      </c>
      <c r="O36" s="25">
        <f>O31*(1-O35)</f>
        <v>3603.4670187996467</v>
      </c>
    </row>
    <row r="37" spans="2:15">
      <c r="B37" s="21" t="s">
        <v>580</v>
      </c>
      <c r="C37" s="20" t="s">
        <v>571</v>
      </c>
      <c r="D37" s="20" t="s">
        <v>557</v>
      </c>
      <c r="E37" s="26">
        <f>J37+O37</f>
        <v>6637</v>
      </c>
      <c r="F37" s="3"/>
      <c r="G37" s="21" t="s">
        <v>580</v>
      </c>
      <c r="H37" s="20" t="s">
        <v>571</v>
      </c>
      <c r="I37" s="20" t="s">
        <v>557</v>
      </c>
      <c r="J37" s="26">
        <f>_xlfn.FLOOR.MATH(J36)</f>
        <v>3034</v>
      </c>
      <c r="L37" s="21" t="s">
        <v>580</v>
      </c>
      <c r="M37" s="20" t="s">
        <v>571</v>
      </c>
      <c r="N37" s="20" t="s">
        <v>557</v>
      </c>
      <c r="O37" s="26">
        <f>_xlfn.FLOOR.MATH(O36)</f>
        <v>3603</v>
      </c>
    </row>
    <row r="38" spans="2:15">
      <c r="C38" s="252"/>
      <c r="D38" s="252"/>
      <c r="F38" s="3"/>
      <c r="H38" s="252"/>
      <c r="I38" s="252"/>
      <c r="M38" s="252"/>
      <c r="N38" s="252"/>
    </row>
    <row r="39" spans="2:15">
      <c r="I39" s="27"/>
    </row>
    <row r="41" spans="2:15">
      <c r="E41" s="16"/>
      <c r="J41" s="16"/>
      <c r="O41" s="16"/>
    </row>
  </sheetData>
  <mergeCells count="21">
    <mergeCell ref="B2:E2"/>
    <mergeCell ref="G2:J2"/>
    <mergeCell ref="L2:O2"/>
    <mergeCell ref="B4:E4"/>
    <mergeCell ref="G4:J4"/>
    <mergeCell ref="L4:O4"/>
    <mergeCell ref="B12:E12"/>
    <mergeCell ref="G12:J12"/>
    <mergeCell ref="L12:O12"/>
    <mergeCell ref="B20:E20"/>
    <mergeCell ref="G20:J20"/>
    <mergeCell ref="L20:O20"/>
    <mergeCell ref="C38:D38"/>
    <mergeCell ref="H38:I38"/>
    <mergeCell ref="M38:N38"/>
    <mergeCell ref="B26:E26"/>
    <mergeCell ref="G26:J26"/>
    <mergeCell ref="L26:O26"/>
    <mergeCell ref="B33:E33"/>
    <mergeCell ref="G33:J33"/>
    <mergeCell ref="L33:O3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67AE2-D551-4FCF-BA39-C4C7BA9F5409}">
  <dimension ref="A2:D21"/>
  <sheetViews>
    <sheetView workbookViewId="0"/>
  </sheetViews>
  <sheetFormatPr defaultRowHeight="14.25"/>
  <cols>
    <col min="1" max="1" width="36.85546875" customWidth="1"/>
    <col min="2" max="2" width="52.140625" customWidth="1"/>
    <col min="3" max="3" width="28.140625" customWidth="1"/>
    <col min="4" max="4" width="7.5703125" bestFit="1" customWidth="1"/>
  </cols>
  <sheetData>
    <row r="2" spans="1:4" ht="18">
      <c r="A2" s="257" t="s">
        <v>585</v>
      </c>
      <c r="B2" s="257"/>
      <c r="C2" s="257"/>
    </row>
    <row r="3" spans="1:4">
      <c r="A3" s="134" t="s">
        <v>586</v>
      </c>
    </row>
    <row r="5" spans="1:4">
      <c r="A5" s="254" t="s">
        <v>587</v>
      </c>
      <c r="B5" s="255"/>
      <c r="C5" s="255"/>
      <c r="D5" s="256"/>
    </row>
    <row r="6" spans="1:4">
      <c r="A6" s="1" t="s">
        <v>588</v>
      </c>
      <c r="B6" s="1" t="s">
        <v>589</v>
      </c>
      <c r="C6" s="1" t="s">
        <v>590</v>
      </c>
      <c r="D6" s="1" t="s">
        <v>34</v>
      </c>
    </row>
    <row r="7" spans="1:4">
      <c r="A7" s="1">
        <v>700</v>
      </c>
      <c r="B7" s="1">
        <v>10</v>
      </c>
      <c r="C7" s="135">
        <f>A7*B7</f>
        <v>7000</v>
      </c>
      <c r="D7" s="1" t="s">
        <v>591</v>
      </c>
    </row>
    <row r="8" spans="1:4">
      <c r="A8" s="254" t="s">
        <v>592</v>
      </c>
      <c r="B8" s="255"/>
      <c r="C8" s="255"/>
      <c r="D8" s="256"/>
    </row>
    <row r="9" spans="1:4">
      <c r="A9" s="1" t="s">
        <v>590</v>
      </c>
      <c r="B9" s="1" t="s">
        <v>593</v>
      </c>
      <c r="C9" s="1" t="s">
        <v>594</v>
      </c>
      <c r="D9" s="1" t="s">
        <v>34</v>
      </c>
    </row>
    <row r="10" spans="1:4">
      <c r="A10" s="136">
        <f>C7</f>
        <v>7000</v>
      </c>
      <c r="B10" s="1">
        <v>20</v>
      </c>
      <c r="C10" s="135">
        <f>A10/B10</f>
        <v>350</v>
      </c>
      <c r="D10" s="1" t="s">
        <v>595</v>
      </c>
    </row>
    <row r="13" spans="1:4" ht="18">
      <c r="A13" s="257" t="s">
        <v>596</v>
      </c>
      <c r="B13" s="257"/>
      <c r="C13" s="257"/>
    </row>
    <row r="14" spans="1:4">
      <c r="A14" s="134" t="s">
        <v>597</v>
      </c>
    </row>
    <row r="16" spans="1:4">
      <c r="A16" s="254" t="s">
        <v>587</v>
      </c>
      <c r="B16" s="255"/>
      <c r="C16" s="255"/>
      <c r="D16" s="256"/>
    </row>
    <row r="17" spans="1:4">
      <c r="A17" s="1" t="s">
        <v>588</v>
      </c>
      <c r="B17" s="1" t="s">
        <v>589</v>
      </c>
      <c r="C17" s="1" t="s">
        <v>590</v>
      </c>
      <c r="D17" s="1" t="s">
        <v>34</v>
      </c>
    </row>
    <row r="18" spans="1:4">
      <c r="A18" s="1">
        <v>800</v>
      </c>
      <c r="B18" s="1">
        <v>10</v>
      </c>
      <c r="C18" s="135">
        <f>A18*B18</f>
        <v>8000</v>
      </c>
      <c r="D18" s="1" t="s">
        <v>591</v>
      </c>
    </row>
    <row r="19" spans="1:4">
      <c r="A19" s="254" t="s">
        <v>592</v>
      </c>
      <c r="B19" s="255"/>
      <c r="C19" s="255"/>
      <c r="D19" s="256"/>
    </row>
    <row r="20" spans="1:4">
      <c r="A20" s="1" t="s">
        <v>590</v>
      </c>
      <c r="B20" s="1" t="s">
        <v>593</v>
      </c>
      <c r="C20" s="1" t="s">
        <v>594</v>
      </c>
      <c r="D20" s="1" t="s">
        <v>34</v>
      </c>
    </row>
    <row r="21" spans="1:4">
      <c r="A21" s="136">
        <f>C18</f>
        <v>8000</v>
      </c>
      <c r="B21" s="1">
        <v>20</v>
      </c>
      <c r="C21" s="135">
        <f>A21/B21</f>
        <v>400</v>
      </c>
      <c r="D21" s="1" t="s">
        <v>595</v>
      </c>
    </row>
  </sheetData>
  <mergeCells count="6">
    <mergeCell ref="A19:D19"/>
    <mergeCell ref="A2:C2"/>
    <mergeCell ref="A5:D5"/>
    <mergeCell ref="A8:D8"/>
    <mergeCell ref="A13:C13"/>
    <mergeCell ref="A16:D16"/>
  </mergeCells>
  <hyperlinks>
    <hyperlink ref="A3" r:id="rId1" xr:uid="{08044304-A5A0-49D7-B902-D78D51B923CF}"/>
    <hyperlink ref="A14" r:id="rId2" xr:uid="{D0FCA54E-0A90-4695-9C3A-E5BA7F0357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E140-99E4-4275-9AC9-3BD7BB3FA7FF}">
  <dimension ref="B2:F284"/>
  <sheetViews>
    <sheetView topLeftCell="A238" zoomScale="74" workbookViewId="0">
      <selection activeCell="D274" sqref="D274"/>
    </sheetView>
  </sheetViews>
  <sheetFormatPr defaultRowHeight="14.25"/>
  <cols>
    <col min="2" max="2" width="25.28515625" style="28" customWidth="1"/>
    <col min="3" max="3" width="72.28515625" style="28" customWidth="1"/>
    <col min="4" max="4" width="8.85546875" style="28" customWidth="1"/>
    <col min="5" max="5" width="11" style="28" bestFit="1" customWidth="1"/>
    <col min="7" max="7" width="25.28515625" customWidth="1"/>
    <col min="8" max="8" width="30.42578125" bestFit="1" customWidth="1"/>
    <col min="9" max="9" width="10.42578125" customWidth="1"/>
  </cols>
  <sheetData>
    <row r="2" spans="2:6" ht="15.75">
      <c r="B2" s="42" t="s">
        <v>29</v>
      </c>
    </row>
    <row r="3" spans="2:6">
      <c r="B3" s="43" t="s">
        <v>30</v>
      </c>
      <c r="C3" s="44"/>
      <c r="D3" s="45"/>
      <c r="E3" s="57"/>
    </row>
    <row r="4" spans="2:6">
      <c r="B4" s="13" t="s">
        <v>31</v>
      </c>
      <c r="C4" s="46" t="s">
        <v>32</v>
      </c>
      <c r="D4" s="46" t="s">
        <v>33</v>
      </c>
      <c r="E4" s="14" t="s">
        <v>34</v>
      </c>
    </row>
    <row r="5" spans="2:6" ht="15.75">
      <c r="B5" s="102" t="s">
        <v>35</v>
      </c>
      <c r="C5" s="97" t="s">
        <v>36</v>
      </c>
      <c r="D5" s="103">
        <v>0.88</v>
      </c>
      <c r="E5" s="67" t="s">
        <v>37</v>
      </c>
    </row>
    <row r="6" spans="2:6" ht="15.75">
      <c r="B6" s="101" t="s">
        <v>38</v>
      </c>
      <c r="C6" s="97" t="s">
        <v>39</v>
      </c>
      <c r="D6" s="171">
        <v>0.1</v>
      </c>
      <c r="E6" s="67" t="s">
        <v>37</v>
      </c>
    </row>
    <row r="7" spans="2:6" ht="15.75">
      <c r="B7" s="185" t="s">
        <v>40</v>
      </c>
      <c r="C7" s="44" t="s">
        <v>41</v>
      </c>
      <c r="D7" s="104">
        <f>(D6-D5)/D5</f>
        <v>-0.88636363636363635</v>
      </c>
      <c r="E7" s="57" t="s">
        <v>37</v>
      </c>
    </row>
    <row r="8" spans="2:6">
      <c r="B8" s="47" t="s">
        <v>42</v>
      </c>
      <c r="C8" s="48"/>
      <c r="D8" s="49"/>
      <c r="E8" s="58"/>
    </row>
    <row r="9" spans="2:6">
      <c r="B9" s="50" t="s">
        <v>31</v>
      </c>
      <c r="C9" s="51" t="s">
        <v>32</v>
      </c>
      <c r="D9" s="51" t="s">
        <v>34</v>
      </c>
      <c r="E9" s="59" t="s">
        <v>33</v>
      </c>
    </row>
    <row r="10" spans="2:6">
      <c r="B10" s="64" t="s">
        <v>43</v>
      </c>
      <c r="C10" s="97" t="s">
        <v>44</v>
      </c>
      <c r="D10" s="100">
        <v>73.760330578512395</v>
      </c>
      <c r="E10" s="66" t="s">
        <v>45</v>
      </c>
    </row>
    <row r="11" spans="2:6">
      <c r="B11" s="64" t="s">
        <v>46</v>
      </c>
      <c r="C11" s="97" t="s">
        <v>47</v>
      </c>
      <c r="D11" s="172">
        <v>46.1</v>
      </c>
      <c r="E11" s="67" t="s">
        <v>45</v>
      </c>
      <c r="F11" s="72">
        <f>D10-D11</f>
        <v>27.660330578512394</v>
      </c>
    </row>
    <row r="12" spans="2:6" ht="15.75">
      <c r="B12" s="52" t="s">
        <v>48</v>
      </c>
      <c r="C12" s="53" t="s">
        <v>49</v>
      </c>
      <c r="D12" s="68">
        <f>(D10-D11)/D10</f>
        <v>0.37500280112044815</v>
      </c>
      <c r="E12" s="69" t="s">
        <v>37</v>
      </c>
      <c r="F12" s="72"/>
    </row>
    <row r="13" spans="2:6">
      <c r="B13" s="54" t="s">
        <v>50</v>
      </c>
      <c r="C13" s="55"/>
      <c r="D13" s="56"/>
      <c r="E13" s="63"/>
    </row>
    <row r="14" spans="2:6">
      <c r="B14" s="50" t="s">
        <v>31</v>
      </c>
      <c r="C14" s="51" t="s">
        <v>32</v>
      </c>
      <c r="D14" s="51" t="s">
        <v>33</v>
      </c>
      <c r="E14" s="59" t="s">
        <v>34</v>
      </c>
    </row>
    <row r="15" spans="2:6" ht="15.4">
      <c r="B15" s="65" t="s">
        <v>51</v>
      </c>
      <c r="C15" s="97" t="s">
        <v>52</v>
      </c>
      <c r="D15" s="227">
        <f>Summary!K4</f>
        <v>3900</v>
      </c>
      <c r="E15" s="67" t="s">
        <v>53</v>
      </c>
    </row>
    <row r="16" spans="2:6" ht="15.4">
      <c r="B16" s="64" t="s">
        <v>54</v>
      </c>
      <c r="C16" s="97" t="s">
        <v>55</v>
      </c>
      <c r="D16" s="99">
        <v>5.3999999999999999E-2</v>
      </c>
      <c r="E16" s="67" t="s">
        <v>37</v>
      </c>
    </row>
    <row r="17" spans="2:6" ht="15.75">
      <c r="B17" s="101" t="s">
        <v>56</v>
      </c>
      <c r="C17" t="s">
        <v>57</v>
      </c>
      <c r="D17" s="99">
        <v>0</v>
      </c>
      <c r="E17" s="67" t="s">
        <v>37</v>
      </c>
    </row>
    <row r="18" spans="2:6">
      <c r="B18" s="60" t="s">
        <v>58</v>
      </c>
      <c r="C18" s="61" t="s">
        <v>59</v>
      </c>
      <c r="D18" s="62">
        <f>D15*(1-D16)*(1-D17)</f>
        <v>3689.3999999999996</v>
      </c>
      <c r="E18" s="63" t="s">
        <v>53</v>
      </c>
      <c r="F18" s="27"/>
    </row>
    <row r="19" spans="2:6">
      <c r="B19" s="175" t="s">
        <v>60</v>
      </c>
      <c r="C19" s="176"/>
      <c r="D19" s="177"/>
      <c r="E19" s="178"/>
      <c r="F19" s="27"/>
    </row>
    <row r="20" spans="2:6">
      <c r="B20" s="13" t="s">
        <v>31</v>
      </c>
      <c r="C20" s="46" t="s">
        <v>32</v>
      </c>
      <c r="D20" s="46" t="s">
        <v>33</v>
      </c>
      <c r="E20" s="14" t="s">
        <v>34</v>
      </c>
    </row>
    <row r="21" spans="2:6">
      <c r="B21" s="179" t="s">
        <v>61</v>
      </c>
      <c r="C21" s="177" t="s">
        <v>62</v>
      </c>
      <c r="D21" s="180">
        <f>'GS7475'!E37</f>
        <v>5767</v>
      </c>
      <c r="E21" s="178" t="s">
        <v>53</v>
      </c>
    </row>
    <row r="22" spans="2:6" s="174" customFormat="1">
      <c r="B22" s="173"/>
      <c r="C22" s="173"/>
      <c r="D22" s="173"/>
      <c r="E22" s="173"/>
    </row>
    <row r="23" spans="2:6" ht="15.75">
      <c r="B23" s="71" t="s">
        <v>63</v>
      </c>
      <c r="C23" s="70"/>
      <c r="D23" s="70"/>
      <c r="E23" s="70"/>
    </row>
    <row r="24" spans="2:6">
      <c r="B24" s="43" t="s">
        <v>30</v>
      </c>
      <c r="C24" s="44"/>
      <c r="D24" s="45"/>
      <c r="E24" s="57"/>
    </row>
    <row r="25" spans="2:6">
      <c r="B25" s="13" t="s">
        <v>31</v>
      </c>
      <c r="C25" s="46" t="s">
        <v>32</v>
      </c>
      <c r="D25" s="46" t="s">
        <v>33</v>
      </c>
      <c r="E25" s="14" t="s">
        <v>34</v>
      </c>
    </row>
    <row r="26" spans="2:6" ht="15.75">
      <c r="B26" s="102" t="s">
        <v>35</v>
      </c>
      <c r="C26" s="97" t="s">
        <v>36</v>
      </c>
      <c r="D26" s="103">
        <v>0.88</v>
      </c>
      <c r="E26" s="67" t="s">
        <v>37</v>
      </c>
    </row>
    <row r="27" spans="2:6" ht="15.75">
      <c r="B27" s="101" t="s">
        <v>38</v>
      </c>
      <c r="C27" s="97" t="s">
        <v>39</v>
      </c>
      <c r="D27" s="103">
        <f>$D$6</f>
        <v>0.1</v>
      </c>
      <c r="E27" s="67" t="s">
        <v>37</v>
      </c>
    </row>
    <row r="28" spans="2:6" ht="15.75">
      <c r="B28" s="105" t="s">
        <v>40</v>
      </c>
      <c r="C28" s="44" t="s">
        <v>41</v>
      </c>
      <c r="D28" s="104">
        <f>(D27-D26)/D26</f>
        <v>-0.88636363636363635</v>
      </c>
      <c r="E28" s="57" t="s">
        <v>37</v>
      </c>
    </row>
    <row r="29" spans="2:6">
      <c r="B29" s="47" t="s">
        <v>42</v>
      </c>
      <c r="C29" s="48"/>
      <c r="D29" s="49"/>
      <c r="E29" s="58"/>
    </row>
    <row r="30" spans="2:6">
      <c r="B30" s="50" t="s">
        <v>31</v>
      </c>
      <c r="C30" s="51" t="s">
        <v>32</v>
      </c>
      <c r="D30" s="51" t="s">
        <v>34</v>
      </c>
      <c r="E30" s="59" t="s">
        <v>33</v>
      </c>
    </row>
    <row r="31" spans="2:6">
      <c r="B31" s="64" t="s">
        <v>43</v>
      </c>
      <c r="C31" s="97" t="s">
        <v>44</v>
      </c>
      <c r="D31" s="100">
        <v>73.760330578512395</v>
      </c>
      <c r="E31" s="66" t="s">
        <v>45</v>
      </c>
    </row>
    <row r="32" spans="2:6">
      <c r="B32" s="64" t="s">
        <v>46</v>
      </c>
      <c r="C32" s="97" t="s">
        <v>47</v>
      </c>
      <c r="D32" s="100">
        <f>$D$11</f>
        <v>46.1</v>
      </c>
      <c r="E32" s="67" t="s">
        <v>45</v>
      </c>
    </row>
    <row r="33" spans="2:6" ht="15.75">
      <c r="B33" s="52" t="s">
        <v>48</v>
      </c>
      <c r="C33" s="53" t="s">
        <v>49</v>
      </c>
      <c r="D33" s="68">
        <f>(D31-D32)/D31</f>
        <v>0.37500280112044815</v>
      </c>
      <c r="E33" s="69" t="s">
        <v>37</v>
      </c>
    </row>
    <row r="34" spans="2:6">
      <c r="B34" s="54" t="s">
        <v>50</v>
      </c>
      <c r="C34" s="55"/>
      <c r="D34" s="56"/>
      <c r="E34" s="63"/>
    </row>
    <row r="35" spans="2:6">
      <c r="B35" s="50" t="s">
        <v>31</v>
      </c>
      <c r="C35" s="51" t="s">
        <v>32</v>
      </c>
      <c r="D35" s="51" t="s">
        <v>33</v>
      </c>
      <c r="E35" s="59" t="s">
        <v>34</v>
      </c>
    </row>
    <row r="36" spans="2:6" ht="15.4">
      <c r="B36" s="65" t="s">
        <v>51</v>
      </c>
      <c r="C36" s="97" t="s">
        <v>52</v>
      </c>
      <c r="D36" s="98">
        <f>Summary!K5</f>
        <v>3900</v>
      </c>
      <c r="E36" s="67" t="s">
        <v>53</v>
      </c>
    </row>
    <row r="37" spans="2:6" ht="15.4">
      <c r="B37" s="64" t="s">
        <v>54</v>
      </c>
      <c r="C37" s="97" t="s">
        <v>55</v>
      </c>
      <c r="D37" s="99">
        <v>5.3999999999999999E-2</v>
      </c>
      <c r="E37" s="67" t="s">
        <v>37</v>
      </c>
    </row>
    <row r="38" spans="2:6" ht="15.75">
      <c r="B38" s="101" t="s">
        <v>56</v>
      </c>
      <c r="C38" t="s">
        <v>57</v>
      </c>
      <c r="D38" s="99">
        <v>0</v>
      </c>
      <c r="E38" s="67" t="s">
        <v>37</v>
      </c>
    </row>
    <row r="39" spans="2:6">
      <c r="B39" s="60" t="s">
        <v>58</v>
      </c>
      <c r="C39" s="61" t="s">
        <v>59</v>
      </c>
      <c r="D39" s="62">
        <f>D36*(1-D37)*(1-D38)</f>
        <v>3689.3999999999996</v>
      </c>
      <c r="E39" s="63" t="s">
        <v>53</v>
      </c>
      <c r="F39" s="27"/>
    </row>
    <row r="40" spans="2:6">
      <c r="B40" s="175" t="s">
        <v>60</v>
      </c>
      <c r="C40" s="176"/>
      <c r="D40" s="177"/>
      <c r="E40" s="178"/>
    </row>
    <row r="41" spans="2:6">
      <c r="B41" s="13" t="s">
        <v>31</v>
      </c>
      <c r="C41" s="46" t="s">
        <v>32</v>
      </c>
      <c r="D41" s="46" t="s">
        <v>33</v>
      </c>
      <c r="E41" s="14" t="s">
        <v>34</v>
      </c>
    </row>
    <row r="42" spans="2:6">
      <c r="B42" s="179" t="s">
        <v>61</v>
      </c>
      <c r="C42" s="177" t="s">
        <v>62</v>
      </c>
      <c r="D42" s="180">
        <f>'GS7476'!E37</f>
        <v>6428</v>
      </c>
      <c r="E42" s="178" t="s">
        <v>53</v>
      </c>
    </row>
    <row r="43" spans="2:6" s="174" customFormat="1">
      <c r="B43" s="181"/>
      <c r="C43" s="181"/>
      <c r="D43" s="182"/>
      <c r="E43" s="181"/>
    </row>
    <row r="45" spans="2:6" ht="15.75">
      <c r="B45" s="71" t="s">
        <v>64</v>
      </c>
      <c r="D45" s="70"/>
      <c r="E45" s="70"/>
    </row>
    <row r="46" spans="2:6">
      <c r="B46" s="43" t="s">
        <v>30</v>
      </c>
      <c r="C46" s="44"/>
      <c r="D46" s="45"/>
      <c r="E46" s="57"/>
    </row>
    <row r="47" spans="2:6">
      <c r="B47" s="13" t="s">
        <v>31</v>
      </c>
      <c r="C47" s="46" t="s">
        <v>32</v>
      </c>
      <c r="D47" s="46" t="s">
        <v>33</v>
      </c>
      <c r="E47" s="14" t="s">
        <v>34</v>
      </c>
    </row>
    <row r="48" spans="2:6" ht="15.75">
      <c r="B48" s="102" t="s">
        <v>35</v>
      </c>
      <c r="C48" s="97" t="s">
        <v>36</v>
      </c>
      <c r="D48" s="103">
        <v>0.88</v>
      </c>
      <c r="E48" s="67" t="s">
        <v>37</v>
      </c>
    </row>
    <row r="49" spans="2:6" ht="15.75">
      <c r="B49" s="101" t="s">
        <v>38</v>
      </c>
      <c r="C49" s="97" t="s">
        <v>39</v>
      </c>
      <c r="D49" s="103">
        <f>$D$6</f>
        <v>0.1</v>
      </c>
      <c r="E49" s="67" t="s">
        <v>37</v>
      </c>
    </row>
    <row r="50" spans="2:6" ht="15.75">
      <c r="B50" s="105" t="s">
        <v>40</v>
      </c>
      <c r="C50" s="44" t="s">
        <v>41</v>
      </c>
      <c r="D50" s="104">
        <f>(D49-D48)/D48</f>
        <v>-0.88636363636363635</v>
      </c>
      <c r="E50" s="57" t="s">
        <v>37</v>
      </c>
    </row>
    <row r="51" spans="2:6">
      <c r="B51" s="47" t="s">
        <v>42</v>
      </c>
      <c r="C51" s="48"/>
      <c r="D51" s="49"/>
      <c r="E51" s="58"/>
    </row>
    <row r="52" spans="2:6">
      <c r="B52" s="50" t="s">
        <v>31</v>
      </c>
      <c r="C52" s="51" t="s">
        <v>32</v>
      </c>
      <c r="D52" s="51" t="s">
        <v>34</v>
      </c>
      <c r="E52" s="59" t="s">
        <v>33</v>
      </c>
    </row>
    <row r="53" spans="2:6">
      <c r="B53" s="64" t="s">
        <v>43</v>
      </c>
      <c r="C53" s="97" t="s">
        <v>44</v>
      </c>
      <c r="D53" s="100">
        <v>73.760330578512395</v>
      </c>
      <c r="E53" s="66" t="s">
        <v>45</v>
      </c>
    </row>
    <row r="54" spans="2:6">
      <c r="B54" s="64" t="s">
        <v>46</v>
      </c>
      <c r="C54" s="97" t="s">
        <v>47</v>
      </c>
      <c r="D54" s="100">
        <f>$D$11</f>
        <v>46.1</v>
      </c>
      <c r="E54" s="67" t="s">
        <v>45</v>
      </c>
    </row>
    <row r="55" spans="2:6" ht="15.75">
      <c r="B55" s="52" t="s">
        <v>48</v>
      </c>
      <c r="C55" s="53" t="s">
        <v>49</v>
      </c>
      <c r="D55" s="68">
        <f>(D53-D54)/D53</f>
        <v>0.37500280112044815</v>
      </c>
      <c r="E55" s="69" t="s">
        <v>37</v>
      </c>
    </row>
    <row r="56" spans="2:6">
      <c r="B56" s="54" t="s">
        <v>50</v>
      </c>
      <c r="C56" s="55"/>
      <c r="D56" s="56"/>
      <c r="E56" s="63"/>
    </row>
    <row r="57" spans="2:6">
      <c r="B57" s="50" t="s">
        <v>31</v>
      </c>
      <c r="C57" s="51" t="s">
        <v>32</v>
      </c>
      <c r="D57" s="51" t="s">
        <v>33</v>
      </c>
      <c r="E57" s="59" t="s">
        <v>34</v>
      </c>
    </row>
    <row r="58" spans="2:6" ht="15.4">
      <c r="B58" s="65" t="s">
        <v>51</v>
      </c>
      <c r="C58" s="97" t="s">
        <v>52</v>
      </c>
      <c r="D58" s="98">
        <f>Summary!K6</f>
        <v>3900</v>
      </c>
      <c r="E58" s="67" t="s">
        <v>53</v>
      </c>
    </row>
    <row r="59" spans="2:6" ht="15.4">
      <c r="B59" s="64" t="s">
        <v>54</v>
      </c>
      <c r="C59" s="97" t="s">
        <v>55</v>
      </c>
      <c r="D59" s="99">
        <v>5.3999999999999999E-2</v>
      </c>
      <c r="E59" s="67" t="s">
        <v>37</v>
      </c>
    </row>
    <row r="60" spans="2:6" ht="15.75">
      <c r="B60" s="101" t="s">
        <v>56</v>
      </c>
      <c r="C60" t="s">
        <v>57</v>
      </c>
      <c r="D60" s="99">
        <v>0</v>
      </c>
      <c r="E60" s="67" t="s">
        <v>37</v>
      </c>
    </row>
    <row r="61" spans="2:6">
      <c r="B61" s="60" t="s">
        <v>58</v>
      </c>
      <c r="C61" s="61" t="s">
        <v>59</v>
      </c>
      <c r="D61" s="62">
        <f>D58*(1-D59)*(1-D60)</f>
        <v>3689.3999999999996</v>
      </c>
      <c r="E61" s="63" t="s">
        <v>53</v>
      </c>
      <c r="F61" s="27"/>
    </row>
    <row r="62" spans="2:6">
      <c r="B62" s="175" t="s">
        <v>60</v>
      </c>
      <c r="C62" s="176"/>
      <c r="D62" s="177"/>
      <c r="E62" s="178"/>
    </row>
    <row r="63" spans="2:6">
      <c r="B63" s="13" t="s">
        <v>31</v>
      </c>
      <c r="C63" s="46" t="s">
        <v>32</v>
      </c>
      <c r="D63" s="46" t="s">
        <v>33</v>
      </c>
      <c r="E63" s="14" t="s">
        <v>34</v>
      </c>
    </row>
    <row r="64" spans="2:6">
      <c r="B64" s="179" t="s">
        <v>61</v>
      </c>
      <c r="C64" s="177" t="s">
        <v>62</v>
      </c>
      <c r="D64" s="180">
        <f>'GS7477'!E37</f>
        <v>5507</v>
      </c>
      <c r="E64" s="178" t="s">
        <v>53</v>
      </c>
    </row>
    <row r="65" spans="2:5" s="174" customFormat="1">
      <c r="B65" s="173"/>
      <c r="C65" s="173"/>
      <c r="D65" s="173"/>
      <c r="E65" s="173"/>
    </row>
    <row r="67" spans="2:5" ht="15.75">
      <c r="B67" s="71" t="s">
        <v>65</v>
      </c>
      <c r="C67" s="70"/>
      <c r="D67" s="70"/>
    </row>
    <row r="68" spans="2:5">
      <c r="B68" s="43" t="s">
        <v>30</v>
      </c>
      <c r="C68" s="44"/>
      <c r="D68" s="45"/>
      <c r="E68" s="57"/>
    </row>
    <row r="69" spans="2:5">
      <c r="B69" s="13" t="s">
        <v>31</v>
      </c>
      <c r="C69" s="46" t="s">
        <v>32</v>
      </c>
      <c r="D69" s="46" t="s">
        <v>33</v>
      </c>
      <c r="E69" s="14" t="s">
        <v>34</v>
      </c>
    </row>
    <row r="70" spans="2:5" ht="15.75">
      <c r="B70" s="102" t="s">
        <v>35</v>
      </c>
      <c r="C70" s="97" t="s">
        <v>36</v>
      </c>
      <c r="D70" s="103">
        <v>0.88</v>
      </c>
      <c r="E70" s="67" t="s">
        <v>37</v>
      </c>
    </row>
    <row r="71" spans="2:5" ht="15.75">
      <c r="B71" s="101" t="s">
        <v>38</v>
      </c>
      <c r="C71" s="97" t="s">
        <v>39</v>
      </c>
      <c r="D71" s="103">
        <f>$D$6</f>
        <v>0.1</v>
      </c>
      <c r="E71" s="67" t="s">
        <v>37</v>
      </c>
    </row>
    <row r="72" spans="2:5" ht="15.75">
      <c r="B72" s="105" t="s">
        <v>40</v>
      </c>
      <c r="C72" s="44" t="s">
        <v>41</v>
      </c>
      <c r="D72" s="104">
        <f>(D71-D70)/D70</f>
        <v>-0.88636363636363635</v>
      </c>
      <c r="E72" s="57" t="s">
        <v>37</v>
      </c>
    </row>
    <row r="73" spans="2:5">
      <c r="B73" s="47" t="s">
        <v>42</v>
      </c>
      <c r="C73" s="48"/>
      <c r="D73" s="49"/>
      <c r="E73" s="58"/>
    </row>
    <row r="74" spans="2:5">
      <c r="B74" s="50" t="s">
        <v>31</v>
      </c>
      <c r="C74" s="51" t="s">
        <v>32</v>
      </c>
      <c r="D74" s="51" t="s">
        <v>34</v>
      </c>
      <c r="E74" s="59" t="s">
        <v>33</v>
      </c>
    </row>
    <row r="75" spans="2:5">
      <c r="B75" s="64" t="s">
        <v>43</v>
      </c>
      <c r="C75" s="97" t="s">
        <v>44</v>
      </c>
      <c r="D75" s="100">
        <v>73.760330578512395</v>
      </c>
      <c r="E75" s="66" t="s">
        <v>45</v>
      </c>
    </row>
    <row r="76" spans="2:5">
      <c r="B76" s="64" t="s">
        <v>46</v>
      </c>
      <c r="C76" s="97" t="s">
        <v>47</v>
      </c>
      <c r="D76" s="100">
        <f>$D$11</f>
        <v>46.1</v>
      </c>
      <c r="E76" s="67" t="s">
        <v>45</v>
      </c>
    </row>
    <row r="77" spans="2:5" ht="15.75">
      <c r="B77" s="52" t="s">
        <v>48</v>
      </c>
      <c r="C77" s="53" t="s">
        <v>49</v>
      </c>
      <c r="D77" s="68">
        <f>(D75-D76)/D75</f>
        <v>0.37500280112044815</v>
      </c>
      <c r="E77" s="69" t="s">
        <v>37</v>
      </c>
    </row>
    <row r="78" spans="2:5">
      <c r="B78" s="54" t="s">
        <v>50</v>
      </c>
      <c r="C78" s="55"/>
      <c r="D78" s="56"/>
      <c r="E78" s="63"/>
    </row>
    <row r="79" spans="2:5">
      <c r="B79" s="50" t="s">
        <v>31</v>
      </c>
      <c r="C79" s="51" t="s">
        <v>32</v>
      </c>
      <c r="D79" s="51" t="s">
        <v>33</v>
      </c>
      <c r="E79" s="59" t="s">
        <v>34</v>
      </c>
    </row>
    <row r="80" spans="2:5" ht="15.4">
      <c r="B80" s="65" t="s">
        <v>51</v>
      </c>
      <c r="C80" s="97" t="s">
        <v>52</v>
      </c>
      <c r="D80" s="98">
        <f>Summary!K7</f>
        <v>3600</v>
      </c>
      <c r="E80" s="67" t="s">
        <v>53</v>
      </c>
    </row>
    <row r="81" spans="2:6" ht="15.4">
      <c r="B81" s="64" t="s">
        <v>54</v>
      </c>
      <c r="C81" s="97" t="s">
        <v>55</v>
      </c>
      <c r="D81" s="99">
        <v>0.02</v>
      </c>
      <c r="E81" s="67" t="s">
        <v>37</v>
      </c>
    </row>
    <row r="82" spans="2:6" ht="15.75">
      <c r="B82" s="101" t="s">
        <v>56</v>
      </c>
      <c r="C82" t="s">
        <v>57</v>
      </c>
      <c r="D82" s="99">
        <v>0.05</v>
      </c>
      <c r="E82" s="67" t="s">
        <v>37</v>
      </c>
    </row>
    <row r="83" spans="2:6">
      <c r="B83" s="60" t="s">
        <v>58</v>
      </c>
      <c r="C83" s="61" t="s">
        <v>59</v>
      </c>
      <c r="D83" s="62">
        <f>D80*(1-D81)*(1-D82)</f>
        <v>3351.6</v>
      </c>
      <c r="E83" s="63" t="s">
        <v>53</v>
      </c>
      <c r="F83" s="27"/>
    </row>
    <row r="84" spans="2:6">
      <c r="B84" s="175" t="s">
        <v>60</v>
      </c>
      <c r="C84" s="176"/>
      <c r="D84" s="177"/>
      <c r="E84" s="178"/>
    </row>
    <row r="85" spans="2:6">
      <c r="B85" s="13" t="s">
        <v>31</v>
      </c>
      <c r="C85" s="46" t="s">
        <v>32</v>
      </c>
      <c r="D85" s="46" t="s">
        <v>33</v>
      </c>
      <c r="E85" s="14" t="s">
        <v>34</v>
      </c>
    </row>
    <row r="86" spans="2:6">
      <c r="B86" s="179" t="s">
        <v>61</v>
      </c>
      <c r="C86" s="177" t="s">
        <v>62</v>
      </c>
      <c r="D86" s="180">
        <f>'GS7478'!E37</f>
        <v>5639</v>
      </c>
      <c r="E86" s="178" t="s">
        <v>53</v>
      </c>
    </row>
    <row r="87" spans="2:6" s="174" customFormat="1">
      <c r="B87" s="173"/>
      <c r="C87" s="173"/>
      <c r="D87" s="173"/>
      <c r="E87" s="173"/>
    </row>
    <row r="89" spans="2:6" ht="15.75">
      <c r="B89" s="42" t="s">
        <v>66</v>
      </c>
      <c r="C89" s="70"/>
      <c r="D89" s="70"/>
      <c r="E89" s="70"/>
    </row>
    <row r="90" spans="2:6">
      <c r="B90" s="43" t="s">
        <v>30</v>
      </c>
      <c r="C90" s="44"/>
      <c r="D90" s="45"/>
      <c r="E90" s="57"/>
    </row>
    <row r="91" spans="2:6">
      <c r="B91" s="13" t="s">
        <v>31</v>
      </c>
      <c r="C91" s="46" t="s">
        <v>32</v>
      </c>
      <c r="D91" s="46" t="s">
        <v>33</v>
      </c>
      <c r="E91" s="14" t="s">
        <v>34</v>
      </c>
    </row>
    <row r="92" spans="2:6" ht="15.75">
      <c r="B92" s="102" t="s">
        <v>35</v>
      </c>
      <c r="C92" s="97" t="s">
        <v>36</v>
      </c>
      <c r="D92" s="103">
        <v>0.88</v>
      </c>
      <c r="E92" s="67" t="s">
        <v>37</v>
      </c>
    </row>
    <row r="93" spans="2:6" ht="15.75">
      <c r="B93" s="101" t="s">
        <v>38</v>
      </c>
      <c r="C93" s="97" t="s">
        <v>39</v>
      </c>
      <c r="D93" s="103">
        <f>$D$6</f>
        <v>0.1</v>
      </c>
      <c r="E93" s="67" t="s">
        <v>37</v>
      </c>
    </row>
    <row r="94" spans="2:6" ht="15.75">
      <c r="B94" s="105" t="s">
        <v>40</v>
      </c>
      <c r="C94" s="44" t="s">
        <v>41</v>
      </c>
      <c r="D94" s="104">
        <f>(D93-D92)/D92</f>
        <v>-0.88636363636363635</v>
      </c>
      <c r="E94" s="57" t="s">
        <v>37</v>
      </c>
    </row>
    <row r="95" spans="2:6">
      <c r="B95" s="47" t="s">
        <v>42</v>
      </c>
      <c r="C95" s="48"/>
      <c r="D95" s="49"/>
      <c r="E95" s="58"/>
    </row>
    <row r="96" spans="2:6">
      <c r="B96" s="50" t="s">
        <v>31</v>
      </c>
      <c r="C96" s="51" t="s">
        <v>32</v>
      </c>
      <c r="D96" s="51" t="s">
        <v>34</v>
      </c>
      <c r="E96" s="59" t="s">
        <v>33</v>
      </c>
    </row>
    <row r="97" spans="2:6">
      <c r="B97" s="64" t="s">
        <v>43</v>
      </c>
      <c r="C97" s="97" t="s">
        <v>44</v>
      </c>
      <c r="D97" s="100">
        <v>73.760330578512395</v>
      </c>
      <c r="E97" s="66" t="s">
        <v>45</v>
      </c>
    </row>
    <row r="98" spans="2:6">
      <c r="B98" s="64" t="s">
        <v>46</v>
      </c>
      <c r="C98" s="97" t="s">
        <v>47</v>
      </c>
      <c r="D98" s="100">
        <f>$D$11</f>
        <v>46.1</v>
      </c>
      <c r="E98" s="67" t="s">
        <v>45</v>
      </c>
    </row>
    <row r="99" spans="2:6" ht="15.75">
      <c r="B99" s="52" t="s">
        <v>48</v>
      </c>
      <c r="C99" s="53" t="s">
        <v>49</v>
      </c>
      <c r="D99" s="68">
        <f>(D97-D98)/D97</f>
        <v>0.37500280112044815</v>
      </c>
      <c r="E99" s="69" t="s">
        <v>37</v>
      </c>
    </row>
    <row r="100" spans="2:6">
      <c r="B100" s="54" t="s">
        <v>50</v>
      </c>
      <c r="C100" s="55"/>
      <c r="D100" s="56"/>
      <c r="E100" s="63"/>
    </row>
    <row r="101" spans="2:6">
      <c r="B101" s="50" t="s">
        <v>31</v>
      </c>
      <c r="C101" s="51" t="s">
        <v>32</v>
      </c>
      <c r="D101" s="51" t="s">
        <v>33</v>
      </c>
      <c r="E101" s="59" t="s">
        <v>34</v>
      </c>
    </row>
    <row r="102" spans="2:6" ht="15.4">
      <c r="B102" s="65" t="s">
        <v>51</v>
      </c>
      <c r="C102" s="97" t="s">
        <v>52</v>
      </c>
      <c r="D102" s="98">
        <f>Summary!K8</f>
        <v>3900</v>
      </c>
      <c r="E102" s="67" t="s">
        <v>53</v>
      </c>
    </row>
    <row r="103" spans="2:6" ht="15.4">
      <c r="B103" s="64" t="s">
        <v>54</v>
      </c>
      <c r="C103" s="97" t="s">
        <v>55</v>
      </c>
      <c r="D103" s="99">
        <v>0.02</v>
      </c>
      <c r="E103" s="67" t="s">
        <v>37</v>
      </c>
    </row>
    <row r="104" spans="2:6" ht="15.75">
      <c r="B104" s="101" t="s">
        <v>56</v>
      </c>
      <c r="C104" t="s">
        <v>57</v>
      </c>
      <c r="D104" s="99">
        <v>0.05</v>
      </c>
      <c r="E104" s="67" t="s">
        <v>37</v>
      </c>
    </row>
    <row r="105" spans="2:6">
      <c r="B105" s="60" t="s">
        <v>58</v>
      </c>
      <c r="C105" s="61" t="s">
        <v>59</v>
      </c>
      <c r="D105" s="62">
        <f>D102*(1-D103)*(1-D104)</f>
        <v>3630.8999999999996</v>
      </c>
      <c r="E105" s="63" t="s">
        <v>53</v>
      </c>
      <c r="F105" s="27"/>
    </row>
    <row r="106" spans="2:6">
      <c r="B106" s="175" t="s">
        <v>60</v>
      </c>
      <c r="C106" s="176"/>
      <c r="D106" s="177"/>
      <c r="E106" s="178"/>
    </row>
    <row r="107" spans="2:6">
      <c r="B107" s="13" t="s">
        <v>31</v>
      </c>
      <c r="C107" s="46" t="s">
        <v>32</v>
      </c>
      <c r="D107" s="46" t="s">
        <v>33</v>
      </c>
      <c r="E107" s="14" t="s">
        <v>34</v>
      </c>
    </row>
    <row r="108" spans="2:6">
      <c r="B108" s="179" t="s">
        <v>61</v>
      </c>
      <c r="C108" s="177" t="s">
        <v>62</v>
      </c>
      <c r="D108" s="180">
        <f>'GS7479'!E37</f>
        <v>6484</v>
      </c>
      <c r="E108" s="178" t="s">
        <v>53</v>
      </c>
    </row>
    <row r="109" spans="2:6" s="174" customFormat="1">
      <c r="B109" s="173"/>
      <c r="C109" s="173"/>
      <c r="D109" s="173"/>
      <c r="E109" s="173"/>
    </row>
    <row r="111" spans="2:6" ht="15.75">
      <c r="B111" s="71" t="s">
        <v>67</v>
      </c>
      <c r="E111" s="70"/>
    </row>
    <row r="112" spans="2:6">
      <c r="B112" s="43" t="s">
        <v>30</v>
      </c>
      <c r="C112" s="44"/>
      <c r="D112" s="45"/>
      <c r="E112" s="57"/>
    </row>
    <row r="113" spans="2:6">
      <c r="B113" s="13" t="s">
        <v>31</v>
      </c>
      <c r="C113" s="46" t="s">
        <v>32</v>
      </c>
      <c r="D113" s="46" t="s">
        <v>33</v>
      </c>
      <c r="E113" s="14" t="s">
        <v>34</v>
      </c>
    </row>
    <row r="114" spans="2:6" ht="15.75">
      <c r="B114" s="102" t="s">
        <v>35</v>
      </c>
      <c r="C114" s="97" t="s">
        <v>36</v>
      </c>
      <c r="D114" s="103">
        <v>0.88</v>
      </c>
      <c r="E114" s="67" t="s">
        <v>37</v>
      </c>
    </row>
    <row r="115" spans="2:6" ht="15.75">
      <c r="B115" s="101" t="s">
        <v>38</v>
      </c>
      <c r="C115" s="97" t="s">
        <v>39</v>
      </c>
      <c r="D115" s="103">
        <f>$D$6</f>
        <v>0.1</v>
      </c>
      <c r="E115" s="67" t="s">
        <v>37</v>
      </c>
    </row>
    <row r="116" spans="2:6" ht="15.75">
      <c r="B116" s="105" t="s">
        <v>40</v>
      </c>
      <c r="C116" s="44" t="s">
        <v>41</v>
      </c>
      <c r="D116" s="104">
        <f>(D115-D114)/D114</f>
        <v>-0.88636363636363635</v>
      </c>
      <c r="E116" s="57" t="s">
        <v>37</v>
      </c>
    </row>
    <row r="117" spans="2:6">
      <c r="B117" s="47" t="s">
        <v>42</v>
      </c>
      <c r="C117" s="48"/>
      <c r="D117" s="49"/>
      <c r="E117" s="58"/>
    </row>
    <row r="118" spans="2:6">
      <c r="B118" s="50" t="s">
        <v>31</v>
      </c>
      <c r="C118" s="51" t="s">
        <v>32</v>
      </c>
      <c r="D118" s="51" t="s">
        <v>34</v>
      </c>
      <c r="E118" s="59" t="s">
        <v>33</v>
      </c>
    </row>
    <row r="119" spans="2:6">
      <c r="B119" s="64" t="s">
        <v>43</v>
      </c>
      <c r="C119" s="97" t="s">
        <v>44</v>
      </c>
      <c r="D119" s="100">
        <v>73.760330578512395</v>
      </c>
      <c r="E119" s="66" t="s">
        <v>45</v>
      </c>
    </row>
    <row r="120" spans="2:6">
      <c r="B120" s="64" t="s">
        <v>46</v>
      </c>
      <c r="C120" s="97" t="s">
        <v>47</v>
      </c>
      <c r="D120" s="100">
        <f>$D$11</f>
        <v>46.1</v>
      </c>
      <c r="E120" s="67" t="s">
        <v>45</v>
      </c>
    </row>
    <row r="121" spans="2:6" ht="15.75">
      <c r="B121" s="52" t="s">
        <v>48</v>
      </c>
      <c r="C121" s="53" t="s">
        <v>49</v>
      </c>
      <c r="D121" s="68">
        <f>(D119-D120)/D119</f>
        <v>0.37500280112044815</v>
      </c>
      <c r="E121" s="69" t="s">
        <v>37</v>
      </c>
    </row>
    <row r="122" spans="2:6">
      <c r="B122" s="54" t="s">
        <v>50</v>
      </c>
      <c r="C122" s="55"/>
      <c r="D122" s="56"/>
      <c r="E122" s="63"/>
    </row>
    <row r="123" spans="2:6">
      <c r="B123" s="50" t="s">
        <v>31</v>
      </c>
      <c r="C123" s="51" t="s">
        <v>32</v>
      </c>
      <c r="D123" s="51" t="s">
        <v>33</v>
      </c>
      <c r="E123" s="59" t="s">
        <v>34</v>
      </c>
    </row>
    <row r="124" spans="2:6" ht="15.4">
      <c r="B124" s="65" t="s">
        <v>51</v>
      </c>
      <c r="C124" s="97" t="s">
        <v>52</v>
      </c>
      <c r="D124" s="98">
        <f>Summary!K9</f>
        <v>3900</v>
      </c>
      <c r="E124" s="67" t="s">
        <v>53</v>
      </c>
    </row>
    <row r="125" spans="2:6" ht="15.4">
      <c r="B125" s="64" t="s">
        <v>54</v>
      </c>
      <c r="C125" s="97" t="s">
        <v>55</v>
      </c>
      <c r="D125" s="99">
        <v>0.02</v>
      </c>
      <c r="E125" s="67" t="s">
        <v>37</v>
      </c>
    </row>
    <row r="126" spans="2:6" ht="15.75">
      <c r="B126" s="101" t="s">
        <v>56</v>
      </c>
      <c r="C126" t="s">
        <v>57</v>
      </c>
      <c r="D126" s="99">
        <v>0.05</v>
      </c>
      <c r="E126" s="67" t="s">
        <v>37</v>
      </c>
    </row>
    <row r="127" spans="2:6">
      <c r="B127" s="60" t="s">
        <v>58</v>
      </c>
      <c r="C127" s="61" t="s">
        <v>59</v>
      </c>
      <c r="D127" s="62">
        <f>D124*(1-D125)*(1-D126)</f>
        <v>3630.8999999999996</v>
      </c>
      <c r="E127" s="63" t="s">
        <v>53</v>
      </c>
      <c r="F127" s="27"/>
    </row>
    <row r="128" spans="2:6">
      <c r="B128" s="175" t="s">
        <v>60</v>
      </c>
      <c r="C128" s="176"/>
      <c r="D128" s="177"/>
      <c r="E128" s="178"/>
    </row>
    <row r="129" spans="2:5">
      <c r="B129" s="13" t="s">
        <v>31</v>
      </c>
      <c r="C129" s="46" t="s">
        <v>32</v>
      </c>
      <c r="D129" s="46" t="s">
        <v>33</v>
      </c>
      <c r="E129" s="14" t="s">
        <v>34</v>
      </c>
    </row>
    <row r="130" spans="2:5">
      <c r="B130" s="179" t="s">
        <v>61</v>
      </c>
      <c r="C130" s="177" t="s">
        <v>62</v>
      </c>
      <c r="D130" s="180">
        <f>'GS7480'!E37</f>
        <v>5904</v>
      </c>
      <c r="E130" s="178" t="s">
        <v>53</v>
      </c>
    </row>
    <row r="131" spans="2:5" s="174" customFormat="1">
      <c r="B131" s="173"/>
      <c r="C131" s="173"/>
      <c r="D131" s="173"/>
      <c r="E131" s="173"/>
    </row>
    <row r="133" spans="2:5" ht="15.75">
      <c r="B133" s="42" t="s">
        <v>68</v>
      </c>
      <c r="C133" s="70"/>
      <c r="D133" s="70"/>
      <c r="E133" s="70"/>
    </row>
    <row r="134" spans="2:5">
      <c r="B134" s="43" t="s">
        <v>30</v>
      </c>
      <c r="C134" s="44"/>
      <c r="D134" s="45"/>
      <c r="E134" s="57"/>
    </row>
    <row r="135" spans="2:5">
      <c r="B135" s="13" t="s">
        <v>31</v>
      </c>
      <c r="C135" s="46" t="s">
        <v>32</v>
      </c>
      <c r="D135" s="46" t="s">
        <v>33</v>
      </c>
      <c r="E135" s="14" t="s">
        <v>34</v>
      </c>
    </row>
    <row r="136" spans="2:5" ht="15.75">
      <c r="B136" s="102" t="s">
        <v>35</v>
      </c>
      <c r="C136" s="97" t="s">
        <v>36</v>
      </c>
      <c r="D136" s="103">
        <v>0.88</v>
      </c>
      <c r="E136" s="67" t="s">
        <v>37</v>
      </c>
    </row>
    <row r="137" spans="2:5" ht="15.75">
      <c r="B137" s="101" t="s">
        <v>38</v>
      </c>
      <c r="C137" s="97" t="s">
        <v>39</v>
      </c>
      <c r="D137" s="103">
        <f>$D$6</f>
        <v>0.1</v>
      </c>
      <c r="E137" s="67" t="s">
        <v>37</v>
      </c>
    </row>
    <row r="138" spans="2:5" ht="15.75">
      <c r="B138" s="105" t="s">
        <v>40</v>
      </c>
      <c r="C138" s="44" t="s">
        <v>41</v>
      </c>
      <c r="D138" s="104">
        <f>(D137-D136)/D136</f>
        <v>-0.88636363636363635</v>
      </c>
      <c r="E138" s="57" t="s">
        <v>37</v>
      </c>
    </row>
    <row r="139" spans="2:5">
      <c r="B139" s="47" t="s">
        <v>42</v>
      </c>
      <c r="C139" s="48"/>
      <c r="D139" s="49"/>
      <c r="E139" s="58"/>
    </row>
    <row r="140" spans="2:5">
      <c r="B140" s="50" t="s">
        <v>31</v>
      </c>
      <c r="C140" s="51" t="s">
        <v>32</v>
      </c>
      <c r="D140" s="51" t="s">
        <v>34</v>
      </c>
      <c r="E140" s="59" t="s">
        <v>33</v>
      </c>
    </row>
    <row r="141" spans="2:5">
      <c r="B141" s="64" t="s">
        <v>43</v>
      </c>
      <c r="C141" s="97" t="s">
        <v>44</v>
      </c>
      <c r="D141" s="100">
        <v>73.760330578512395</v>
      </c>
      <c r="E141" s="66" t="s">
        <v>45</v>
      </c>
    </row>
    <row r="142" spans="2:5">
      <c r="B142" s="64" t="s">
        <v>46</v>
      </c>
      <c r="C142" s="97" t="s">
        <v>47</v>
      </c>
      <c r="D142" s="100">
        <f>$D$11</f>
        <v>46.1</v>
      </c>
      <c r="E142" s="67" t="s">
        <v>45</v>
      </c>
    </row>
    <row r="143" spans="2:5" ht="15.75">
      <c r="B143" s="52" t="s">
        <v>48</v>
      </c>
      <c r="C143" s="53" t="s">
        <v>49</v>
      </c>
      <c r="D143" s="68">
        <f>(D141-D142)/D141</f>
        <v>0.37500280112044815</v>
      </c>
      <c r="E143" s="69" t="s">
        <v>37</v>
      </c>
    </row>
    <row r="144" spans="2:5">
      <c r="B144" s="54" t="s">
        <v>50</v>
      </c>
      <c r="C144" s="55"/>
      <c r="D144" s="56"/>
      <c r="E144" s="63"/>
    </row>
    <row r="145" spans="2:6">
      <c r="B145" s="50" t="s">
        <v>31</v>
      </c>
      <c r="C145" s="51" t="s">
        <v>32</v>
      </c>
      <c r="D145" s="51" t="s">
        <v>33</v>
      </c>
      <c r="E145" s="59" t="s">
        <v>34</v>
      </c>
    </row>
    <row r="146" spans="2:6" ht="15.4">
      <c r="B146" s="65" t="s">
        <v>51</v>
      </c>
      <c r="C146" s="97" t="s">
        <v>52</v>
      </c>
      <c r="D146" s="98">
        <f>Summary!K10</f>
        <v>3900</v>
      </c>
      <c r="E146" s="67" t="s">
        <v>53</v>
      </c>
    </row>
    <row r="147" spans="2:6" ht="15.4">
      <c r="B147" s="64" t="s">
        <v>54</v>
      </c>
      <c r="C147" s="97" t="s">
        <v>55</v>
      </c>
      <c r="D147" s="99">
        <v>0.02</v>
      </c>
      <c r="E147" s="67" t="s">
        <v>37</v>
      </c>
    </row>
    <row r="148" spans="2:6" ht="15.75">
      <c r="B148" s="101" t="s">
        <v>56</v>
      </c>
      <c r="C148" t="s">
        <v>57</v>
      </c>
      <c r="D148" s="99">
        <v>0.05</v>
      </c>
      <c r="E148" s="67" t="s">
        <v>37</v>
      </c>
    </row>
    <row r="149" spans="2:6">
      <c r="B149" s="60" t="s">
        <v>58</v>
      </c>
      <c r="C149" s="61" t="s">
        <v>59</v>
      </c>
      <c r="D149" s="62">
        <f>D146*(1-D147)*(1-D148)</f>
        <v>3630.8999999999996</v>
      </c>
      <c r="E149" s="63" t="s">
        <v>53</v>
      </c>
      <c r="F149" s="27"/>
    </row>
    <row r="150" spans="2:6">
      <c r="B150" s="175" t="s">
        <v>60</v>
      </c>
      <c r="C150" s="176"/>
      <c r="D150" s="177"/>
      <c r="E150" s="178"/>
    </row>
    <row r="151" spans="2:6">
      <c r="B151" s="13" t="s">
        <v>31</v>
      </c>
      <c r="C151" s="46" t="s">
        <v>32</v>
      </c>
      <c r="D151" s="46" t="s">
        <v>33</v>
      </c>
      <c r="E151" s="14" t="s">
        <v>34</v>
      </c>
    </row>
    <row r="152" spans="2:6">
      <c r="B152" s="179" t="s">
        <v>61</v>
      </c>
      <c r="C152" s="177" t="s">
        <v>62</v>
      </c>
      <c r="D152" s="180">
        <f>'GS7481'!E37</f>
        <v>6031</v>
      </c>
      <c r="E152" s="178" t="s">
        <v>53</v>
      </c>
    </row>
    <row r="153" spans="2:6" s="174" customFormat="1">
      <c r="B153" s="173"/>
      <c r="C153" s="173"/>
      <c r="D153" s="173"/>
      <c r="E153" s="173"/>
    </row>
    <row r="155" spans="2:6" ht="15.75">
      <c r="B155" s="42" t="s">
        <v>69</v>
      </c>
    </row>
    <row r="156" spans="2:6">
      <c r="B156" s="43" t="s">
        <v>30</v>
      </c>
      <c r="C156" s="44"/>
      <c r="D156" s="45"/>
      <c r="E156" s="57"/>
    </row>
    <row r="157" spans="2:6">
      <c r="B157" s="13" t="s">
        <v>31</v>
      </c>
      <c r="C157" s="46" t="s">
        <v>32</v>
      </c>
      <c r="D157" s="46" t="s">
        <v>33</v>
      </c>
      <c r="E157" s="14" t="s">
        <v>34</v>
      </c>
    </row>
    <row r="158" spans="2:6" ht="15.75">
      <c r="B158" s="102" t="s">
        <v>35</v>
      </c>
      <c r="C158" s="97" t="s">
        <v>36</v>
      </c>
      <c r="D158" s="103">
        <v>0.88</v>
      </c>
      <c r="E158" s="67" t="s">
        <v>37</v>
      </c>
    </row>
    <row r="159" spans="2:6" ht="15.75">
      <c r="B159" s="101" t="s">
        <v>38</v>
      </c>
      <c r="C159" s="97" t="s">
        <v>39</v>
      </c>
      <c r="D159" s="103">
        <f>$D$6</f>
        <v>0.1</v>
      </c>
      <c r="E159" s="67" t="s">
        <v>37</v>
      </c>
    </row>
    <row r="160" spans="2:6" ht="15.75">
      <c r="B160" s="105" t="s">
        <v>40</v>
      </c>
      <c r="C160" s="44" t="s">
        <v>41</v>
      </c>
      <c r="D160" s="104">
        <f>(D159-D158)/D158</f>
        <v>-0.88636363636363635</v>
      </c>
      <c r="E160" s="57" t="s">
        <v>37</v>
      </c>
    </row>
    <row r="161" spans="2:6">
      <c r="B161" s="47" t="s">
        <v>42</v>
      </c>
      <c r="C161" s="48"/>
      <c r="D161" s="49"/>
      <c r="E161" s="58"/>
    </row>
    <row r="162" spans="2:6">
      <c r="B162" s="50" t="s">
        <v>31</v>
      </c>
      <c r="C162" s="51" t="s">
        <v>32</v>
      </c>
      <c r="D162" s="51" t="s">
        <v>34</v>
      </c>
      <c r="E162" s="59" t="s">
        <v>33</v>
      </c>
    </row>
    <row r="163" spans="2:6">
      <c r="B163" s="64" t="s">
        <v>43</v>
      </c>
      <c r="C163" s="97" t="s">
        <v>44</v>
      </c>
      <c r="D163" s="100">
        <v>73.760330578512395</v>
      </c>
      <c r="E163" s="66" t="s">
        <v>45</v>
      </c>
    </row>
    <row r="164" spans="2:6">
      <c r="B164" s="64" t="s">
        <v>46</v>
      </c>
      <c r="C164" s="97" t="s">
        <v>47</v>
      </c>
      <c r="D164" s="100">
        <f>$D$11</f>
        <v>46.1</v>
      </c>
      <c r="E164" s="67" t="s">
        <v>45</v>
      </c>
    </row>
    <row r="165" spans="2:6" ht="15.75">
      <c r="B165" s="52" t="s">
        <v>48</v>
      </c>
      <c r="C165" s="53" t="s">
        <v>49</v>
      </c>
      <c r="D165" s="68">
        <f>(D163-D164)/D163</f>
        <v>0.37500280112044815</v>
      </c>
      <c r="E165" s="69" t="s">
        <v>37</v>
      </c>
    </row>
    <row r="166" spans="2:6">
      <c r="B166" s="54" t="s">
        <v>50</v>
      </c>
      <c r="C166" s="55"/>
      <c r="D166" s="56"/>
      <c r="E166" s="63"/>
    </row>
    <row r="167" spans="2:6">
      <c r="B167" s="50" t="s">
        <v>31</v>
      </c>
      <c r="C167" s="51" t="s">
        <v>32</v>
      </c>
      <c r="D167" s="51" t="s">
        <v>33</v>
      </c>
      <c r="E167" s="59" t="s">
        <v>34</v>
      </c>
    </row>
    <row r="168" spans="2:6" ht="15.4">
      <c r="B168" s="65" t="s">
        <v>51</v>
      </c>
      <c r="C168" s="97" t="s">
        <v>52</v>
      </c>
      <c r="D168" s="98">
        <f>Summary!K11</f>
        <v>4200</v>
      </c>
      <c r="E168" s="67" t="s">
        <v>53</v>
      </c>
    </row>
    <row r="169" spans="2:6" ht="15.4">
      <c r="B169" s="64" t="s">
        <v>54</v>
      </c>
      <c r="C169" s="97" t="s">
        <v>55</v>
      </c>
      <c r="D169" s="99">
        <v>0.02</v>
      </c>
      <c r="E169" s="67" t="s">
        <v>37</v>
      </c>
    </row>
    <row r="170" spans="2:6" ht="15.75">
      <c r="B170" s="101" t="s">
        <v>56</v>
      </c>
      <c r="C170" t="s">
        <v>57</v>
      </c>
      <c r="D170" s="99">
        <v>0.05</v>
      </c>
      <c r="E170" s="67" t="s">
        <v>37</v>
      </c>
    </row>
    <row r="171" spans="2:6">
      <c r="B171" s="60" t="s">
        <v>58</v>
      </c>
      <c r="C171" s="61" t="s">
        <v>59</v>
      </c>
      <c r="D171" s="62">
        <f>D168*(1-D169)*(1-D170)</f>
        <v>3910.2</v>
      </c>
      <c r="E171" s="63" t="s">
        <v>53</v>
      </c>
      <c r="F171" s="27"/>
    </row>
    <row r="172" spans="2:6">
      <c r="B172" s="175" t="s">
        <v>60</v>
      </c>
      <c r="C172" s="176"/>
      <c r="D172" s="177"/>
      <c r="E172" s="178"/>
    </row>
    <row r="173" spans="2:6">
      <c r="B173" s="13" t="s">
        <v>31</v>
      </c>
      <c r="C173" s="46" t="s">
        <v>32</v>
      </c>
      <c r="D173" s="46" t="s">
        <v>33</v>
      </c>
      <c r="E173" s="14" t="s">
        <v>34</v>
      </c>
    </row>
    <row r="174" spans="2:6">
      <c r="B174" s="179" t="s">
        <v>61</v>
      </c>
      <c r="C174" s="177" t="s">
        <v>62</v>
      </c>
      <c r="D174" s="180">
        <f>'GS7482'!E37</f>
        <v>6822</v>
      </c>
      <c r="E174" s="178" t="s">
        <v>53</v>
      </c>
    </row>
    <row r="175" spans="2:6" s="174" customFormat="1">
      <c r="B175" s="173"/>
      <c r="C175" s="173"/>
      <c r="D175" s="173"/>
      <c r="E175" s="173"/>
    </row>
    <row r="177" spans="2:5" ht="15.75">
      <c r="B177" s="42" t="s">
        <v>70</v>
      </c>
      <c r="E177" s="70"/>
    </row>
    <row r="178" spans="2:5">
      <c r="B178" s="43" t="s">
        <v>30</v>
      </c>
      <c r="C178" s="44"/>
      <c r="D178" s="45"/>
      <c r="E178" s="57"/>
    </row>
    <row r="179" spans="2:5">
      <c r="B179" s="13" t="s">
        <v>31</v>
      </c>
      <c r="C179" s="46" t="s">
        <v>32</v>
      </c>
      <c r="D179" s="46" t="s">
        <v>33</v>
      </c>
      <c r="E179" s="14" t="s">
        <v>34</v>
      </c>
    </row>
    <row r="180" spans="2:5" ht="15.75">
      <c r="B180" s="102" t="s">
        <v>35</v>
      </c>
      <c r="C180" s="97" t="s">
        <v>36</v>
      </c>
      <c r="D180" s="103">
        <v>0.88</v>
      </c>
      <c r="E180" s="67" t="s">
        <v>37</v>
      </c>
    </row>
    <row r="181" spans="2:5" ht="15.75">
      <c r="B181" s="101" t="s">
        <v>38</v>
      </c>
      <c r="C181" s="97" t="s">
        <v>39</v>
      </c>
      <c r="D181" s="103">
        <f>$D$6</f>
        <v>0.1</v>
      </c>
      <c r="E181" s="67" t="s">
        <v>37</v>
      </c>
    </row>
    <row r="182" spans="2:5" ht="15.75">
      <c r="B182" s="105" t="s">
        <v>40</v>
      </c>
      <c r="C182" s="44" t="s">
        <v>41</v>
      </c>
      <c r="D182" s="104">
        <f>(D181-D180)/D180</f>
        <v>-0.88636363636363635</v>
      </c>
      <c r="E182" s="57" t="s">
        <v>37</v>
      </c>
    </row>
    <row r="183" spans="2:5">
      <c r="B183" s="47" t="s">
        <v>42</v>
      </c>
      <c r="C183" s="48"/>
      <c r="D183" s="49"/>
      <c r="E183" s="58"/>
    </row>
    <row r="184" spans="2:5">
      <c r="B184" s="50" t="s">
        <v>31</v>
      </c>
      <c r="C184" s="51" t="s">
        <v>32</v>
      </c>
      <c r="D184" s="51" t="s">
        <v>34</v>
      </c>
      <c r="E184" s="59" t="s">
        <v>33</v>
      </c>
    </row>
    <row r="185" spans="2:5">
      <c r="B185" s="64" t="s">
        <v>43</v>
      </c>
      <c r="C185" s="97" t="s">
        <v>44</v>
      </c>
      <c r="D185" s="100">
        <v>73.760330578512395</v>
      </c>
      <c r="E185" s="66" t="s">
        <v>45</v>
      </c>
    </row>
    <row r="186" spans="2:5">
      <c r="B186" s="64" t="s">
        <v>46</v>
      </c>
      <c r="C186" s="97" t="s">
        <v>47</v>
      </c>
      <c r="D186" s="100">
        <f>$D$11</f>
        <v>46.1</v>
      </c>
      <c r="E186" s="67" t="s">
        <v>45</v>
      </c>
    </row>
    <row r="187" spans="2:5" ht="15.75">
      <c r="B187" s="52" t="s">
        <v>48</v>
      </c>
      <c r="C187" s="53" t="s">
        <v>49</v>
      </c>
      <c r="D187" s="68">
        <f>(D185-D186)/D185</f>
        <v>0.37500280112044815</v>
      </c>
      <c r="E187" s="69" t="s">
        <v>37</v>
      </c>
    </row>
    <row r="188" spans="2:5">
      <c r="B188" s="54" t="s">
        <v>50</v>
      </c>
      <c r="C188" s="55"/>
      <c r="D188" s="56"/>
      <c r="E188" s="63"/>
    </row>
    <row r="189" spans="2:5">
      <c r="B189" s="50" t="s">
        <v>31</v>
      </c>
      <c r="C189" s="51" t="s">
        <v>32</v>
      </c>
      <c r="D189" s="51" t="s">
        <v>33</v>
      </c>
      <c r="E189" s="59" t="s">
        <v>34</v>
      </c>
    </row>
    <row r="190" spans="2:5" ht="15.4">
      <c r="B190" s="65" t="s">
        <v>51</v>
      </c>
      <c r="C190" s="97" t="s">
        <v>52</v>
      </c>
      <c r="D190" s="98">
        <f>Summary!K12</f>
        <v>4200</v>
      </c>
      <c r="E190" s="67" t="s">
        <v>53</v>
      </c>
    </row>
    <row r="191" spans="2:5" ht="15.4">
      <c r="B191" s="64" t="s">
        <v>54</v>
      </c>
      <c r="C191" s="97" t="s">
        <v>55</v>
      </c>
      <c r="D191" s="99">
        <v>0.02</v>
      </c>
      <c r="E191" s="67" t="s">
        <v>37</v>
      </c>
    </row>
    <row r="192" spans="2:5" ht="15.75">
      <c r="B192" s="101" t="s">
        <v>56</v>
      </c>
      <c r="C192" t="s">
        <v>57</v>
      </c>
      <c r="D192" s="99">
        <v>0.05</v>
      </c>
      <c r="E192" s="67" t="s">
        <v>37</v>
      </c>
    </row>
    <row r="193" spans="2:6">
      <c r="B193" s="60" t="s">
        <v>58</v>
      </c>
      <c r="C193" s="61" t="s">
        <v>59</v>
      </c>
      <c r="D193" s="62">
        <f>D190*(1-D191)*(1-D192)</f>
        <v>3910.2</v>
      </c>
      <c r="E193" s="63" t="s">
        <v>53</v>
      </c>
      <c r="F193" s="27"/>
    </row>
    <row r="194" spans="2:6">
      <c r="B194" s="175" t="s">
        <v>60</v>
      </c>
      <c r="C194" s="176"/>
      <c r="D194" s="177"/>
      <c r="E194" s="178"/>
    </row>
    <row r="195" spans="2:6">
      <c r="B195" s="13" t="s">
        <v>31</v>
      </c>
      <c r="C195" s="46" t="s">
        <v>32</v>
      </c>
      <c r="D195" s="46" t="s">
        <v>33</v>
      </c>
      <c r="E195" s="14" t="s">
        <v>34</v>
      </c>
    </row>
    <row r="196" spans="2:6">
      <c r="B196" s="179" t="s">
        <v>61</v>
      </c>
      <c r="C196" s="177" t="s">
        <v>62</v>
      </c>
      <c r="D196" s="180">
        <f>'GS7483'!E37</f>
        <v>6983</v>
      </c>
      <c r="E196" s="178" t="s">
        <v>53</v>
      </c>
    </row>
    <row r="197" spans="2:6" s="174" customFormat="1">
      <c r="B197" s="173"/>
      <c r="C197" s="173"/>
      <c r="D197" s="173"/>
      <c r="E197" s="173"/>
    </row>
    <row r="199" spans="2:6" ht="15.75">
      <c r="B199" s="42" t="s">
        <v>71</v>
      </c>
    </row>
    <row r="200" spans="2:6">
      <c r="B200" s="43" t="s">
        <v>30</v>
      </c>
      <c r="C200" s="44"/>
      <c r="D200" s="45"/>
      <c r="E200" s="57"/>
    </row>
    <row r="201" spans="2:6">
      <c r="B201" s="13" t="s">
        <v>31</v>
      </c>
      <c r="C201" s="46" t="s">
        <v>32</v>
      </c>
      <c r="D201" s="46" t="s">
        <v>33</v>
      </c>
      <c r="E201" s="14" t="s">
        <v>34</v>
      </c>
    </row>
    <row r="202" spans="2:6" ht="15.75">
      <c r="B202" s="102" t="s">
        <v>35</v>
      </c>
      <c r="C202" s="97" t="s">
        <v>36</v>
      </c>
      <c r="D202" s="103">
        <v>0.88</v>
      </c>
      <c r="E202" s="67" t="s">
        <v>37</v>
      </c>
    </row>
    <row r="203" spans="2:6" ht="15.75">
      <c r="B203" s="101" t="s">
        <v>38</v>
      </c>
      <c r="C203" s="97" t="s">
        <v>39</v>
      </c>
      <c r="D203" s="103">
        <f>$D$6</f>
        <v>0.1</v>
      </c>
      <c r="E203" s="67" t="s">
        <v>37</v>
      </c>
    </row>
    <row r="204" spans="2:6" ht="15.75">
      <c r="B204" s="105" t="s">
        <v>40</v>
      </c>
      <c r="C204" s="44" t="s">
        <v>41</v>
      </c>
      <c r="D204" s="104">
        <f>(D203-D202)/D202</f>
        <v>-0.88636363636363635</v>
      </c>
      <c r="E204" s="57" t="s">
        <v>37</v>
      </c>
    </row>
    <row r="205" spans="2:6">
      <c r="B205" s="47" t="s">
        <v>42</v>
      </c>
      <c r="C205" s="48"/>
      <c r="D205" s="49"/>
      <c r="E205" s="58"/>
    </row>
    <row r="206" spans="2:6">
      <c r="B206" s="50" t="s">
        <v>31</v>
      </c>
      <c r="C206" s="51" t="s">
        <v>32</v>
      </c>
      <c r="D206" s="51" t="s">
        <v>34</v>
      </c>
      <c r="E206" s="59" t="s">
        <v>33</v>
      </c>
    </row>
    <row r="207" spans="2:6">
      <c r="B207" s="64" t="s">
        <v>43</v>
      </c>
      <c r="C207" s="97" t="s">
        <v>44</v>
      </c>
      <c r="D207" s="100">
        <v>73.760330578512395</v>
      </c>
      <c r="E207" s="66" t="s">
        <v>45</v>
      </c>
    </row>
    <row r="208" spans="2:6">
      <c r="B208" s="64" t="s">
        <v>46</v>
      </c>
      <c r="C208" s="97" t="s">
        <v>47</v>
      </c>
      <c r="D208" s="100">
        <f>$D$11</f>
        <v>46.1</v>
      </c>
      <c r="E208" s="67" t="s">
        <v>45</v>
      </c>
    </row>
    <row r="209" spans="2:6" ht="15.75">
      <c r="B209" s="52" t="s">
        <v>48</v>
      </c>
      <c r="C209" s="53" t="s">
        <v>49</v>
      </c>
      <c r="D209" s="68">
        <f>(D207-D208)/D207</f>
        <v>0.37500280112044815</v>
      </c>
      <c r="E209" s="69" t="s">
        <v>37</v>
      </c>
    </row>
    <row r="210" spans="2:6">
      <c r="B210" s="54" t="s">
        <v>50</v>
      </c>
      <c r="C210" s="55"/>
      <c r="D210" s="56"/>
      <c r="E210" s="63"/>
    </row>
    <row r="211" spans="2:6">
      <c r="B211" s="50" t="s">
        <v>31</v>
      </c>
      <c r="C211" s="51" t="s">
        <v>32</v>
      </c>
      <c r="D211" s="51" t="s">
        <v>33</v>
      </c>
      <c r="E211" s="59" t="s">
        <v>34</v>
      </c>
    </row>
    <row r="212" spans="2:6" ht="15.4">
      <c r="B212" s="65" t="s">
        <v>51</v>
      </c>
      <c r="C212" s="97" t="s">
        <v>52</v>
      </c>
      <c r="D212" s="98">
        <f>Summary!K13</f>
        <v>4200</v>
      </c>
      <c r="E212" s="67" t="s">
        <v>53</v>
      </c>
    </row>
    <row r="213" spans="2:6" ht="15.4">
      <c r="B213" s="64" t="s">
        <v>54</v>
      </c>
      <c r="C213" s="97" t="s">
        <v>55</v>
      </c>
      <c r="D213" s="99">
        <v>0.02</v>
      </c>
      <c r="E213" s="67" t="s">
        <v>37</v>
      </c>
    </row>
    <row r="214" spans="2:6" ht="15.75">
      <c r="B214" s="101" t="s">
        <v>56</v>
      </c>
      <c r="C214" t="s">
        <v>57</v>
      </c>
      <c r="D214" s="99">
        <v>0.05</v>
      </c>
      <c r="E214" s="67" t="s">
        <v>37</v>
      </c>
    </row>
    <row r="215" spans="2:6">
      <c r="B215" s="60" t="s">
        <v>58</v>
      </c>
      <c r="C215" s="61" t="s">
        <v>59</v>
      </c>
      <c r="D215" s="62">
        <f>D212*(1-D213)*(1-D214)</f>
        <v>3910.2</v>
      </c>
      <c r="E215" s="63" t="s">
        <v>53</v>
      </c>
      <c r="F215" s="27"/>
    </row>
    <row r="216" spans="2:6">
      <c r="B216" s="175" t="s">
        <v>60</v>
      </c>
      <c r="C216" s="176"/>
      <c r="D216" s="177"/>
      <c r="E216" s="178"/>
    </row>
    <row r="217" spans="2:6">
      <c r="B217" s="13" t="s">
        <v>31</v>
      </c>
      <c r="C217" s="46" t="s">
        <v>32</v>
      </c>
      <c r="D217" s="46" t="s">
        <v>33</v>
      </c>
      <c r="E217" s="14" t="s">
        <v>34</v>
      </c>
    </row>
    <row r="218" spans="2:6">
      <c r="B218" s="179" t="s">
        <v>61</v>
      </c>
      <c r="C218" s="177" t="s">
        <v>62</v>
      </c>
      <c r="D218" s="180">
        <f>'GS7484'!E37</f>
        <v>7105</v>
      </c>
      <c r="E218" s="178" t="s">
        <v>53</v>
      </c>
    </row>
    <row r="219" spans="2:6" s="174" customFormat="1">
      <c r="B219" s="173"/>
      <c r="C219" s="173"/>
      <c r="D219" s="173"/>
      <c r="E219" s="173"/>
    </row>
    <row r="221" spans="2:6" ht="15.75">
      <c r="B221" s="42" t="s">
        <v>72</v>
      </c>
    </row>
    <row r="222" spans="2:6">
      <c r="B222" s="43" t="s">
        <v>30</v>
      </c>
      <c r="C222" s="44"/>
      <c r="D222" s="45"/>
      <c r="E222" s="57"/>
    </row>
    <row r="223" spans="2:6">
      <c r="B223" s="13" t="s">
        <v>31</v>
      </c>
      <c r="C223" s="46" t="s">
        <v>32</v>
      </c>
      <c r="D223" s="46" t="s">
        <v>33</v>
      </c>
      <c r="E223" s="14" t="s">
        <v>34</v>
      </c>
    </row>
    <row r="224" spans="2:6" ht="15.75">
      <c r="B224" s="102" t="s">
        <v>35</v>
      </c>
      <c r="C224" s="97" t="s">
        <v>36</v>
      </c>
      <c r="D224" s="103">
        <v>0.88</v>
      </c>
      <c r="E224" s="67" t="s">
        <v>37</v>
      </c>
    </row>
    <row r="225" spans="2:6" ht="15.75">
      <c r="B225" s="101" t="s">
        <v>38</v>
      </c>
      <c r="C225" s="97" t="s">
        <v>39</v>
      </c>
      <c r="D225" s="103">
        <f>$D$6</f>
        <v>0.1</v>
      </c>
      <c r="E225" s="67" t="s">
        <v>37</v>
      </c>
    </row>
    <row r="226" spans="2:6" ht="15.75">
      <c r="B226" s="105" t="s">
        <v>40</v>
      </c>
      <c r="C226" s="44" t="s">
        <v>41</v>
      </c>
      <c r="D226" s="104">
        <f>(D225-D224)/D224</f>
        <v>-0.88636363636363635</v>
      </c>
      <c r="E226" s="57" t="s">
        <v>37</v>
      </c>
    </row>
    <row r="227" spans="2:6">
      <c r="B227" s="47" t="s">
        <v>42</v>
      </c>
      <c r="C227" s="48"/>
      <c r="D227" s="49"/>
      <c r="E227" s="58"/>
    </row>
    <row r="228" spans="2:6">
      <c r="B228" s="50" t="s">
        <v>31</v>
      </c>
      <c r="C228" s="51" t="s">
        <v>32</v>
      </c>
      <c r="D228" s="51" t="s">
        <v>34</v>
      </c>
      <c r="E228" s="59" t="s">
        <v>33</v>
      </c>
    </row>
    <row r="229" spans="2:6">
      <c r="B229" s="64" t="s">
        <v>43</v>
      </c>
      <c r="C229" s="97" t="s">
        <v>44</v>
      </c>
      <c r="D229" s="100">
        <v>61.62</v>
      </c>
      <c r="E229" s="66" t="s">
        <v>45</v>
      </c>
    </row>
    <row r="230" spans="2:6">
      <c r="B230" s="64" t="s">
        <v>46</v>
      </c>
      <c r="C230" s="97" t="s">
        <v>47</v>
      </c>
      <c r="D230" s="100">
        <f>$D$11</f>
        <v>46.1</v>
      </c>
      <c r="E230" s="67" t="s">
        <v>45</v>
      </c>
    </row>
    <row r="231" spans="2:6" ht="15.75">
      <c r="B231" s="52" t="s">
        <v>48</v>
      </c>
      <c r="C231" s="53" t="s">
        <v>49</v>
      </c>
      <c r="D231" s="68">
        <f>(D229-D230)/D229</f>
        <v>0.2518662771827328</v>
      </c>
      <c r="E231" s="69" t="s">
        <v>37</v>
      </c>
    </row>
    <row r="232" spans="2:6">
      <c r="B232" s="54" t="s">
        <v>50</v>
      </c>
      <c r="C232" s="55"/>
      <c r="D232" s="56"/>
      <c r="E232" s="63"/>
    </row>
    <row r="233" spans="2:6">
      <c r="B233" s="50" t="s">
        <v>31</v>
      </c>
      <c r="C233" s="51" t="s">
        <v>32</v>
      </c>
      <c r="D233" s="51" t="s">
        <v>33</v>
      </c>
      <c r="E233" s="59" t="s">
        <v>34</v>
      </c>
    </row>
    <row r="234" spans="2:6" ht="15.4">
      <c r="B234" s="65" t="s">
        <v>51</v>
      </c>
      <c r="C234" s="97" t="s">
        <v>52</v>
      </c>
      <c r="D234" s="98">
        <f>Summary!K14</f>
        <v>5992</v>
      </c>
      <c r="E234" s="67" t="s">
        <v>53</v>
      </c>
    </row>
    <row r="235" spans="2:6" ht="15.4">
      <c r="B235" s="64" t="s">
        <v>54</v>
      </c>
      <c r="C235" s="97" t="s">
        <v>55</v>
      </c>
      <c r="D235" s="99">
        <v>5.3999999999999999E-2</v>
      </c>
      <c r="E235" s="67" t="s">
        <v>37</v>
      </c>
    </row>
    <row r="236" spans="2:6" ht="15.75">
      <c r="B236" s="101" t="s">
        <v>56</v>
      </c>
      <c r="C236" t="s">
        <v>57</v>
      </c>
      <c r="D236" s="99">
        <v>0</v>
      </c>
      <c r="E236" s="67" t="s">
        <v>37</v>
      </c>
    </row>
    <row r="237" spans="2:6">
      <c r="B237" s="60" t="s">
        <v>58</v>
      </c>
      <c r="C237" s="61" t="s">
        <v>59</v>
      </c>
      <c r="D237" s="62">
        <f>D234*(1-D235)*(1-D236)</f>
        <v>5668.4319999999998</v>
      </c>
      <c r="E237" s="63" t="s">
        <v>53</v>
      </c>
      <c r="F237" s="27"/>
    </row>
    <row r="238" spans="2:6">
      <c r="B238" s="175" t="s">
        <v>60</v>
      </c>
      <c r="C238" s="176"/>
      <c r="D238" s="177"/>
      <c r="E238" s="178"/>
    </row>
    <row r="239" spans="2:6">
      <c r="B239" s="13" t="s">
        <v>31</v>
      </c>
      <c r="C239" s="46" t="s">
        <v>32</v>
      </c>
      <c r="D239" s="46" t="s">
        <v>33</v>
      </c>
      <c r="E239" s="14" t="s">
        <v>34</v>
      </c>
    </row>
    <row r="240" spans="2:6">
      <c r="B240" s="179" t="s">
        <v>61</v>
      </c>
      <c r="C240" s="177" t="s">
        <v>62</v>
      </c>
      <c r="D240" s="180">
        <f>'GS10663'!E37</f>
        <v>9651</v>
      </c>
      <c r="E240" s="178" t="s">
        <v>53</v>
      </c>
    </row>
    <row r="241" spans="2:5" s="174" customFormat="1">
      <c r="B241" s="173"/>
      <c r="C241" s="173"/>
      <c r="D241" s="173"/>
      <c r="E241" s="173"/>
    </row>
    <row r="243" spans="2:5" ht="15.75">
      <c r="B243" s="42" t="s">
        <v>73</v>
      </c>
    </row>
    <row r="244" spans="2:5">
      <c r="B244" s="43" t="s">
        <v>30</v>
      </c>
      <c r="C244" s="44"/>
      <c r="D244" s="45"/>
      <c r="E244" s="57"/>
    </row>
    <row r="245" spans="2:5">
      <c r="B245" s="13" t="s">
        <v>31</v>
      </c>
      <c r="C245" s="46" t="s">
        <v>32</v>
      </c>
      <c r="D245" s="46" t="s">
        <v>33</v>
      </c>
      <c r="E245" s="14" t="s">
        <v>34</v>
      </c>
    </row>
    <row r="246" spans="2:5" ht="15.75">
      <c r="B246" s="102" t="s">
        <v>35</v>
      </c>
      <c r="C246" s="97" t="s">
        <v>36</v>
      </c>
      <c r="D246" s="103">
        <v>0.88</v>
      </c>
      <c r="E246" s="67" t="s">
        <v>37</v>
      </c>
    </row>
    <row r="247" spans="2:5" ht="15.75">
      <c r="B247" s="101" t="s">
        <v>38</v>
      </c>
      <c r="C247" s="97" t="s">
        <v>39</v>
      </c>
      <c r="D247" s="103">
        <f>$D$6</f>
        <v>0.1</v>
      </c>
      <c r="E247" s="67" t="s">
        <v>37</v>
      </c>
    </row>
    <row r="248" spans="2:5" ht="15.75">
      <c r="B248" s="105" t="s">
        <v>40</v>
      </c>
      <c r="C248" s="44" t="s">
        <v>41</v>
      </c>
      <c r="D248" s="104">
        <f>(D247-D246)/D246</f>
        <v>-0.88636363636363635</v>
      </c>
      <c r="E248" s="57" t="s">
        <v>37</v>
      </c>
    </row>
    <row r="249" spans="2:5">
      <c r="B249" s="47" t="s">
        <v>42</v>
      </c>
      <c r="C249" s="48"/>
      <c r="D249" s="49"/>
      <c r="E249" s="58"/>
    </row>
    <row r="250" spans="2:5">
      <c r="B250" s="50" t="s">
        <v>31</v>
      </c>
      <c r="C250" s="51" t="s">
        <v>32</v>
      </c>
      <c r="D250" s="51" t="s">
        <v>34</v>
      </c>
      <c r="E250" s="59" t="s">
        <v>33</v>
      </c>
    </row>
    <row r="251" spans="2:5">
      <c r="B251" s="64" t="s">
        <v>43</v>
      </c>
      <c r="C251" s="97" t="s">
        <v>44</v>
      </c>
      <c r="D251" s="100">
        <v>61.62</v>
      </c>
      <c r="E251" s="66" t="s">
        <v>45</v>
      </c>
    </row>
    <row r="252" spans="2:5">
      <c r="B252" s="64" t="s">
        <v>46</v>
      </c>
      <c r="C252" s="97" t="s">
        <v>47</v>
      </c>
      <c r="D252" s="100">
        <f>$D$11</f>
        <v>46.1</v>
      </c>
      <c r="E252" s="67" t="s">
        <v>45</v>
      </c>
    </row>
    <row r="253" spans="2:5" ht="15.75">
      <c r="B253" s="52" t="s">
        <v>48</v>
      </c>
      <c r="C253" s="53" t="s">
        <v>49</v>
      </c>
      <c r="D253" s="68">
        <f>(D251-D252)/D251</f>
        <v>0.2518662771827328</v>
      </c>
      <c r="E253" s="69" t="s">
        <v>37</v>
      </c>
    </row>
    <row r="254" spans="2:5">
      <c r="B254" s="54" t="s">
        <v>50</v>
      </c>
      <c r="C254" s="55"/>
      <c r="D254" s="56"/>
      <c r="E254" s="63"/>
    </row>
    <row r="255" spans="2:5">
      <c r="B255" s="50" t="s">
        <v>31</v>
      </c>
      <c r="C255" s="51" t="s">
        <v>32</v>
      </c>
      <c r="D255" s="51" t="s">
        <v>33</v>
      </c>
      <c r="E255" s="59" t="s">
        <v>34</v>
      </c>
    </row>
    <row r="256" spans="2:5" ht="15.4">
      <c r="B256" s="65" t="s">
        <v>51</v>
      </c>
      <c r="C256" s="97" t="s">
        <v>52</v>
      </c>
      <c r="D256" s="98">
        <f>Summary!K15</f>
        <v>5984</v>
      </c>
      <c r="E256" s="67" t="s">
        <v>53</v>
      </c>
    </row>
    <row r="257" spans="2:6" ht="15.4">
      <c r="B257" s="64" t="s">
        <v>54</v>
      </c>
      <c r="C257" s="97" t="s">
        <v>55</v>
      </c>
      <c r="D257" s="99">
        <v>5.3999999999999999E-2</v>
      </c>
      <c r="E257" s="67" t="s">
        <v>37</v>
      </c>
    </row>
    <row r="258" spans="2:6" ht="15.75">
      <c r="B258" s="101" t="s">
        <v>56</v>
      </c>
      <c r="C258" t="s">
        <v>57</v>
      </c>
      <c r="D258" s="99">
        <v>0</v>
      </c>
      <c r="E258" s="67" t="s">
        <v>37</v>
      </c>
    </row>
    <row r="259" spans="2:6">
      <c r="B259" s="60" t="s">
        <v>58</v>
      </c>
      <c r="C259" s="61" t="s">
        <v>59</v>
      </c>
      <c r="D259" s="62">
        <f>D256*(1-D257)*(1-D258)</f>
        <v>5660.8639999999996</v>
      </c>
      <c r="E259" s="63" t="s">
        <v>53</v>
      </c>
      <c r="F259" s="27"/>
    </row>
    <row r="260" spans="2:6">
      <c r="B260" s="175" t="s">
        <v>60</v>
      </c>
      <c r="C260" s="176"/>
      <c r="D260" s="177"/>
      <c r="E260" s="178"/>
    </row>
    <row r="261" spans="2:6">
      <c r="B261" s="13" t="s">
        <v>31</v>
      </c>
      <c r="C261" s="46" t="s">
        <v>32</v>
      </c>
      <c r="D261" s="46" t="s">
        <v>33</v>
      </c>
      <c r="E261" s="14" t="s">
        <v>34</v>
      </c>
    </row>
    <row r="262" spans="2:6">
      <c r="B262" s="179" t="s">
        <v>61</v>
      </c>
      <c r="C262" s="177" t="s">
        <v>62</v>
      </c>
      <c r="D262" s="180">
        <f>'GS10664'!E37</f>
        <v>8366</v>
      </c>
      <c r="E262" s="178" t="s">
        <v>53</v>
      </c>
    </row>
    <row r="263" spans="2:6" s="174" customFormat="1">
      <c r="B263" s="173"/>
      <c r="C263" s="173"/>
      <c r="D263" s="173"/>
      <c r="E263" s="173"/>
    </row>
    <row r="265" spans="2:6" ht="15.75">
      <c r="B265" s="42" t="s">
        <v>74</v>
      </c>
    </row>
    <row r="266" spans="2:6">
      <c r="B266" s="43" t="s">
        <v>30</v>
      </c>
      <c r="C266" s="44"/>
      <c r="D266" s="45"/>
      <c r="E266" s="57"/>
    </row>
    <row r="267" spans="2:6">
      <c r="B267" s="13" t="s">
        <v>31</v>
      </c>
      <c r="C267" s="46" t="s">
        <v>32</v>
      </c>
      <c r="D267" s="46" t="s">
        <v>33</v>
      </c>
      <c r="E267" s="14" t="s">
        <v>34</v>
      </c>
    </row>
    <row r="268" spans="2:6" ht="15.75">
      <c r="B268" s="102" t="s">
        <v>35</v>
      </c>
      <c r="C268" s="97" t="s">
        <v>36</v>
      </c>
      <c r="D268" s="103">
        <v>0.88</v>
      </c>
      <c r="E268" s="67" t="s">
        <v>37</v>
      </c>
    </row>
    <row r="269" spans="2:6" ht="15.75">
      <c r="B269" s="101" t="s">
        <v>38</v>
      </c>
      <c r="C269" s="97" t="s">
        <v>39</v>
      </c>
      <c r="D269" s="103">
        <f>$D$6</f>
        <v>0.1</v>
      </c>
      <c r="E269" s="67" t="s">
        <v>37</v>
      </c>
    </row>
    <row r="270" spans="2:6" ht="15.75">
      <c r="B270" s="105" t="s">
        <v>40</v>
      </c>
      <c r="C270" s="44" t="s">
        <v>41</v>
      </c>
      <c r="D270" s="104">
        <f>(D269-D268)/D268</f>
        <v>-0.88636363636363635</v>
      </c>
      <c r="E270" s="57" t="s">
        <v>37</v>
      </c>
    </row>
    <row r="271" spans="2:6">
      <c r="B271" s="47" t="s">
        <v>42</v>
      </c>
      <c r="C271" s="48"/>
      <c r="D271" s="49"/>
      <c r="E271" s="58"/>
    </row>
    <row r="272" spans="2:6">
      <c r="B272" s="50" t="s">
        <v>31</v>
      </c>
      <c r="C272" s="51" t="s">
        <v>32</v>
      </c>
      <c r="D272" s="51" t="s">
        <v>34</v>
      </c>
      <c r="E272" s="59" t="s">
        <v>33</v>
      </c>
    </row>
    <row r="273" spans="2:6">
      <c r="B273" s="64" t="s">
        <v>43</v>
      </c>
      <c r="C273" s="97" t="s">
        <v>44</v>
      </c>
      <c r="D273" s="100">
        <v>61.62</v>
      </c>
      <c r="E273" s="66" t="s">
        <v>45</v>
      </c>
    </row>
    <row r="274" spans="2:6">
      <c r="B274" s="64" t="s">
        <v>46</v>
      </c>
      <c r="C274" s="97" t="s">
        <v>47</v>
      </c>
      <c r="D274" s="100">
        <f>$D$11</f>
        <v>46.1</v>
      </c>
      <c r="E274" s="67" t="s">
        <v>45</v>
      </c>
    </row>
    <row r="275" spans="2:6" ht="15.75">
      <c r="B275" s="52" t="s">
        <v>48</v>
      </c>
      <c r="C275" s="53" t="s">
        <v>49</v>
      </c>
      <c r="D275" s="68">
        <f>(D273-D274)/D273</f>
        <v>0.2518662771827328</v>
      </c>
      <c r="E275" s="69" t="s">
        <v>37</v>
      </c>
    </row>
    <row r="276" spans="2:6">
      <c r="B276" s="54" t="s">
        <v>50</v>
      </c>
      <c r="C276" s="55"/>
      <c r="D276" s="56"/>
      <c r="E276" s="63"/>
    </row>
    <row r="277" spans="2:6">
      <c r="B277" s="50" t="s">
        <v>31</v>
      </c>
      <c r="C277" s="51" t="s">
        <v>32</v>
      </c>
      <c r="D277" s="51" t="s">
        <v>33</v>
      </c>
      <c r="E277" s="59" t="s">
        <v>34</v>
      </c>
    </row>
    <row r="278" spans="2:6" ht="15.4">
      <c r="B278" s="65" t="s">
        <v>51</v>
      </c>
      <c r="C278" s="97" t="s">
        <v>52</v>
      </c>
      <c r="D278" s="98">
        <f>Summary!K16</f>
        <v>6000</v>
      </c>
      <c r="E278" s="67" t="s">
        <v>53</v>
      </c>
    </row>
    <row r="279" spans="2:6" ht="15.4">
      <c r="B279" s="64" t="s">
        <v>54</v>
      </c>
      <c r="C279" s="97" t="s">
        <v>55</v>
      </c>
      <c r="D279" s="99">
        <v>5.3999999999999999E-2</v>
      </c>
      <c r="E279" s="67" t="s">
        <v>37</v>
      </c>
    </row>
    <row r="280" spans="2:6" ht="15.75">
      <c r="B280" s="101" t="s">
        <v>56</v>
      </c>
      <c r="C280" t="s">
        <v>57</v>
      </c>
      <c r="D280" s="99">
        <v>0</v>
      </c>
      <c r="E280" s="67" t="s">
        <v>37</v>
      </c>
    </row>
    <row r="281" spans="2:6">
      <c r="B281" s="60" t="s">
        <v>58</v>
      </c>
      <c r="C281" s="61" t="s">
        <v>59</v>
      </c>
      <c r="D281" s="62">
        <f>D278*(1-D279)*(1-D280)</f>
        <v>5676</v>
      </c>
      <c r="E281" s="63" t="s">
        <v>53</v>
      </c>
      <c r="F281" s="27"/>
    </row>
    <row r="282" spans="2:6">
      <c r="B282" s="175" t="s">
        <v>60</v>
      </c>
      <c r="C282" s="176"/>
      <c r="D282" s="177"/>
      <c r="E282" s="178"/>
    </row>
    <row r="283" spans="2:6">
      <c r="B283" s="13" t="s">
        <v>31</v>
      </c>
      <c r="C283" s="46" t="s">
        <v>32</v>
      </c>
      <c r="D283" s="46" t="s">
        <v>33</v>
      </c>
      <c r="E283" s="14" t="s">
        <v>34</v>
      </c>
    </row>
    <row r="284" spans="2:6">
      <c r="B284" s="179" t="s">
        <v>61</v>
      </c>
      <c r="C284" s="177" t="s">
        <v>62</v>
      </c>
      <c r="D284" s="180">
        <f>'GS10665'!E37</f>
        <v>6637</v>
      </c>
      <c r="E284" s="178" t="s">
        <v>53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89656-4920-479C-9FC3-ED4411F9CD90}">
  <dimension ref="A1:AP233"/>
  <sheetViews>
    <sheetView zoomScale="70" zoomScaleNormal="70" workbookViewId="0">
      <pane xSplit="2" ySplit="2" topLeftCell="Y3" activePane="bottomRight" state="frozen"/>
      <selection pane="bottomRight" activeCell="AG9" sqref="AG9"/>
      <selection pane="bottomLeft" activeCell="A3" sqref="A3"/>
      <selection pane="topRight" activeCell="C1" sqref="C1"/>
    </sheetView>
  </sheetViews>
  <sheetFormatPr defaultColWidth="9.28515625" defaultRowHeight="14.25"/>
  <cols>
    <col min="1" max="1" width="9.28515625" style="10"/>
    <col min="2" max="2" width="22.85546875" style="11" customWidth="1"/>
    <col min="3" max="3" width="44.5703125" style="10" customWidth="1"/>
    <col min="4" max="4" width="12.42578125" style="10" customWidth="1"/>
    <col min="5" max="5" width="15.85546875" style="10" customWidth="1"/>
    <col min="6" max="6" width="14.42578125" style="10" customWidth="1"/>
    <col min="7" max="7" width="13.5703125" style="10" customWidth="1"/>
    <col min="8" max="8" width="11.5703125" style="10" customWidth="1"/>
    <col min="9" max="9" width="10.42578125" style="10" customWidth="1"/>
    <col min="10" max="10" width="10" style="10" customWidth="1"/>
    <col min="11" max="11" width="11.28515625" style="10" customWidth="1"/>
    <col min="12" max="16" width="11.85546875" style="10" customWidth="1"/>
    <col min="17" max="17" width="13.42578125" style="10" customWidth="1"/>
    <col min="18" max="18" width="12.85546875" style="10" customWidth="1"/>
    <col min="19" max="22" width="13.5703125" style="10" customWidth="1"/>
    <col min="23" max="23" width="14.28515625" style="10" customWidth="1"/>
    <col min="24" max="24" width="13.85546875" style="10" customWidth="1"/>
    <col min="25" max="28" width="14.5703125" style="10" customWidth="1"/>
    <col min="29" max="29" width="7.85546875" style="10" customWidth="1"/>
    <col min="30" max="30" width="16.85546875" style="10" customWidth="1"/>
    <col min="31" max="31" width="16.5703125" style="217" customWidth="1"/>
    <col min="32" max="32" width="14.140625" style="217" customWidth="1"/>
    <col min="33" max="33" width="16.28515625" style="217" customWidth="1"/>
    <col min="34" max="34" width="15" style="10" customWidth="1"/>
    <col min="35" max="36" width="13.28515625" style="217" customWidth="1"/>
    <col min="37" max="38" width="13.28515625" style="10" customWidth="1"/>
    <col min="39" max="39" width="11" style="10" customWidth="1"/>
    <col min="40" max="40" width="12.5703125" style="10" customWidth="1"/>
    <col min="41" max="41" width="12.7109375" style="10" customWidth="1"/>
    <col min="42" max="42" width="13.42578125" style="10" customWidth="1"/>
    <col min="43" max="16384" width="9.28515625" style="10"/>
  </cols>
  <sheetData>
    <row r="1" spans="1:42" ht="32.25" customHeight="1">
      <c r="AD1" s="243" t="s">
        <v>75</v>
      </c>
      <c r="AE1" s="243"/>
    </row>
    <row r="2" spans="1:42" s="9" customFormat="1" ht="42.75">
      <c r="B2" s="80" t="s">
        <v>76</v>
      </c>
      <c r="C2" s="81" t="s">
        <v>77</v>
      </c>
      <c r="D2" s="81" t="s">
        <v>78</v>
      </c>
      <c r="E2" s="81" t="s">
        <v>79</v>
      </c>
      <c r="F2" s="81" t="s">
        <v>80</v>
      </c>
      <c r="G2" s="81" t="s">
        <v>81</v>
      </c>
      <c r="H2" s="81" t="s">
        <v>82</v>
      </c>
      <c r="I2" s="82" t="s">
        <v>83</v>
      </c>
      <c r="J2" s="112" t="s">
        <v>84</v>
      </c>
      <c r="K2" s="83" t="s">
        <v>85</v>
      </c>
      <c r="L2" s="112" t="s">
        <v>86</v>
      </c>
      <c r="M2" s="112" t="s">
        <v>87</v>
      </c>
      <c r="N2" s="112" t="s">
        <v>88</v>
      </c>
      <c r="O2" s="112" t="s">
        <v>89</v>
      </c>
      <c r="P2" s="112" t="s">
        <v>90</v>
      </c>
      <c r="Q2" s="82" t="s">
        <v>91</v>
      </c>
      <c r="R2" s="82" t="s">
        <v>92</v>
      </c>
      <c r="S2" s="82" t="s">
        <v>93</v>
      </c>
      <c r="T2" s="112" t="s">
        <v>94</v>
      </c>
      <c r="U2" s="112" t="s">
        <v>95</v>
      </c>
      <c r="V2" s="112" t="s">
        <v>96</v>
      </c>
      <c r="W2" s="112" t="s">
        <v>97</v>
      </c>
      <c r="X2" s="112" t="s">
        <v>98</v>
      </c>
      <c r="Y2" s="112" t="s">
        <v>99</v>
      </c>
      <c r="Z2" s="190" t="s">
        <v>100</v>
      </c>
      <c r="AA2" s="190" t="s">
        <v>101</v>
      </c>
      <c r="AB2" s="190" t="s">
        <v>102</v>
      </c>
      <c r="AC2"/>
      <c r="AD2" s="17" t="s">
        <v>79</v>
      </c>
      <c r="AE2" s="219">
        <v>44700</v>
      </c>
      <c r="AF2" s="217"/>
      <c r="AG2" s="217"/>
      <c r="AH2" s="10"/>
      <c r="AI2" s="218"/>
      <c r="AJ2" s="218"/>
    </row>
    <row r="3" spans="1:42" s="9" customFormat="1">
      <c r="B3" s="137" t="s">
        <v>103</v>
      </c>
      <c r="C3" s="138"/>
      <c r="D3" s="138"/>
      <c r="E3" s="138"/>
      <c r="F3" s="138"/>
      <c r="G3" s="84"/>
      <c r="H3" s="84"/>
      <c r="I3" s="138"/>
      <c r="J3" s="138"/>
      <c r="K3" s="138"/>
      <c r="L3" s="84"/>
      <c r="M3" s="84"/>
      <c r="N3" s="84"/>
      <c r="O3" s="84"/>
      <c r="P3" s="84"/>
      <c r="Q3" s="84"/>
      <c r="R3" s="84"/>
      <c r="S3" s="85"/>
      <c r="T3" s="85"/>
      <c r="U3" s="85"/>
      <c r="V3" s="85"/>
      <c r="W3" s="85"/>
      <c r="X3" s="85"/>
      <c r="Y3" s="85"/>
      <c r="Z3" s="85"/>
      <c r="AA3" s="85"/>
      <c r="AB3" s="191"/>
      <c r="AC3"/>
      <c r="AD3" s="18" t="s">
        <v>104</v>
      </c>
      <c r="AE3" s="220">
        <v>45064</v>
      </c>
      <c r="AF3" s="217"/>
      <c r="AG3" s="217"/>
      <c r="AH3" s="10"/>
      <c r="AI3" s="218"/>
      <c r="AJ3" s="218"/>
    </row>
    <row r="4" spans="1:42">
      <c r="B4" s="139" t="s">
        <v>105</v>
      </c>
      <c r="C4" s="140" t="s">
        <v>106</v>
      </c>
      <c r="D4" s="141">
        <v>43603</v>
      </c>
      <c r="E4" s="169">
        <f t="shared" ref="E4:E16" si="0">IF(LEFT(B4,2)="BO",D4+1,$AE$2)</f>
        <v>44700</v>
      </c>
      <c r="F4" s="142" t="s">
        <v>107</v>
      </c>
      <c r="G4" s="143">
        <v>8.6102880000000006</v>
      </c>
      <c r="H4" s="144">
        <v>-11.042400000000001</v>
      </c>
      <c r="I4" s="142">
        <v>548</v>
      </c>
      <c r="J4" s="145">
        <f>IF(I4&gt;300, 300, I4)</f>
        <v>300</v>
      </c>
      <c r="K4" s="74" t="s">
        <v>108</v>
      </c>
      <c r="L4" s="145">
        <f t="shared" ref="L4:L16" si="1">$AE$4-$E4-M4+1</f>
        <v>227</v>
      </c>
      <c r="M4" s="170">
        <v>0</v>
      </c>
      <c r="N4" s="145">
        <f t="shared" ref="N4:N16" si="2">$AE$3-$AE$4-O4</f>
        <v>138</v>
      </c>
      <c r="O4" s="170">
        <v>0</v>
      </c>
      <c r="P4" s="170">
        <f>M4+O4</f>
        <v>0</v>
      </c>
      <c r="Q4" s="75">
        <f>L4*J4</f>
        <v>68100</v>
      </c>
      <c r="R4" s="75">
        <f t="shared" ref="R4:R16" si="3">N4*J4</f>
        <v>41400</v>
      </c>
      <c r="S4" s="75">
        <f>SUM(Q4:R4)</f>
        <v>109500</v>
      </c>
      <c r="T4" s="75">
        <f>(L4+M4)*J4</f>
        <v>68100</v>
      </c>
      <c r="U4" s="75">
        <f>(N4+O4)*J4</f>
        <v>41400</v>
      </c>
      <c r="V4" s="75">
        <f>SUM(T4:U4)</f>
        <v>109500</v>
      </c>
      <c r="W4" s="75">
        <f t="shared" ref="W4:W13" si="4">L4*I4</f>
        <v>124396</v>
      </c>
      <c r="X4" s="75">
        <f t="shared" ref="X4:X13" si="5">N4*I4</f>
        <v>75624</v>
      </c>
      <c r="Y4" s="75">
        <f>SUM(W4:X4)</f>
        <v>200020</v>
      </c>
      <c r="Z4" s="228">
        <f t="shared" ref="Z4:Z16" si="6">M4/SUM(L4:M4)</f>
        <v>0</v>
      </c>
      <c r="AA4" s="228">
        <f t="shared" ref="AA4:AA16" si="7">O4/SUM(N4:O4)</f>
        <v>0</v>
      </c>
      <c r="AB4" s="193">
        <f t="shared" ref="AB4:AB16" si="8">(M4+O4)/SUM(L4:O4)</f>
        <v>0</v>
      </c>
      <c r="AD4" s="18" t="s">
        <v>109</v>
      </c>
      <c r="AE4" s="220">
        <v>44926</v>
      </c>
    </row>
    <row r="5" spans="1:42">
      <c r="B5" s="139" t="s">
        <v>110</v>
      </c>
      <c r="C5" s="140" t="s">
        <v>111</v>
      </c>
      <c r="D5" s="141">
        <v>43603</v>
      </c>
      <c r="E5" s="169">
        <f t="shared" si="0"/>
        <v>44700</v>
      </c>
      <c r="F5" s="142" t="s">
        <v>107</v>
      </c>
      <c r="G5" s="143">
        <v>8.6087819999999997</v>
      </c>
      <c r="H5" s="144">
        <v>-11.04143</v>
      </c>
      <c r="I5" s="142">
        <v>581</v>
      </c>
      <c r="J5" s="145">
        <f t="shared" ref="J5:J16" si="9">IF(I5&gt;300, 300, I5)</f>
        <v>300</v>
      </c>
      <c r="K5" s="30" t="s">
        <v>108</v>
      </c>
      <c r="L5" s="145">
        <f t="shared" si="1"/>
        <v>227</v>
      </c>
      <c r="M5" s="170">
        <v>0</v>
      </c>
      <c r="N5" s="145">
        <f t="shared" si="2"/>
        <v>138</v>
      </c>
      <c r="O5" s="170">
        <v>0</v>
      </c>
      <c r="P5" s="170">
        <f t="shared" ref="P5:P16" si="10">M5+O5</f>
        <v>0</v>
      </c>
      <c r="Q5" s="75">
        <f t="shared" ref="Q5:Q15" si="11">L5*J5</f>
        <v>68100</v>
      </c>
      <c r="R5" s="75">
        <f t="shared" si="3"/>
        <v>41400</v>
      </c>
      <c r="S5" s="76">
        <f t="shared" ref="S5:S16" si="12">SUM(Q5:R5)</f>
        <v>109500</v>
      </c>
      <c r="T5" s="75">
        <f t="shared" ref="T5:T16" si="13">(L5+M5)*J5</f>
        <v>68100</v>
      </c>
      <c r="U5" s="75">
        <f t="shared" ref="U5:U16" si="14">(N5+O5)*J5</f>
        <v>41400</v>
      </c>
      <c r="V5" s="75">
        <f t="shared" ref="V5:V16" si="15">SUM(T5:U5)</f>
        <v>109500</v>
      </c>
      <c r="W5" s="75">
        <f t="shared" si="4"/>
        <v>131887</v>
      </c>
      <c r="X5" s="75">
        <f t="shared" si="5"/>
        <v>80178</v>
      </c>
      <c r="Y5" s="75">
        <f t="shared" ref="Y5:Y13" si="16">SUM(W5:X5)</f>
        <v>212065</v>
      </c>
      <c r="Z5" s="228">
        <f t="shared" si="6"/>
        <v>0</v>
      </c>
      <c r="AA5" s="228">
        <f t="shared" si="7"/>
        <v>0</v>
      </c>
      <c r="AB5" s="193">
        <f t="shared" si="8"/>
        <v>0</v>
      </c>
      <c r="AD5" s="18" t="s">
        <v>112</v>
      </c>
      <c r="AE5" s="221">
        <f>(AE4-AE2+1)</f>
        <v>227</v>
      </c>
    </row>
    <row r="6" spans="1:42">
      <c r="B6" s="139" t="s">
        <v>113</v>
      </c>
      <c r="C6" s="140" t="s">
        <v>114</v>
      </c>
      <c r="D6" s="141">
        <v>43603</v>
      </c>
      <c r="E6" s="169">
        <f t="shared" si="0"/>
        <v>44700</v>
      </c>
      <c r="F6" s="142" t="s">
        <v>107</v>
      </c>
      <c r="G6" s="143">
        <v>8.6231720000000003</v>
      </c>
      <c r="H6" s="144">
        <v>-10.994762</v>
      </c>
      <c r="I6" s="142">
        <v>541</v>
      </c>
      <c r="J6" s="145">
        <f t="shared" si="9"/>
        <v>300</v>
      </c>
      <c r="K6" s="30" t="s">
        <v>108</v>
      </c>
      <c r="L6" s="145">
        <f t="shared" si="1"/>
        <v>227</v>
      </c>
      <c r="M6" s="170">
        <v>0</v>
      </c>
      <c r="N6" s="145">
        <f t="shared" si="2"/>
        <v>138</v>
      </c>
      <c r="O6" s="170">
        <v>0</v>
      </c>
      <c r="P6" s="170">
        <f t="shared" si="10"/>
        <v>0</v>
      </c>
      <c r="Q6" s="75">
        <f t="shared" si="11"/>
        <v>68100</v>
      </c>
      <c r="R6" s="75">
        <f t="shared" si="3"/>
        <v>41400</v>
      </c>
      <c r="S6" s="76">
        <f t="shared" si="12"/>
        <v>109500</v>
      </c>
      <c r="T6" s="75">
        <f t="shared" si="13"/>
        <v>68100</v>
      </c>
      <c r="U6" s="75">
        <f t="shared" si="14"/>
        <v>41400</v>
      </c>
      <c r="V6" s="75">
        <f t="shared" si="15"/>
        <v>109500</v>
      </c>
      <c r="W6" s="75">
        <f t="shared" si="4"/>
        <v>122807</v>
      </c>
      <c r="X6" s="75">
        <f t="shared" si="5"/>
        <v>74658</v>
      </c>
      <c r="Y6" s="75">
        <f t="shared" si="16"/>
        <v>197465</v>
      </c>
      <c r="Z6" s="228">
        <f t="shared" si="6"/>
        <v>0</v>
      </c>
      <c r="AA6" s="228">
        <f t="shared" si="7"/>
        <v>0</v>
      </c>
      <c r="AB6" s="193">
        <f t="shared" si="8"/>
        <v>0</v>
      </c>
      <c r="AD6" s="19" t="s">
        <v>115</v>
      </c>
      <c r="AE6" s="222">
        <f>(AE3-AE4)</f>
        <v>138</v>
      </c>
    </row>
    <row r="7" spans="1:42">
      <c r="B7" s="139" t="s">
        <v>116</v>
      </c>
      <c r="C7" s="140" t="s">
        <v>117</v>
      </c>
      <c r="D7" s="141">
        <v>43604</v>
      </c>
      <c r="E7" s="169">
        <f t="shared" si="0"/>
        <v>44700</v>
      </c>
      <c r="F7" s="142" t="s">
        <v>107</v>
      </c>
      <c r="G7" s="143">
        <v>8.6557899999999997</v>
      </c>
      <c r="H7" s="144">
        <v>-10.975895</v>
      </c>
      <c r="I7" s="142">
        <v>749</v>
      </c>
      <c r="J7" s="145">
        <f t="shared" si="9"/>
        <v>300</v>
      </c>
      <c r="K7" s="30" t="s">
        <v>108</v>
      </c>
      <c r="L7" s="145">
        <f t="shared" si="1"/>
        <v>227</v>
      </c>
      <c r="M7" s="170">
        <v>0</v>
      </c>
      <c r="N7" s="145">
        <f t="shared" si="2"/>
        <v>138</v>
      </c>
      <c r="O7" s="170">
        <v>0</v>
      </c>
      <c r="P7" s="170">
        <f t="shared" si="10"/>
        <v>0</v>
      </c>
      <c r="Q7" s="75">
        <f t="shared" si="11"/>
        <v>68100</v>
      </c>
      <c r="R7" s="75">
        <f t="shared" si="3"/>
        <v>41400</v>
      </c>
      <c r="S7" s="76">
        <f t="shared" si="12"/>
        <v>109500</v>
      </c>
      <c r="T7" s="75">
        <f t="shared" si="13"/>
        <v>68100</v>
      </c>
      <c r="U7" s="75">
        <f t="shared" si="14"/>
        <v>41400</v>
      </c>
      <c r="V7" s="75">
        <f t="shared" si="15"/>
        <v>109500</v>
      </c>
      <c r="W7" s="75">
        <f t="shared" si="4"/>
        <v>170023</v>
      </c>
      <c r="X7" s="75">
        <f t="shared" si="5"/>
        <v>103362</v>
      </c>
      <c r="Y7" s="75">
        <f t="shared" si="16"/>
        <v>273385</v>
      </c>
      <c r="Z7" s="228">
        <f t="shared" si="6"/>
        <v>0</v>
      </c>
      <c r="AA7" s="228">
        <f t="shared" si="7"/>
        <v>0</v>
      </c>
      <c r="AB7" s="193">
        <f t="shared" si="8"/>
        <v>0</v>
      </c>
    </row>
    <row r="8" spans="1:42">
      <c r="B8" s="139" t="s">
        <v>118</v>
      </c>
      <c r="C8" s="140" t="s">
        <v>119</v>
      </c>
      <c r="D8" s="141">
        <v>43623</v>
      </c>
      <c r="E8" s="169">
        <f t="shared" si="0"/>
        <v>44700</v>
      </c>
      <c r="F8" s="142" t="s">
        <v>107</v>
      </c>
      <c r="G8" s="143">
        <v>8.6235280000000003</v>
      </c>
      <c r="H8" s="144">
        <v>-10.643359999999999</v>
      </c>
      <c r="I8" s="142">
        <v>481</v>
      </c>
      <c r="J8" s="145">
        <f t="shared" si="9"/>
        <v>300</v>
      </c>
      <c r="K8" s="30" t="s">
        <v>108</v>
      </c>
      <c r="L8" s="145">
        <f t="shared" si="1"/>
        <v>170</v>
      </c>
      <c r="M8" s="170">
        <v>57</v>
      </c>
      <c r="N8" s="145">
        <f t="shared" si="2"/>
        <v>103</v>
      </c>
      <c r="O8" s="170">
        <v>35</v>
      </c>
      <c r="P8" s="170">
        <f t="shared" si="10"/>
        <v>92</v>
      </c>
      <c r="Q8" s="75">
        <f t="shared" si="11"/>
        <v>51000</v>
      </c>
      <c r="R8" s="75">
        <f t="shared" si="3"/>
        <v>30900</v>
      </c>
      <c r="S8" s="76">
        <f t="shared" si="12"/>
        <v>81900</v>
      </c>
      <c r="T8" s="75">
        <f t="shared" si="13"/>
        <v>68100</v>
      </c>
      <c r="U8" s="75">
        <f t="shared" si="14"/>
        <v>41400</v>
      </c>
      <c r="V8" s="75">
        <f t="shared" si="15"/>
        <v>109500</v>
      </c>
      <c r="W8" s="75">
        <f t="shared" si="4"/>
        <v>81770</v>
      </c>
      <c r="X8" s="75">
        <f t="shared" si="5"/>
        <v>49543</v>
      </c>
      <c r="Y8" s="75">
        <f t="shared" si="16"/>
        <v>131313</v>
      </c>
      <c r="Z8" s="228">
        <f t="shared" si="6"/>
        <v>0.25110132158590309</v>
      </c>
      <c r="AA8" s="228">
        <f t="shared" si="7"/>
        <v>0.25362318840579712</v>
      </c>
      <c r="AB8" s="193">
        <f t="shared" si="8"/>
        <v>0.25205479452054796</v>
      </c>
      <c r="AD8" s="243" t="s">
        <v>120</v>
      </c>
      <c r="AE8" s="243"/>
    </row>
    <row r="9" spans="1:42">
      <c r="B9" s="139" t="s">
        <v>121</v>
      </c>
      <c r="C9" s="140" t="s">
        <v>122</v>
      </c>
      <c r="D9" s="141">
        <v>43673</v>
      </c>
      <c r="E9" s="169">
        <f t="shared" si="0"/>
        <v>44700</v>
      </c>
      <c r="F9" s="142" t="s">
        <v>123</v>
      </c>
      <c r="G9" s="143">
        <v>8.6259999999999994</v>
      </c>
      <c r="H9" s="144">
        <v>-10.860099999999999</v>
      </c>
      <c r="I9" s="142">
        <v>599</v>
      </c>
      <c r="J9" s="145">
        <f t="shared" si="9"/>
        <v>300</v>
      </c>
      <c r="K9" s="24" t="s">
        <v>108</v>
      </c>
      <c r="L9" s="145">
        <f t="shared" si="1"/>
        <v>227</v>
      </c>
      <c r="M9" s="170">
        <v>0</v>
      </c>
      <c r="N9" s="145">
        <f t="shared" si="2"/>
        <v>138</v>
      </c>
      <c r="O9" s="187">
        <v>0</v>
      </c>
      <c r="P9" s="170">
        <f t="shared" si="10"/>
        <v>0</v>
      </c>
      <c r="Q9" s="75">
        <f t="shared" si="11"/>
        <v>68100</v>
      </c>
      <c r="R9" s="75">
        <f t="shared" si="3"/>
        <v>41400</v>
      </c>
      <c r="S9" s="76">
        <f t="shared" si="12"/>
        <v>109500</v>
      </c>
      <c r="T9" s="75">
        <f t="shared" si="13"/>
        <v>68100</v>
      </c>
      <c r="U9" s="75">
        <f t="shared" si="14"/>
        <v>41400</v>
      </c>
      <c r="V9" s="75">
        <f t="shared" si="15"/>
        <v>109500</v>
      </c>
      <c r="W9" s="75">
        <f t="shared" si="4"/>
        <v>135973</v>
      </c>
      <c r="X9" s="75">
        <f t="shared" si="5"/>
        <v>82662</v>
      </c>
      <c r="Y9" s="75">
        <f t="shared" si="16"/>
        <v>218635</v>
      </c>
      <c r="Z9" s="228">
        <f t="shared" si="6"/>
        <v>0</v>
      </c>
      <c r="AA9" s="228">
        <f t="shared" si="7"/>
        <v>0</v>
      </c>
      <c r="AB9" s="193">
        <f t="shared" si="8"/>
        <v>0</v>
      </c>
      <c r="AD9" s="17" t="s">
        <v>79</v>
      </c>
      <c r="AE9" s="219">
        <f>MIN(E156:E175,E178:E197,E200:E219)</f>
        <v>44662</v>
      </c>
    </row>
    <row r="10" spans="1:42">
      <c r="A10" s="146"/>
      <c r="B10" s="147" t="s">
        <v>124</v>
      </c>
      <c r="C10" s="147" t="s">
        <v>125</v>
      </c>
      <c r="D10" s="141">
        <v>43946</v>
      </c>
      <c r="E10" s="169">
        <f t="shared" si="0"/>
        <v>44700</v>
      </c>
      <c r="F10" s="142" t="s">
        <v>107</v>
      </c>
      <c r="G10" s="142">
        <v>8.2782230000000006</v>
      </c>
      <c r="H10" s="142">
        <v>-10.574963</v>
      </c>
      <c r="I10" s="142">
        <v>473</v>
      </c>
      <c r="J10" s="145">
        <f t="shared" si="9"/>
        <v>300</v>
      </c>
      <c r="K10" s="24" t="s">
        <v>108</v>
      </c>
      <c r="L10" s="145">
        <f t="shared" si="1"/>
        <v>170</v>
      </c>
      <c r="M10" s="170">
        <v>57</v>
      </c>
      <c r="N10" s="145">
        <f t="shared" si="2"/>
        <v>103</v>
      </c>
      <c r="O10" s="187">
        <v>35</v>
      </c>
      <c r="P10" s="170">
        <f t="shared" si="10"/>
        <v>92</v>
      </c>
      <c r="Q10" s="75">
        <f t="shared" si="11"/>
        <v>51000</v>
      </c>
      <c r="R10" s="75">
        <f t="shared" si="3"/>
        <v>30900</v>
      </c>
      <c r="S10" s="76">
        <f t="shared" si="12"/>
        <v>81900</v>
      </c>
      <c r="T10" s="75">
        <f t="shared" si="13"/>
        <v>68100</v>
      </c>
      <c r="U10" s="75">
        <f t="shared" si="14"/>
        <v>41400</v>
      </c>
      <c r="V10" s="75">
        <f t="shared" si="15"/>
        <v>109500</v>
      </c>
      <c r="W10" s="75">
        <f t="shared" si="4"/>
        <v>80410</v>
      </c>
      <c r="X10" s="75">
        <f t="shared" si="5"/>
        <v>48719</v>
      </c>
      <c r="Y10" s="75">
        <f t="shared" si="16"/>
        <v>129129</v>
      </c>
      <c r="Z10" s="228">
        <f t="shared" si="6"/>
        <v>0.25110132158590309</v>
      </c>
      <c r="AA10" s="228">
        <f t="shared" si="7"/>
        <v>0.25362318840579712</v>
      </c>
      <c r="AB10" s="193">
        <f t="shared" si="8"/>
        <v>0.25205479452054796</v>
      </c>
      <c r="AD10" s="18" t="s">
        <v>104</v>
      </c>
      <c r="AE10" s="220">
        <v>45064</v>
      </c>
    </row>
    <row r="11" spans="1:42">
      <c r="B11" s="147" t="s">
        <v>126</v>
      </c>
      <c r="C11" s="147" t="s">
        <v>127</v>
      </c>
      <c r="D11" s="141">
        <v>43946</v>
      </c>
      <c r="E11" s="169">
        <f t="shared" si="0"/>
        <v>44700</v>
      </c>
      <c r="F11" s="142" t="s">
        <v>107</v>
      </c>
      <c r="G11" s="142">
        <v>8.2862030000000004</v>
      </c>
      <c r="H11" s="142">
        <v>-10.573598</v>
      </c>
      <c r="I11" s="142">
        <v>528</v>
      </c>
      <c r="J11" s="145">
        <f t="shared" si="9"/>
        <v>300</v>
      </c>
      <c r="K11" s="24" t="s">
        <v>108</v>
      </c>
      <c r="L11" s="145">
        <f t="shared" si="1"/>
        <v>170</v>
      </c>
      <c r="M11" s="170">
        <v>57</v>
      </c>
      <c r="N11" s="145">
        <f t="shared" si="2"/>
        <v>103</v>
      </c>
      <c r="O11" s="187">
        <v>35</v>
      </c>
      <c r="P11" s="170">
        <f t="shared" si="10"/>
        <v>92</v>
      </c>
      <c r="Q11" s="75">
        <f>L11*J11</f>
        <v>51000</v>
      </c>
      <c r="R11" s="75">
        <f t="shared" si="3"/>
        <v>30900</v>
      </c>
      <c r="S11" s="76">
        <f t="shared" si="12"/>
        <v>81900</v>
      </c>
      <c r="T11" s="75">
        <f t="shared" si="13"/>
        <v>68100</v>
      </c>
      <c r="U11" s="75">
        <f t="shared" si="14"/>
        <v>41400</v>
      </c>
      <c r="V11" s="75">
        <f t="shared" si="15"/>
        <v>109500</v>
      </c>
      <c r="W11" s="75">
        <f t="shared" si="4"/>
        <v>89760</v>
      </c>
      <c r="X11" s="75">
        <f t="shared" si="5"/>
        <v>54384</v>
      </c>
      <c r="Y11" s="75">
        <f t="shared" si="16"/>
        <v>144144</v>
      </c>
      <c r="Z11" s="228">
        <f t="shared" si="6"/>
        <v>0.25110132158590309</v>
      </c>
      <c r="AA11" s="228">
        <f t="shared" si="7"/>
        <v>0.25362318840579712</v>
      </c>
      <c r="AB11" s="193">
        <f t="shared" si="8"/>
        <v>0.25205479452054796</v>
      </c>
      <c r="AD11" s="18" t="s">
        <v>109</v>
      </c>
      <c r="AE11" s="220">
        <v>44926</v>
      </c>
    </row>
    <row r="12" spans="1:42">
      <c r="B12" s="147" t="s">
        <v>128</v>
      </c>
      <c r="C12" s="147" t="s">
        <v>129</v>
      </c>
      <c r="D12" s="141">
        <v>43946</v>
      </c>
      <c r="E12" s="169">
        <f t="shared" si="0"/>
        <v>44700</v>
      </c>
      <c r="F12" s="142" t="s">
        <v>107</v>
      </c>
      <c r="G12" s="142">
        <v>8.2773029999999999</v>
      </c>
      <c r="H12" s="142">
        <v>-10.576995</v>
      </c>
      <c r="I12" s="142">
        <v>643</v>
      </c>
      <c r="J12" s="145">
        <f t="shared" si="9"/>
        <v>300</v>
      </c>
      <c r="K12" s="24" t="s">
        <v>108</v>
      </c>
      <c r="L12" s="145">
        <f t="shared" si="1"/>
        <v>170</v>
      </c>
      <c r="M12" s="170">
        <v>57</v>
      </c>
      <c r="N12" s="145">
        <f t="shared" si="2"/>
        <v>103</v>
      </c>
      <c r="O12" s="187">
        <v>35</v>
      </c>
      <c r="P12" s="170">
        <f t="shared" si="10"/>
        <v>92</v>
      </c>
      <c r="Q12" s="75">
        <f t="shared" si="11"/>
        <v>51000</v>
      </c>
      <c r="R12" s="75">
        <f t="shared" si="3"/>
        <v>30900</v>
      </c>
      <c r="S12" s="76">
        <f t="shared" si="12"/>
        <v>81900</v>
      </c>
      <c r="T12" s="75">
        <f t="shared" si="13"/>
        <v>68100</v>
      </c>
      <c r="U12" s="75">
        <f t="shared" si="14"/>
        <v>41400</v>
      </c>
      <c r="V12" s="75">
        <f t="shared" si="15"/>
        <v>109500</v>
      </c>
      <c r="W12" s="75">
        <f t="shared" si="4"/>
        <v>109310</v>
      </c>
      <c r="X12" s="75">
        <f t="shared" si="5"/>
        <v>66229</v>
      </c>
      <c r="Y12" s="75">
        <f t="shared" si="16"/>
        <v>175539</v>
      </c>
      <c r="Z12" s="228">
        <f t="shared" si="6"/>
        <v>0.25110132158590309</v>
      </c>
      <c r="AA12" s="228">
        <f t="shared" si="7"/>
        <v>0.25362318840579712</v>
      </c>
      <c r="AB12" s="193">
        <f t="shared" si="8"/>
        <v>0.25205479452054796</v>
      </c>
      <c r="AD12" s="18" t="s">
        <v>112</v>
      </c>
      <c r="AE12" s="221">
        <f>(AE11-AE9+1)</f>
        <v>265</v>
      </c>
    </row>
    <row r="13" spans="1:42">
      <c r="B13" s="147" t="s">
        <v>130</v>
      </c>
      <c r="C13" s="147" t="s">
        <v>131</v>
      </c>
      <c r="D13" s="141">
        <v>43959</v>
      </c>
      <c r="E13" s="169">
        <f t="shared" si="0"/>
        <v>44700</v>
      </c>
      <c r="F13" s="142" t="s">
        <v>107</v>
      </c>
      <c r="G13" s="142">
        <v>8.2846510000000002</v>
      </c>
      <c r="H13" s="142">
        <v>-10.574225</v>
      </c>
      <c r="I13" s="142">
        <v>568</v>
      </c>
      <c r="J13" s="145">
        <f t="shared" si="9"/>
        <v>300</v>
      </c>
      <c r="K13" s="24" t="s">
        <v>108</v>
      </c>
      <c r="L13" s="145">
        <f t="shared" si="1"/>
        <v>170</v>
      </c>
      <c r="M13" s="170">
        <v>57</v>
      </c>
      <c r="N13" s="145">
        <f t="shared" si="2"/>
        <v>103</v>
      </c>
      <c r="O13" s="187">
        <v>35</v>
      </c>
      <c r="P13" s="170">
        <f t="shared" si="10"/>
        <v>92</v>
      </c>
      <c r="Q13" s="75">
        <f t="shared" si="11"/>
        <v>51000</v>
      </c>
      <c r="R13" s="75">
        <f t="shared" si="3"/>
        <v>30900</v>
      </c>
      <c r="S13" s="76">
        <f t="shared" si="12"/>
        <v>81900</v>
      </c>
      <c r="T13" s="75">
        <f t="shared" si="13"/>
        <v>68100</v>
      </c>
      <c r="U13" s="75">
        <f t="shared" si="14"/>
        <v>41400</v>
      </c>
      <c r="V13" s="75">
        <f t="shared" si="15"/>
        <v>109500</v>
      </c>
      <c r="W13" s="75">
        <f t="shared" si="4"/>
        <v>96560</v>
      </c>
      <c r="X13" s="75">
        <f t="shared" si="5"/>
        <v>58504</v>
      </c>
      <c r="Y13" s="75">
        <f t="shared" si="16"/>
        <v>155064</v>
      </c>
      <c r="Z13" s="228">
        <f t="shared" si="6"/>
        <v>0.25110132158590309</v>
      </c>
      <c r="AA13" s="228">
        <f t="shared" si="7"/>
        <v>0.25362318840579712</v>
      </c>
      <c r="AB13" s="193">
        <f t="shared" si="8"/>
        <v>0.25205479452054796</v>
      </c>
      <c r="AD13" s="19" t="s">
        <v>115</v>
      </c>
      <c r="AE13" s="222">
        <f>(AE10-AE11)</f>
        <v>138</v>
      </c>
    </row>
    <row r="14" spans="1:42">
      <c r="B14" s="147" t="s">
        <v>132</v>
      </c>
      <c r="C14" s="147" t="s">
        <v>133</v>
      </c>
      <c r="D14" s="141">
        <v>43938</v>
      </c>
      <c r="E14" s="169">
        <f t="shared" si="0"/>
        <v>44700</v>
      </c>
      <c r="F14" s="142" t="s">
        <v>107</v>
      </c>
      <c r="G14" s="142">
        <v>8.2859549999999995</v>
      </c>
      <c r="H14" s="142">
        <v>-10.562480000000001</v>
      </c>
      <c r="I14" s="142">
        <v>454</v>
      </c>
      <c r="J14" s="145">
        <f t="shared" si="9"/>
        <v>300</v>
      </c>
      <c r="K14" s="24" t="s">
        <v>108</v>
      </c>
      <c r="L14" s="145">
        <f t="shared" si="1"/>
        <v>170</v>
      </c>
      <c r="M14" s="170">
        <v>57</v>
      </c>
      <c r="N14" s="145">
        <f t="shared" si="2"/>
        <v>103</v>
      </c>
      <c r="O14" s="187">
        <v>35</v>
      </c>
      <c r="P14" s="170">
        <f t="shared" si="10"/>
        <v>92</v>
      </c>
      <c r="Q14" s="75">
        <f t="shared" si="11"/>
        <v>51000</v>
      </c>
      <c r="R14" s="75">
        <f t="shared" si="3"/>
        <v>30900</v>
      </c>
      <c r="S14" s="76">
        <f t="shared" si="12"/>
        <v>81900</v>
      </c>
      <c r="T14" s="75">
        <f t="shared" si="13"/>
        <v>68100</v>
      </c>
      <c r="U14" s="75">
        <f t="shared" si="14"/>
        <v>41400</v>
      </c>
      <c r="V14" s="75">
        <f t="shared" si="15"/>
        <v>109500</v>
      </c>
      <c r="W14" s="75">
        <f t="shared" ref="W14:W16" si="17">L14*I14</f>
        <v>77180</v>
      </c>
      <c r="X14" s="75">
        <f t="shared" ref="X14:X16" si="18">N14*I14</f>
        <v>46762</v>
      </c>
      <c r="Y14" s="75">
        <f t="shared" ref="Y14:Y16" si="19">SUM(W14:X14)</f>
        <v>123942</v>
      </c>
      <c r="Z14" s="228">
        <f t="shared" si="6"/>
        <v>0.25110132158590309</v>
      </c>
      <c r="AA14" s="228">
        <f t="shared" si="7"/>
        <v>0.25362318840579712</v>
      </c>
      <c r="AB14" s="193">
        <f t="shared" si="8"/>
        <v>0.25205479452054796</v>
      </c>
    </row>
    <row r="15" spans="1:42" ht="15.75">
      <c r="B15" s="147" t="s">
        <v>134</v>
      </c>
      <c r="C15" s="147" t="s">
        <v>135</v>
      </c>
      <c r="D15" s="141">
        <v>43956</v>
      </c>
      <c r="E15" s="169">
        <f t="shared" si="0"/>
        <v>44700</v>
      </c>
      <c r="F15" s="142" t="s">
        <v>107</v>
      </c>
      <c r="G15" s="142">
        <v>8.2854729999999996</v>
      </c>
      <c r="H15" s="142">
        <v>-10.56527</v>
      </c>
      <c r="I15" s="142">
        <v>516</v>
      </c>
      <c r="J15" s="145">
        <f t="shared" si="9"/>
        <v>300</v>
      </c>
      <c r="K15" s="24" t="s">
        <v>108</v>
      </c>
      <c r="L15" s="145">
        <f t="shared" si="1"/>
        <v>170</v>
      </c>
      <c r="M15" s="170">
        <v>57</v>
      </c>
      <c r="N15" s="145">
        <f t="shared" si="2"/>
        <v>103</v>
      </c>
      <c r="O15" s="187">
        <v>35</v>
      </c>
      <c r="P15" s="170">
        <f t="shared" si="10"/>
        <v>92</v>
      </c>
      <c r="Q15" s="75">
        <f t="shared" si="11"/>
        <v>51000</v>
      </c>
      <c r="R15" s="75">
        <f t="shared" si="3"/>
        <v>30900</v>
      </c>
      <c r="S15" s="76">
        <f t="shared" si="12"/>
        <v>81900</v>
      </c>
      <c r="T15" s="75">
        <f t="shared" si="13"/>
        <v>68100</v>
      </c>
      <c r="U15" s="75">
        <f t="shared" si="14"/>
        <v>41400</v>
      </c>
      <c r="V15" s="75">
        <f t="shared" si="15"/>
        <v>109500</v>
      </c>
      <c r="W15" s="75">
        <f t="shared" si="17"/>
        <v>87720</v>
      </c>
      <c r="X15" s="75">
        <f t="shared" si="18"/>
        <v>53148</v>
      </c>
      <c r="Y15" s="75">
        <f t="shared" si="19"/>
        <v>140868</v>
      </c>
      <c r="Z15" s="228">
        <f t="shared" si="6"/>
        <v>0.25110132158590309</v>
      </c>
      <c r="AA15" s="228">
        <f t="shared" si="7"/>
        <v>0.25362318840579712</v>
      </c>
      <c r="AB15" s="193">
        <f t="shared" si="8"/>
        <v>0.25205479452054796</v>
      </c>
      <c r="AD15" s="216" t="s">
        <v>136</v>
      </c>
    </row>
    <row r="16" spans="1:42" ht="14.65" customHeight="1">
      <c r="B16" s="147" t="s">
        <v>137</v>
      </c>
      <c r="C16" s="147" t="s">
        <v>138</v>
      </c>
      <c r="D16" s="141">
        <v>43957</v>
      </c>
      <c r="E16" s="169">
        <f t="shared" si="0"/>
        <v>44700</v>
      </c>
      <c r="F16" s="142" t="s">
        <v>107</v>
      </c>
      <c r="G16" s="142">
        <v>8.2800209999999996</v>
      </c>
      <c r="H16" s="142">
        <v>-10.57105</v>
      </c>
      <c r="I16" s="142">
        <v>524</v>
      </c>
      <c r="J16" s="145">
        <f t="shared" si="9"/>
        <v>300</v>
      </c>
      <c r="K16" s="24" t="s">
        <v>108</v>
      </c>
      <c r="L16" s="145">
        <f t="shared" si="1"/>
        <v>170</v>
      </c>
      <c r="M16" s="170">
        <v>57</v>
      </c>
      <c r="N16" s="145">
        <f t="shared" si="2"/>
        <v>103</v>
      </c>
      <c r="O16" s="187">
        <v>35</v>
      </c>
      <c r="P16" s="170">
        <f t="shared" si="10"/>
        <v>92</v>
      </c>
      <c r="Q16" s="75">
        <f>L16*J16</f>
        <v>51000</v>
      </c>
      <c r="R16" s="75">
        <f t="shared" si="3"/>
        <v>30900</v>
      </c>
      <c r="S16" s="76">
        <f t="shared" si="12"/>
        <v>81900</v>
      </c>
      <c r="T16" s="75">
        <f t="shared" si="13"/>
        <v>68100</v>
      </c>
      <c r="U16" s="75">
        <f t="shared" si="14"/>
        <v>41400</v>
      </c>
      <c r="V16" s="75">
        <f t="shared" si="15"/>
        <v>109500</v>
      </c>
      <c r="W16" s="75">
        <f t="shared" si="17"/>
        <v>89080</v>
      </c>
      <c r="X16" s="75">
        <f t="shared" si="18"/>
        <v>53972</v>
      </c>
      <c r="Y16" s="75">
        <f t="shared" si="19"/>
        <v>143052</v>
      </c>
      <c r="Z16" s="228">
        <f t="shared" si="6"/>
        <v>0.25110132158590309</v>
      </c>
      <c r="AA16" s="228">
        <f t="shared" si="7"/>
        <v>0.25362318840579712</v>
      </c>
      <c r="AB16" s="193">
        <f t="shared" si="8"/>
        <v>0.25205479452054796</v>
      </c>
      <c r="AE16" s="244" t="s">
        <v>139</v>
      </c>
      <c r="AF16" s="244" t="s">
        <v>140</v>
      </c>
      <c r="AG16" s="244" t="s">
        <v>141</v>
      </c>
      <c r="AH16" s="244" t="s">
        <v>142</v>
      </c>
      <c r="AI16" s="244" t="s">
        <v>143</v>
      </c>
      <c r="AJ16" s="244" t="s">
        <v>144</v>
      </c>
      <c r="AK16" s="244" t="s">
        <v>145</v>
      </c>
      <c r="AL16" s="244" t="s">
        <v>146</v>
      </c>
      <c r="AM16" s="246" t="s">
        <v>147</v>
      </c>
      <c r="AN16" s="244" t="s">
        <v>148</v>
      </c>
      <c r="AO16" s="244" t="s">
        <v>149</v>
      </c>
      <c r="AP16" s="244" t="s">
        <v>150</v>
      </c>
    </row>
    <row r="17" spans="2:42" ht="14.65" customHeight="1">
      <c r="B17" s="148">
        <f>COUNTA(B4:B16)</f>
        <v>13</v>
      </c>
      <c r="C17" s="149"/>
      <c r="D17" s="149"/>
      <c r="E17" s="149"/>
      <c r="F17" s="86"/>
      <c r="G17" s="86"/>
      <c r="H17" s="86"/>
      <c r="I17" s="87">
        <f>SUM(I4:I16)</f>
        <v>7205</v>
      </c>
      <c r="J17" s="87">
        <f>SUM(J4:J16)</f>
        <v>3900</v>
      </c>
      <c r="K17" s="86"/>
      <c r="L17" s="87">
        <f t="shared" ref="L17:Y17" si="20">SUM(L4:L16)</f>
        <v>2495</v>
      </c>
      <c r="M17" s="87">
        <f t="shared" si="20"/>
        <v>456</v>
      </c>
      <c r="N17" s="87">
        <f t="shared" si="20"/>
        <v>1514</v>
      </c>
      <c r="O17" s="87">
        <f t="shared" si="20"/>
        <v>280</v>
      </c>
      <c r="P17" s="87">
        <f t="shared" si="20"/>
        <v>736</v>
      </c>
      <c r="Q17" s="88">
        <f t="shared" si="20"/>
        <v>748500</v>
      </c>
      <c r="R17" s="88">
        <f t="shared" si="20"/>
        <v>454200</v>
      </c>
      <c r="S17" s="88">
        <f t="shared" si="20"/>
        <v>1202700</v>
      </c>
      <c r="T17" s="88">
        <f t="shared" si="20"/>
        <v>885300</v>
      </c>
      <c r="U17" s="88">
        <f t="shared" si="20"/>
        <v>538200</v>
      </c>
      <c r="V17" s="88">
        <f t="shared" si="20"/>
        <v>1423500</v>
      </c>
      <c r="W17" s="88">
        <f t="shared" si="20"/>
        <v>1396876</v>
      </c>
      <c r="X17" s="88">
        <f t="shared" si="20"/>
        <v>847745</v>
      </c>
      <c r="Y17" s="88">
        <f t="shared" si="20"/>
        <v>2244621</v>
      </c>
      <c r="Z17" s="223">
        <f t="shared" ref="Z17:AA17" si="21">AVERAGE(Z4:Z16)</f>
        <v>0.15452389020670959</v>
      </c>
      <c r="AA17" s="223">
        <f t="shared" si="21"/>
        <v>0.15607580824972131</v>
      </c>
      <c r="AB17" s="223">
        <f>AVERAGE(AB4:AB16)</f>
        <v>0.15511064278187567</v>
      </c>
      <c r="AC17" s="186"/>
      <c r="AD17" s="194" t="s">
        <v>151</v>
      </c>
      <c r="AE17" s="245"/>
      <c r="AF17" s="245"/>
      <c r="AG17" s="245"/>
      <c r="AH17" s="245"/>
      <c r="AI17" s="245"/>
      <c r="AJ17" s="245"/>
      <c r="AK17" s="245"/>
      <c r="AL17" s="245"/>
      <c r="AM17" s="247"/>
      <c r="AN17" s="245"/>
      <c r="AO17" s="245"/>
      <c r="AP17" s="245"/>
    </row>
    <row r="18" spans="2:42">
      <c r="B18" s="137" t="s">
        <v>152</v>
      </c>
      <c r="C18" s="138"/>
      <c r="D18" s="138"/>
      <c r="E18" s="138"/>
      <c r="F18" s="138"/>
      <c r="G18" s="84"/>
      <c r="H18" s="84"/>
      <c r="I18" s="138"/>
      <c r="J18" s="138"/>
      <c r="K18" s="138"/>
      <c r="L18" s="89"/>
      <c r="M18" s="89"/>
      <c r="N18" s="90"/>
      <c r="O18" s="90"/>
      <c r="P18" s="90"/>
      <c r="Q18" s="224"/>
      <c r="R18" s="92"/>
      <c r="S18" s="93"/>
      <c r="T18" s="93"/>
      <c r="U18" s="93"/>
      <c r="V18" s="93"/>
      <c r="W18" s="93"/>
      <c r="X18" s="93"/>
      <c r="Y18" s="93"/>
      <c r="Z18" s="93"/>
      <c r="AA18" s="93"/>
      <c r="AB18" s="192"/>
      <c r="AD18" s="24" t="s">
        <v>15</v>
      </c>
      <c r="AE18" s="230">
        <f>Z17</f>
        <v>0.15452389020670959</v>
      </c>
      <c r="AF18" s="231">
        <f>Q17</f>
        <v>748500</v>
      </c>
      <c r="AG18" s="231">
        <f>T17</f>
        <v>885300</v>
      </c>
      <c r="AH18" s="232">
        <f>IF(AE18&gt;0.05,AF18,_xlfn.FLOOR.MATH(AG18*0.95))</f>
        <v>748500</v>
      </c>
      <c r="AI18" s="230">
        <f>AA17</f>
        <v>0.15607580824972131</v>
      </c>
      <c r="AJ18" s="231">
        <f>R17</f>
        <v>454200</v>
      </c>
      <c r="AK18" s="231">
        <f>U17</f>
        <v>538200</v>
      </c>
      <c r="AL18" s="232">
        <f>IF(AI18&gt;0.05,AJ18,_xlfn.FLOOR.MATH(AK18*0.95))</f>
        <v>454200</v>
      </c>
      <c r="AM18" s="232">
        <f>AH18+AL18</f>
        <v>1202700</v>
      </c>
      <c r="AN18" s="231">
        <f>W17</f>
        <v>1396876</v>
      </c>
      <c r="AO18" s="231">
        <f>X17</f>
        <v>847745</v>
      </c>
      <c r="AP18" s="232">
        <f>SUM(AN18:AO18)</f>
        <v>2244621</v>
      </c>
    </row>
    <row r="19" spans="2:42">
      <c r="B19" s="150" t="s">
        <v>153</v>
      </c>
      <c r="C19" s="140" t="s">
        <v>154</v>
      </c>
      <c r="D19" s="141">
        <v>43604</v>
      </c>
      <c r="E19" s="169">
        <f t="shared" ref="E19:E31" si="22">IF(LEFT(B19,2)="BO",D19+1,$AE$2)</f>
        <v>44700</v>
      </c>
      <c r="F19" s="142" t="s">
        <v>107</v>
      </c>
      <c r="G19" s="143">
        <v>8.8561700000000005</v>
      </c>
      <c r="H19" s="142">
        <v>-10.171455999999999</v>
      </c>
      <c r="I19" s="142">
        <v>696</v>
      </c>
      <c r="J19" s="145">
        <f>IF(I19&gt;300, 300, I41)</f>
        <v>300</v>
      </c>
      <c r="K19" s="30" t="s">
        <v>108</v>
      </c>
      <c r="L19" s="145">
        <f t="shared" ref="L19:L31" si="23">$AE$4-$E19-M19+1</f>
        <v>170</v>
      </c>
      <c r="M19" s="170">
        <v>57</v>
      </c>
      <c r="N19" s="145">
        <f t="shared" ref="N19:N31" si="24">$AE$3-$AE$4-O19</f>
        <v>103</v>
      </c>
      <c r="O19" s="170">
        <v>35</v>
      </c>
      <c r="P19" s="170">
        <f>M19+O19</f>
        <v>92</v>
      </c>
      <c r="Q19" s="76">
        <f t="shared" ref="Q19:Q31" si="25">L19*J19</f>
        <v>51000</v>
      </c>
      <c r="R19" s="76">
        <f t="shared" ref="R19:R31" si="26">N19*J19</f>
        <v>30900</v>
      </c>
      <c r="S19" s="76">
        <f>SUM(Q19:R19)</f>
        <v>81900</v>
      </c>
      <c r="T19" s="75">
        <f>(L19+M19)*J19</f>
        <v>68100</v>
      </c>
      <c r="U19" s="75">
        <f>(N19+O19)*J19</f>
        <v>41400</v>
      </c>
      <c r="V19" s="75">
        <f>SUM(T19:U19)</f>
        <v>109500</v>
      </c>
      <c r="W19" s="75">
        <f t="shared" ref="W19:W31" si="27">L19*I19</f>
        <v>118320</v>
      </c>
      <c r="X19" s="75">
        <f t="shared" ref="X19:X31" si="28">N19*I19</f>
        <v>71688</v>
      </c>
      <c r="Y19" s="75">
        <f>SUM(W19:X19)</f>
        <v>190008</v>
      </c>
      <c r="Z19" s="228">
        <f t="shared" ref="Z19:Z31" si="29">M19/SUM(L19:M19)</f>
        <v>0.25110132158590309</v>
      </c>
      <c r="AA19" s="228">
        <f t="shared" ref="AA19:AA31" si="30">O19/SUM(N19:O19)</f>
        <v>0.25362318840579712</v>
      </c>
      <c r="AB19" s="193">
        <f t="shared" ref="AB19:AB31" si="31">(M19+O19)/SUM(L19:O19)</f>
        <v>0.25205479452054796</v>
      </c>
      <c r="AD19" s="24" t="s">
        <v>16</v>
      </c>
      <c r="AE19" s="230">
        <f>Z32</f>
        <v>5.7946458827516104E-2</v>
      </c>
      <c r="AF19" s="231">
        <f>Q32</f>
        <v>834000</v>
      </c>
      <c r="AG19" s="231">
        <f>T32</f>
        <v>885300</v>
      </c>
      <c r="AH19" s="232">
        <f t="shared" ref="AH19:AH30" si="32">IF(AE19&gt;0.05,AF19,_xlfn.FLOOR.MATH(AG19*0.95))</f>
        <v>834000</v>
      </c>
      <c r="AI19" s="230">
        <f>AA32</f>
        <v>5.8528428093645488E-2</v>
      </c>
      <c r="AJ19" s="231">
        <f>R32</f>
        <v>506700</v>
      </c>
      <c r="AK19" s="231">
        <f>U32</f>
        <v>538200</v>
      </c>
      <c r="AL19" s="232">
        <f t="shared" ref="AL19:AL30" si="33">IF(AI19&gt;0.05,AJ19,_xlfn.FLOOR.MATH(AK19*0.95))</f>
        <v>506700</v>
      </c>
      <c r="AM19" s="232">
        <f t="shared" ref="AM19:AM30" si="34">AH19+AL19</f>
        <v>1340700</v>
      </c>
      <c r="AN19" s="231">
        <f>W32</f>
        <v>1519055</v>
      </c>
      <c r="AO19" s="231">
        <f>X32</f>
        <v>922885</v>
      </c>
      <c r="AP19" s="232">
        <f t="shared" ref="AP19:AP30" si="35">SUM(AN19:AO19)</f>
        <v>2441940</v>
      </c>
    </row>
    <row r="20" spans="2:42" ht="14.25" customHeight="1">
      <c r="B20" s="150" t="s">
        <v>155</v>
      </c>
      <c r="C20" s="140" t="s">
        <v>156</v>
      </c>
      <c r="D20" s="141">
        <v>43623</v>
      </c>
      <c r="E20" s="169">
        <f t="shared" si="22"/>
        <v>44700</v>
      </c>
      <c r="F20" s="142" t="s">
        <v>107</v>
      </c>
      <c r="G20" s="143">
        <v>8.6360205299999997</v>
      </c>
      <c r="H20" s="142">
        <v>-10.9890021</v>
      </c>
      <c r="I20" s="142">
        <v>427</v>
      </c>
      <c r="J20" s="145">
        <f xml:space="preserve"> IF(I20&gt;300, 300,#REF!)</f>
        <v>300</v>
      </c>
      <c r="K20" s="30" t="s">
        <v>108</v>
      </c>
      <c r="L20" s="145">
        <f t="shared" si="23"/>
        <v>227</v>
      </c>
      <c r="M20" s="170">
        <v>0</v>
      </c>
      <c r="N20" s="145">
        <f t="shared" si="24"/>
        <v>138</v>
      </c>
      <c r="O20" s="170">
        <v>0</v>
      </c>
      <c r="P20" s="170">
        <f t="shared" ref="P20:P31" si="36">M20+O20</f>
        <v>0</v>
      </c>
      <c r="Q20" s="76">
        <f t="shared" si="25"/>
        <v>68100</v>
      </c>
      <c r="R20" s="76">
        <f t="shared" si="26"/>
        <v>41400</v>
      </c>
      <c r="S20" s="76">
        <f t="shared" ref="S20:S31" si="37">SUM(Q20:R20)</f>
        <v>109500</v>
      </c>
      <c r="T20" s="75">
        <f t="shared" ref="T20" si="38">(L20+M20)*J20</f>
        <v>68100</v>
      </c>
      <c r="U20" s="75">
        <f t="shared" ref="U20" si="39">(N20+O20)*J20</f>
        <v>41400</v>
      </c>
      <c r="V20" s="75">
        <f t="shared" ref="V20" si="40">SUM(T20:U20)</f>
        <v>109500</v>
      </c>
      <c r="W20" s="75">
        <f t="shared" si="27"/>
        <v>96929</v>
      </c>
      <c r="X20" s="75">
        <f t="shared" si="28"/>
        <v>58926</v>
      </c>
      <c r="Y20" s="75">
        <f t="shared" ref="Y20" si="41">SUM(W20:X20)</f>
        <v>155855</v>
      </c>
      <c r="Z20" s="228">
        <f t="shared" si="29"/>
        <v>0</v>
      </c>
      <c r="AA20" s="228">
        <f t="shared" si="30"/>
        <v>0</v>
      </c>
      <c r="AB20" s="193">
        <f t="shared" si="31"/>
        <v>0</v>
      </c>
      <c r="AD20" s="24" t="s">
        <v>17</v>
      </c>
      <c r="AE20" s="230">
        <f>Z47</f>
        <v>0.19281599457810913</v>
      </c>
      <c r="AF20" s="231">
        <f>Q47</f>
        <v>714600</v>
      </c>
      <c r="AG20" s="231">
        <f>T47</f>
        <v>885300</v>
      </c>
      <c r="AH20" s="232">
        <f t="shared" si="32"/>
        <v>714600</v>
      </c>
      <c r="AI20" s="230">
        <f>AA47</f>
        <v>0.19397993311036787</v>
      </c>
      <c r="AJ20" s="231">
        <f>R47</f>
        <v>433800</v>
      </c>
      <c r="AK20" s="231">
        <f>U47</f>
        <v>538200</v>
      </c>
      <c r="AL20" s="232">
        <f t="shared" si="33"/>
        <v>433800</v>
      </c>
      <c r="AM20" s="232">
        <f t="shared" si="34"/>
        <v>1148400</v>
      </c>
      <c r="AN20" s="231">
        <f>W47</f>
        <v>1327187</v>
      </c>
      <c r="AO20" s="231">
        <f>X47</f>
        <v>805695</v>
      </c>
      <c r="AP20" s="232">
        <f t="shared" si="35"/>
        <v>2132882</v>
      </c>
    </row>
    <row r="21" spans="2:42">
      <c r="B21" s="150" t="s">
        <v>157</v>
      </c>
      <c r="C21" s="140" t="s">
        <v>158</v>
      </c>
      <c r="D21" s="141">
        <v>43623</v>
      </c>
      <c r="E21" s="169">
        <f t="shared" si="22"/>
        <v>44700</v>
      </c>
      <c r="F21" s="142" t="s">
        <v>159</v>
      </c>
      <c r="G21" s="143">
        <v>8.6274146999999992</v>
      </c>
      <c r="H21" s="142">
        <v>10.9808769</v>
      </c>
      <c r="I21" s="142">
        <v>602</v>
      </c>
      <c r="J21" s="145">
        <f xml:space="preserve"> IF(I21&gt;300, 300,#REF!)</f>
        <v>300</v>
      </c>
      <c r="K21" s="30" t="s">
        <v>108</v>
      </c>
      <c r="L21" s="145">
        <f t="shared" si="23"/>
        <v>227</v>
      </c>
      <c r="M21" s="170">
        <v>0</v>
      </c>
      <c r="N21" s="145">
        <f t="shared" si="24"/>
        <v>138</v>
      </c>
      <c r="O21" s="170">
        <v>0</v>
      </c>
      <c r="P21" s="170">
        <f t="shared" si="36"/>
        <v>0</v>
      </c>
      <c r="Q21" s="76">
        <f t="shared" si="25"/>
        <v>68100</v>
      </c>
      <c r="R21" s="76">
        <f t="shared" si="26"/>
        <v>41400</v>
      </c>
      <c r="S21" s="76">
        <f t="shared" si="37"/>
        <v>109500</v>
      </c>
      <c r="T21" s="75">
        <f>(L21+M21)*J21</f>
        <v>68100</v>
      </c>
      <c r="U21" s="75">
        <f>(N21+O21)*J21</f>
        <v>41400</v>
      </c>
      <c r="V21" s="75">
        <f>SUM(T21:U21)</f>
        <v>109500</v>
      </c>
      <c r="W21" s="75">
        <f t="shared" si="27"/>
        <v>136654</v>
      </c>
      <c r="X21" s="75">
        <f t="shared" si="28"/>
        <v>83076</v>
      </c>
      <c r="Y21" s="75">
        <f>SUM(W21:X21)</f>
        <v>219730</v>
      </c>
      <c r="Z21" s="228">
        <f t="shared" si="29"/>
        <v>0</v>
      </c>
      <c r="AA21" s="228">
        <f t="shared" si="30"/>
        <v>0</v>
      </c>
      <c r="AB21" s="193">
        <f t="shared" si="31"/>
        <v>0</v>
      </c>
      <c r="AD21" s="24" t="s">
        <v>18</v>
      </c>
      <c r="AE21" s="230">
        <f>Z61</f>
        <v>0.10462555066079295</v>
      </c>
      <c r="AF21" s="231">
        <f>Q61</f>
        <v>731700</v>
      </c>
      <c r="AG21" s="231">
        <f>T61</f>
        <v>817200</v>
      </c>
      <c r="AH21" s="232">
        <f t="shared" si="32"/>
        <v>731700</v>
      </c>
      <c r="AI21" s="230">
        <f>AA61</f>
        <v>0.10567632850241547</v>
      </c>
      <c r="AJ21" s="231">
        <f>R61</f>
        <v>444300</v>
      </c>
      <c r="AK21" s="231">
        <f>U61</f>
        <v>496800</v>
      </c>
      <c r="AL21" s="232">
        <f t="shared" si="33"/>
        <v>444300</v>
      </c>
      <c r="AM21" s="232">
        <f t="shared" si="34"/>
        <v>1176000</v>
      </c>
      <c r="AN21" s="231">
        <f>W61</f>
        <v>1474002</v>
      </c>
      <c r="AO21" s="231">
        <f>X61</f>
        <v>895110</v>
      </c>
      <c r="AP21" s="232">
        <f t="shared" si="35"/>
        <v>2369112</v>
      </c>
    </row>
    <row r="22" spans="2:42">
      <c r="B22" s="150" t="s">
        <v>160</v>
      </c>
      <c r="C22" s="140" t="s">
        <v>161</v>
      </c>
      <c r="D22" s="141">
        <v>43624</v>
      </c>
      <c r="E22" s="169">
        <f t="shared" si="22"/>
        <v>44700</v>
      </c>
      <c r="F22" s="142" t="s">
        <v>107</v>
      </c>
      <c r="G22" s="143">
        <v>8.6572671999999997</v>
      </c>
      <c r="H22" s="142">
        <v>-10.965688</v>
      </c>
      <c r="I22" s="142">
        <v>612</v>
      </c>
      <c r="J22" s="145">
        <f xml:space="preserve"> IF(I22&gt;300, 300,#REF!)</f>
        <v>300</v>
      </c>
      <c r="K22" s="30" t="s">
        <v>108</v>
      </c>
      <c r="L22" s="145">
        <f t="shared" si="23"/>
        <v>227</v>
      </c>
      <c r="M22" s="170">
        <v>0</v>
      </c>
      <c r="N22" s="145">
        <f t="shared" si="24"/>
        <v>138</v>
      </c>
      <c r="O22" s="170">
        <v>0</v>
      </c>
      <c r="P22" s="170">
        <f t="shared" si="36"/>
        <v>0</v>
      </c>
      <c r="Q22" s="76">
        <f t="shared" si="25"/>
        <v>68100</v>
      </c>
      <c r="R22" s="76">
        <f t="shared" si="26"/>
        <v>41400</v>
      </c>
      <c r="S22" s="76">
        <f t="shared" si="37"/>
        <v>109500</v>
      </c>
      <c r="T22" s="75">
        <f t="shared" ref="T22" si="42">(L22+M22)*J22</f>
        <v>68100</v>
      </c>
      <c r="U22" s="75">
        <f t="shared" ref="U22" si="43">(N22+O22)*J22</f>
        <v>41400</v>
      </c>
      <c r="V22" s="75">
        <f t="shared" ref="V22" si="44">SUM(T22:U22)</f>
        <v>109500</v>
      </c>
      <c r="W22" s="75">
        <f t="shared" si="27"/>
        <v>138924</v>
      </c>
      <c r="X22" s="75">
        <f t="shared" si="28"/>
        <v>84456</v>
      </c>
      <c r="Y22" s="75">
        <f t="shared" ref="Y22" si="45">SUM(W22:X22)</f>
        <v>223380</v>
      </c>
      <c r="Z22" s="228">
        <f t="shared" si="29"/>
        <v>0</v>
      </c>
      <c r="AA22" s="228">
        <f t="shared" si="30"/>
        <v>0</v>
      </c>
      <c r="AB22" s="193">
        <f t="shared" si="31"/>
        <v>0</v>
      </c>
      <c r="AC22" s="209"/>
      <c r="AD22" s="24" t="s">
        <v>19</v>
      </c>
      <c r="AE22" s="230">
        <f>Z76</f>
        <v>0</v>
      </c>
      <c r="AF22" s="231">
        <f>Q76</f>
        <v>885300</v>
      </c>
      <c r="AG22" s="231">
        <f>T76</f>
        <v>885300</v>
      </c>
      <c r="AH22" s="232">
        <f t="shared" si="32"/>
        <v>841035</v>
      </c>
      <c r="AI22" s="230">
        <f>AA76</f>
        <v>0</v>
      </c>
      <c r="AJ22" s="231">
        <f>R76</f>
        <v>538200</v>
      </c>
      <c r="AK22" s="231">
        <f>U76</f>
        <v>538200</v>
      </c>
      <c r="AL22" s="232">
        <f t="shared" si="33"/>
        <v>511290</v>
      </c>
      <c r="AM22" s="232">
        <f t="shared" si="34"/>
        <v>1352325</v>
      </c>
      <c r="AN22" s="231">
        <f>W76</f>
        <v>1461199</v>
      </c>
      <c r="AO22" s="231">
        <f>X76</f>
        <v>888306</v>
      </c>
      <c r="AP22" s="232">
        <f t="shared" si="35"/>
        <v>2349505</v>
      </c>
    </row>
    <row r="23" spans="2:42">
      <c r="B23" s="150" t="s">
        <v>162</v>
      </c>
      <c r="C23" s="140" t="s">
        <v>163</v>
      </c>
      <c r="D23" s="141">
        <v>43638</v>
      </c>
      <c r="E23" s="169">
        <f t="shared" si="22"/>
        <v>44700</v>
      </c>
      <c r="F23" s="142" t="s">
        <v>159</v>
      </c>
      <c r="G23" s="143">
        <v>8.6570196999999993</v>
      </c>
      <c r="H23" s="142">
        <v>-10.986175899999999</v>
      </c>
      <c r="I23" s="142">
        <v>668</v>
      </c>
      <c r="J23" s="145">
        <f xml:space="preserve"> IF(I23&gt;300, 300,#REF!)</f>
        <v>300</v>
      </c>
      <c r="K23" s="30" t="s">
        <v>108</v>
      </c>
      <c r="L23" s="145">
        <f t="shared" si="23"/>
        <v>227</v>
      </c>
      <c r="M23" s="170">
        <v>0</v>
      </c>
      <c r="N23" s="145">
        <f t="shared" si="24"/>
        <v>138</v>
      </c>
      <c r="O23" s="170">
        <v>0</v>
      </c>
      <c r="P23" s="170">
        <f t="shared" si="36"/>
        <v>0</v>
      </c>
      <c r="Q23" s="76">
        <f t="shared" si="25"/>
        <v>68100</v>
      </c>
      <c r="R23" s="76">
        <f t="shared" si="26"/>
        <v>41400</v>
      </c>
      <c r="S23" s="76">
        <f t="shared" si="37"/>
        <v>109500</v>
      </c>
      <c r="T23" s="75">
        <f>(L23+M23)*J23</f>
        <v>68100</v>
      </c>
      <c r="U23" s="75">
        <f>(N23+O23)*J23</f>
        <v>41400</v>
      </c>
      <c r="V23" s="75">
        <f>SUM(T23:U23)</f>
        <v>109500</v>
      </c>
      <c r="W23" s="75">
        <f t="shared" si="27"/>
        <v>151636</v>
      </c>
      <c r="X23" s="75">
        <f t="shared" si="28"/>
        <v>92184</v>
      </c>
      <c r="Y23" s="75">
        <f>SUM(W23:X23)</f>
        <v>243820</v>
      </c>
      <c r="Z23" s="228">
        <f t="shared" si="29"/>
        <v>0</v>
      </c>
      <c r="AA23" s="228">
        <f t="shared" si="30"/>
        <v>0</v>
      </c>
      <c r="AB23" s="193">
        <f t="shared" si="31"/>
        <v>0</v>
      </c>
      <c r="AC23" s="209"/>
      <c r="AD23" s="24" t="s">
        <v>20</v>
      </c>
      <c r="AE23" s="230">
        <f>Z91</f>
        <v>0.13486953575059302</v>
      </c>
      <c r="AF23" s="231">
        <f>Q91</f>
        <v>765900</v>
      </c>
      <c r="AG23" s="231">
        <f>T91</f>
        <v>885300</v>
      </c>
      <c r="AH23" s="232">
        <f t="shared" si="32"/>
        <v>765900</v>
      </c>
      <c r="AI23" s="230">
        <f>AA91</f>
        <v>0.1354515050167224</v>
      </c>
      <c r="AJ23" s="231">
        <f>R91</f>
        <v>465300</v>
      </c>
      <c r="AK23" s="231">
        <f>U91</f>
        <v>538200</v>
      </c>
      <c r="AL23" s="232">
        <f t="shared" si="33"/>
        <v>465300</v>
      </c>
      <c r="AM23" s="232">
        <f t="shared" si="34"/>
        <v>1231200</v>
      </c>
      <c r="AN23" s="231">
        <f>W91</f>
        <v>1340008</v>
      </c>
      <c r="AO23" s="231">
        <f>X91</f>
        <v>814036</v>
      </c>
      <c r="AP23" s="232">
        <f t="shared" si="35"/>
        <v>2154044</v>
      </c>
    </row>
    <row r="24" spans="2:42">
      <c r="B24" s="150" t="s">
        <v>164</v>
      </c>
      <c r="C24" s="140" t="s">
        <v>165</v>
      </c>
      <c r="D24" s="141">
        <v>43639</v>
      </c>
      <c r="E24" s="169">
        <f t="shared" si="22"/>
        <v>44700</v>
      </c>
      <c r="F24" s="142" t="s">
        <v>107</v>
      </c>
      <c r="G24" s="143">
        <v>8.6163945999999996</v>
      </c>
      <c r="H24" s="142">
        <v>-11.0338797</v>
      </c>
      <c r="I24" s="142">
        <v>485</v>
      </c>
      <c r="J24" s="145">
        <f xml:space="preserve"> IF(I24&gt;300, 300,#REF!)</f>
        <v>300</v>
      </c>
      <c r="K24" s="24" t="s">
        <v>108</v>
      </c>
      <c r="L24" s="145">
        <f t="shared" si="23"/>
        <v>227</v>
      </c>
      <c r="M24" s="170">
        <v>0</v>
      </c>
      <c r="N24" s="145">
        <f t="shared" si="24"/>
        <v>138</v>
      </c>
      <c r="O24" s="170">
        <v>0</v>
      </c>
      <c r="P24" s="170">
        <f t="shared" si="36"/>
        <v>0</v>
      </c>
      <c r="Q24" s="76">
        <f t="shared" si="25"/>
        <v>68100</v>
      </c>
      <c r="R24" s="76">
        <f t="shared" si="26"/>
        <v>41400</v>
      </c>
      <c r="S24" s="76">
        <f t="shared" si="37"/>
        <v>109500</v>
      </c>
      <c r="T24" s="75">
        <f>(L24+M24)*J24</f>
        <v>68100</v>
      </c>
      <c r="U24" s="75">
        <f>(N24+O24)*J24</f>
        <v>41400</v>
      </c>
      <c r="V24" s="75">
        <f>SUM(T24:U24)</f>
        <v>109500</v>
      </c>
      <c r="W24" s="75">
        <f t="shared" si="27"/>
        <v>110095</v>
      </c>
      <c r="X24" s="75">
        <f t="shared" si="28"/>
        <v>66930</v>
      </c>
      <c r="Y24" s="75">
        <f>SUM(W24:X24)</f>
        <v>177025</v>
      </c>
      <c r="Z24" s="228">
        <f t="shared" si="29"/>
        <v>0</v>
      </c>
      <c r="AA24" s="228">
        <f t="shared" si="30"/>
        <v>0</v>
      </c>
      <c r="AB24" s="193">
        <f t="shared" si="31"/>
        <v>0</v>
      </c>
      <c r="AD24" s="24" t="s">
        <v>21</v>
      </c>
      <c r="AE24" s="230">
        <f>Z106</f>
        <v>0.11589291765503219</v>
      </c>
      <c r="AF24" s="231">
        <f>Q106</f>
        <v>782700</v>
      </c>
      <c r="AG24" s="231">
        <f>T106</f>
        <v>885300</v>
      </c>
      <c r="AH24" s="232">
        <f t="shared" si="32"/>
        <v>782700</v>
      </c>
      <c r="AI24" s="230">
        <f>AA106</f>
        <v>0.11705685618729098</v>
      </c>
      <c r="AJ24" s="231">
        <f>R106</f>
        <v>475200</v>
      </c>
      <c r="AK24" s="231">
        <f>U106</f>
        <v>538200</v>
      </c>
      <c r="AL24" s="232">
        <f t="shared" si="33"/>
        <v>475200</v>
      </c>
      <c r="AM24" s="232">
        <f t="shared" si="34"/>
        <v>1257900</v>
      </c>
      <c r="AN24" s="231">
        <f>W106</f>
        <v>1476610</v>
      </c>
      <c r="AO24" s="231">
        <f>X106</f>
        <v>896534</v>
      </c>
      <c r="AP24" s="232">
        <f t="shared" si="35"/>
        <v>2373144</v>
      </c>
    </row>
    <row r="25" spans="2:42" ht="14.25" customHeight="1">
      <c r="B25" s="147" t="s">
        <v>166</v>
      </c>
      <c r="C25" s="147" t="s">
        <v>167</v>
      </c>
      <c r="D25" s="141">
        <v>43945</v>
      </c>
      <c r="E25" s="169">
        <f t="shared" si="22"/>
        <v>44700</v>
      </c>
      <c r="F25" s="142" t="s">
        <v>159</v>
      </c>
      <c r="G25" s="142">
        <v>8.3311010000000003</v>
      </c>
      <c r="H25" s="142">
        <v>-10.629948000000001</v>
      </c>
      <c r="I25" s="142">
        <v>526</v>
      </c>
      <c r="J25" s="145">
        <f t="shared" ref="J25:J31" si="46">IF(I25&gt;300, 300, I25)</f>
        <v>300</v>
      </c>
      <c r="K25" s="24" t="s">
        <v>108</v>
      </c>
      <c r="L25" s="145">
        <f t="shared" si="23"/>
        <v>170</v>
      </c>
      <c r="M25" s="170">
        <v>57</v>
      </c>
      <c r="N25" s="145">
        <f t="shared" si="24"/>
        <v>103</v>
      </c>
      <c r="O25" s="187">
        <v>35</v>
      </c>
      <c r="P25" s="170">
        <f t="shared" si="36"/>
        <v>92</v>
      </c>
      <c r="Q25" s="75">
        <f t="shared" si="25"/>
        <v>51000</v>
      </c>
      <c r="R25" s="75">
        <f t="shared" si="26"/>
        <v>30900</v>
      </c>
      <c r="S25" s="76">
        <f t="shared" si="37"/>
        <v>81900</v>
      </c>
      <c r="T25" s="75">
        <f t="shared" ref="T25:T31" si="47">(L25+M25)*J25</f>
        <v>68100</v>
      </c>
      <c r="U25" s="75">
        <f t="shared" ref="U25:U31" si="48">(N25+O25)*J25</f>
        <v>41400</v>
      </c>
      <c r="V25" s="75">
        <f t="shared" ref="V25:V31" si="49">SUM(T25:U25)</f>
        <v>109500</v>
      </c>
      <c r="W25" s="75">
        <f t="shared" si="27"/>
        <v>89420</v>
      </c>
      <c r="X25" s="75">
        <f t="shared" si="28"/>
        <v>54178</v>
      </c>
      <c r="Y25" s="75">
        <f t="shared" ref="Y25:Y31" si="50">SUM(W25:X25)</f>
        <v>143598</v>
      </c>
      <c r="Z25" s="228">
        <f t="shared" si="29"/>
        <v>0.25110132158590309</v>
      </c>
      <c r="AA25" s="228">
        <f t="shared" si="30"/>
        <v>0.25362318840579712</v>
      </c>
      <c r="AB25" s="193">
        <f t="shared" si="31"/>
        <v>0.25205479452054796</v>
      </c>
      <c r="AD25" s="24" t="s">
        <v>22</v>
      </c>
      <c r="AE25" s="230">
        <f>Z122</f>
        <v>7.1743234738829459E-2</v>
      </c>
      <c r="AF25" s="231">
        <f>Q122</f>
        <v>885000</v>
      </c>
      <c r="AG25" s="231">
        <f>T122</f>
        <v>953400</v>
      </c>
      <c r="AH25" s="232">
        <f t="shared" si="32"/>
        <v>885000</v>
      </c>
      <c r="AI25" s="230">
        <f>AA122</f>
        <v>7.2463768115942032E-2</v>
      </c>
      <c r="AJ25" s="231">
        <f>R122</f>
        <v>537600</v>
      </c>
      <c r="AK25" s="231">
        <f>U122</f>
        <v>579600</v>
      </c>
      <c r="AL25" s="232">
        <f t="shared" si="33"/>
        <v>537600</v>
      </c>
      <c r="AM25" s="232">
        <f t="shared" si="34"/>
        <v>1422600</v>
      </c>
      <c r="AN25" s="231">
        <f>W122</f>
        <v>1533039</v>
      </c>
      <c r="AO25" s="231">
        <f>X122</f>
        <v>931340</v>
      </c>
      <c r="AP25" s="232">
        <f t="shared" si="35"/>
        <v>2464379</v>
      </c>
    </row>
    <row r="26" spans="2:42">
      <c r="B26" s="147" t="s">
        <v>168</v>
      </c>
      <c r="C26" s="147" t="s">
        <v>169</v>
      </c>
      <c r="D26" s="141">
        <v>43945</v>
      </c>
      <c r="E26" s="169">
        <f t="shared" si="22"/>
        <v>44700</v>
      </c>
      <c r="F26" s="142" t="s">
        <v>159</v>
      </c>
      <c r="G26" s="142">
        <v>8.2042300000000008</v>
      </c>
      <c r="H26" s="142">
        <v>-10.479983000000001</v>
      </c>
      <c r="I26" s="142">
        <v>528</v>
      </c>
      <c r="J26" s="145">
        <f t="shared" si="46"/>
        <v>300</v>
      </c>
      <c r="K26" s="24" t="s">
        <v>108</v>
      </c>
      <c r="L26" s="145">
        <f t="shared" si="23"/>
        <v>227</v>
      </c>
      <c r="M26" s="170">
        <v>0</v>
      </c>
      <c r="N26" s="145">
        <f t="shared" si="24"/>
        <v>138</v>
      </c>
      <c r="O26" s="187">
        <v>0</v>
      </c>
      <c r="P26" s="170">
        <f t="shared" si="36"/>
        <v>0</v>
      </c>
      <c r="Q26" s="75">
        <f t="shared" si="25"/>
        <v>68100</v>
      </c>
      <c r="R26" s="75">
        <f t="shared" si="26"/>
        <v>41400</v>
      </c>
      <c r="S26" s="76">
        <f t="shared" si="37"/>
        <v>109500</v>
      </c>
      <c r="T26" s="75">
        <f t="shared" si="47"/>
        <v>68100</v>
      </c>
      <c r="U26" s="75">
        <f t="shared" si="48"/>
        <v>41400</v>
      </c>
      <c r="V26" s="75">
        <f t="shared" si="49"/>
        <v>109500</v>
      </c>
      <c r="W26" s="75">
        <f t="shared" si="27"/>
        <v>119856</v>
      </c>
      <c r="X26" s="75">
        <f t="shared" si="28"/>
        <v>72864</v>
      </c>
      <c r="Y26" s="75">
        <f t="shared" si="50"/>
        <v>192720</v>
      </c>
      <c r="Z26" s="228">
        <f t="shared" si="29"/>
        <v>0</v>
      </c>
      <c r="AA26" s="228">
        <f t="shared" si="30"/>
        <v>0</v>
      </c>
      <c r="AB26" s="193">
        <f t="shared" si="31"/>
        <v>0</v>
      </c>
      <c r="AD26" s="24" t="s">
        <v>23</v>
      </c>
      <c r="AE26" s="230">
        <f>Z138</f>
        <v>1.7935808684707365E-2</v>
      </c>
      <c r="AF26" s="231">
        <f>Q138</f>
        <v>936300</v>
      </c>
      <c r="AG26" s="231">
        <f>T138</f>
        <v>953400</v>
      </c>
      <c r="AH26" s="232">
        <f t="shared" si="32"/>
        <v>905730</v>
      </c>
      <c r="AI26" s="230">
        <f>AA138</f>
        <v>1.8115942028985508E-2</v>
      </c>
      <c r="AJ26" s="231">
        <f>R138</f>
        <v>569100</v>
      </c>
      <c r="AK26" s="231">
        <f>U138</f>
        <v>579600</v>
      </c>
      <c r="AL26" s="232">
        <f t="shared" si="33"/>
        <v>550620</v>
      </c>
      <c r="AM26" s="232">
        <f t="shared" si="34"/>
        <v>1456350</v>
      </c>
      <c r="AN26" s="231">
        <f>W138</f>
        <v>1797835</v>
      </c>
      <c r="AO26" s="231">
        <f>X138</f>
        <v>1092792</v>
      </c>
      <c r="AP26" s="232">
        <f t="shared" si="35"/>
        <v>2890627</v>
      </c>
    </row>
    <row r="27" spans="2:42">
      <c r="B27" s="147" t="s">
        <v>170</v>
      </c>
      <c r="C27" s="147" t="s">
        <v>171</v>
      </c>
      <c r="D27" s="141">
        <v>43943</v>
      </c>
      <c r="E27" s="169">
        <f t="shared" si="22"/>
        <v>44700</v>
      </c>
      <c r="F27" s="142" t="s">
        <v>107</v>
      </c>
      <c r="G27" s="142">
        <v>8.2243460000000006</v>
      </c>
      <c r="H27" s="142">
        <v>-10.515829999999999</v>
      </c>
      <c r="I27" s="142">
        <v>538</v>
      </c>
      <c r="J27" s="145">
        <f t="shared" si="46"/>
        <v>300</v>
      </c>
      <c r="K27" s="24" t="s">
        <v>108</v>
      </c>
      <c r="L27" s="145">
        <f t="shared" si="23"/>
        <v>227</v>
      </c>
      <c r="M27" s="170">
        <v>0</v>
      </c>
      <c r="N27" s="145">
        <f t="shared" si="24"/>
        <v>138</v>
      </c>
      <c r="O27" s="187">
        <v>0</v>
      </c>
      <c r="P27" s="170">
        <f t="shared" si="36"/>
        <v>0</v>
      </c>
      <c r="Q27" s="75">
        <f t="shared" si="25"/>
        <v>68100</v>
      </c>
      <c r="R27" s="75">
        <f t="shared" si="26"/>
        <v>41400</v>
      </c>
      <c r="S27" s="76">
        <f t="shared" si="37"/>
        <v>109500</v>
      </c>
      <c r="T27" s="75">
        <f t="shared" si="47"/>
        <v>68100</v>
      </c>
      <c r="U27" s="75">
        <f t="shared" si="48"/>
        <v>41400</v>
      </c>
      <c r="V27" s="75">
        <f t="shared" si="49"/>
        <v>109500</v>
      </c>
      <c r="W27" s="75">
        <f t="shared" si="27"/>
        <v>122126</v>
      </c>
      <c r="X27" s="75">
        <f t="shared" si="28"/>
        <v>74244</v>
      </c>
      <c r="Y27" s="75">
        <f t="shared" si="50"/>
        <v>196370</v>
      </c>
      <c r="Z27" s="228">
        <f t="shared" si="29"/>
        <v>0</v>
      </c>
      <c r="AA27" s="228">
        <f t="shared" si="30"/>
        <v>0</v>
      </c>
      <c r="AB27" s="193">
        <f t="shared" si="31"/>
        <v>0</v>
      </c>
      <c r="AD27" s="24" t="s">
        <v>24</v>
      </c>
      <c r="AE27" s="230">
        <f>Z154</f>
        <v>1.7935808684707365E-2</v>
      </c>
      <c r="AF27" s="231">
        <f>Q154</f>
        <v>936300</v>
      </c>
      <c r="AG27" s="231">
        <f>T154</f>
        <v>953400</v>
      </c>
      <c r="AH27" s="232">
        <f t="shared" si="32"/>
        <v>905730</v>
      </c>
      <c r="AI27" s="230">
        <f>AA154</f>
        <v>1.1013215859030838E-2</v>
      </c>
      <c r="AJ27" s="231">
        <f>R154</f>
        <v>595800</v>
      </c>
      <c r="AK27" s="231">
        <f>U154</f>
        <v>606300</v>
      </c>
      <c r="AL27" s="232">
        <f t="shared" si="33"/>
        <v>575985</v>
      </c>
      <c r="AM27" s="232">
        <f t="shared" si="34"/>
        <v>1481715</v>
      </c>
      <c r="AN27" s="231">
        <f>W154</f>
        <v>1722239</v>
      </c>
      <c r="AO27" s="231">
        <f>X154</f>
        <v>1090794</v>
      </c>
      <c r="AP27" s="232">
        <f t="shared" si="35"/>
        <v>2813033</v>
      </c>
    </row>
    <row r="28" spans="2:42" ht="15" customHeight="1">
      <c r="B28" s="147" t="s">
        <v>172</v>
      </c>
      <c r="C28" s="147" t="s">
        <v>173</v>
      </c>
      <c r="D28" s="141">
        <v>43946</v>
      </c>
      <c r="E28" s="169">
        <f t="shared" si="22"/>
        <v>44700</v>
      </c>
      <c r="F28" s="142" t="s">
        <v>107</v>
      </c>
      <c r="G28" s="142">
        <v>8.2112216</v>
      </c>
      <c r="H28" s="142">
        <v>-10.507698</v>
      </c>
      <c r="I28" s="142">
        <v>538</v>
      </c>
      <c r="J28" s="145">
        <f t="shared" si="46"/>
        <v>300</v>
      </c>
      <c r="K28" s="24" t="s">
        <v>108</v>
      </c>
      <c r="L28" s="145">
        <f t="shared" si="23"/>
        <v>227</v>
      </c>
      <c r="M28" s="170">
        <v>0</v>
      </c>
      <c r="N28" s="145">
        <f t="shared" si="24"/>
        <v>138</v>
      </c>
      <c r="O28" s="187">
        <v>0</v>
      </c>
      <c r="P28" s="170">
        <f t="shared" si="36"/>
        <v>0</v>
      </c>
      <c r="Q28" s="75">
        <f t="shared" si="25"/>
        <v>68100</v>
      </c>
      <c r="R28" s="75">
        <f t="shared" si="26"/>
        <v>41400</v>
      </c>
      <c r="S28" s="76">
        <f t="shared" si="37"/>
        <v>109500</v>
      </c>
      <c r="T28" s="75">
        <f t="shared" si="47"/>
        <v>68100</v>
      </c>
      <c r="U28" s="75">
        <f t="shared" si="48"/>
        <v>41400</v>
      </c>
      <c r="V28" s="75">
        <f t="shared" si="49"/>
        <v>109500</v>
      </c>
      <c r="W28" s="75">
        <f t="shared" si="27"/>
        <v>122126</v>
      </c>
      <c r="X28" s="75">
        <f t="shared" si="28"/>
        <v>74244</v>
      </c>
      <c r="Y28" s="75">
        <f t="shared" si="50"/>
        <v>196370</v>
      </c>
      <c r="Z28" s="228">
        <f t="shared" si="29"/>
        <v>0</v>
      </c>
      <c r="AA28" s="228">
        <f t="shared" si="30"/>
        <v>0</v>
      </c>
      <c r="AB28" s="193">
        <f t="shared" si="31"/>
        <v>0</v>
      </c>
      <c r="AD28" s="24" t="s">
        <v>25</v>
      </c>
      <c r="AE28" s="230">
        <f>Z176</f>
        <v>0</v>
      </c>
      <c r="AF28" s="231">
        <f>Q176</f>
        <v>1401036</v>
      </c>
      <c r="AG28" s="231">
        <f>T176</f>
        <v>1401036</v>
      </c>
      <c r="AH28" s="232">
        <f t="shared" si="32"/>
        <v>1330984</v>
      </c>
      <c r="AI28" s="230">
        <f>AA176</f>
        <v>0</v>
      </c>
      <c r="AJ28" s="231">
        <f>R176</f>
        <v>832888</v>
      </c>
      <c r="AK28" s="231">
        <f>U176</f>
        <v>832888</v>
      </c>
      <c r="AL28" s="232">
        <f t="shared" si="33"/>
        <v>791243</v>
      </c>
      <c r="AM28" s="232">
        <f t="shared" si="34"/>
        <v>2122227</v>
      </c>
      <c r="AN28" s="231">
        <f>W176</f>
        <v>1774561</v>
      </c>
      <c r="AO28" s="231">
        <f>X176</f>
        <v>1067242</v>
      </c>
      <c r="AP28" s="232">
        <f t="shared" si="35"/>
        <v>2841803</v>
      </c>
    </row>
    <row r="29" spans="2:42">
      <c r="B29" s="147" t="s">
        <v>174</v>
      </c>
      <c r="C29" s="147" t="s">
        <v>175</v>
      </c>
      <c r="D29" s="141">
        <v>43951</v>
      </c>
      <c r="E29" s="169">
        <f t="shared" si="22"/>
        <v>44700</v>
      </c>
      <c r="F29" s="142" t="s">
        <v>159</v>
      </c>
      <c r="G29" s="142">
        <v>8.2023229999999998</v>
      </c>
      <c r="H29" s="142">
        <v>-10.481707999999999</v>
      </c>
      <c r="I29" s="142">
        <v>483</v>
      </c>
      <c r="J29" s="145">
        <f t="shared" si="46"/>
        <v>300</v>
      </c>
      <c r="K29" s="24" t="s">
        <v>108</v>
      </c>
      <c r="L29" s="145">
        <f t="shared" si="23"/>
        <v>227</v>
      </c>
      <c r="M29" s="170">
        <v>0</v>
      </c>
      <c r="N29" s="145">
        <f t="shared" si="24"/>
        <v>138</v>
      </c>
      <c r="O29" s="187">
        <v>0</v>
      </c>
      <c r="P29" s="170">
        <f t="shared" si="36"/>
        <v>0</v>
      </c>
      <c r="Q29" s="75">
        <f t="shared" si="25"/>
        <v>68100</v>
      </c>
      <c r="R29" s="75">
        <f t="shared" si="26"/>
        <v>41400</v>
      </c>
      <c r="S29" s="76">
        <f t="shared" si="37"/>
        <v>109500</v>
      </c>
      <c r="T29" s="75">
        <f t="shared" si="47"/>
        <v>68100</v>
      </c>
      <c r="U29" s="75">
        <f t="shared" si="48"/>
        <v>41400</v>
      </c>
      <c r="V29" s="75">
        <f t="shared" si="49"/>
        <v>109500</v>
      </c>
      <c r="W29" s="75">
        <f t="shared" si="27"/>
        <v>109641</v>
      </c>
      <c r="X29" s="75">
        <f t="shared" si="28"/>
        <v>66654</v>
      </c>
      <c r="Y29" s="75">
        <f t="shared" si="50"/>
        <v>176295</v>
      </c>
      <c r="Z29" s="228">
        <f t="shared" si="29"/>
        <v>0</v>
      </c>
      <c r="AA29" s="228">
        <f t="shared" si="30"/>
        <v>0</v>
      </c>
      <c r="AB29" s="193">
        <f t="shared" si="31"/>
        <v>0</v>
      </c>
      <c r="AD29" s="24" t="s">
        <v>26</v>
      </c>
      <c r="AE29" s="230">
        <f>Z198</f>
        <v>0.05</v>
      </c>
      <c r="AF29" s="231">
        <f>Q198</f>
        <v>1049472</v>
      </c>
      <c r="AG29" s="231">
        <f>T198</f>
        <v>1085172</v>
      </c>
      <c r="AH29" s="232">
        <f>IF(AE29&gt;0.049999,AF29,_xlfn.FLOOR.MATH(AG29*0.95))</f>
        <v>1049472</v>
      </c>
      <c r="AI29" s="230">
        <f>AA198</f>
        <v>0.05</v>
      </c>
      <c r="AJ29" s="231">
        <f>R198</f>
        <v>790076</v>
      </c>
      <c r="AK29" s="231">
        <f>U198</f>
        <v>831776</v>
      </c>
      <c r="AL29" s="232">
        <f t="shared" si="33"/>
        <v>790187</v>
      </c>
      <c r="AM29" s="232">
        <f t="shared" si="34"/>
        <v>1839659</v>
      </c>
      <c r="AN29" s="231">
        <f>W198</f>
        <v>1327560</v>
      </c>
      <c r="AO29" s="231">
        <f>X198</f>
        <v>1005387</v>
      </c>
      <c r="AP29" s="232">
        <f t="shared" si="35"/>
        <v>2332947</v>
      </c>
    </row>
    <row r="30" spans="2:42">
      <c r="B30" s="147" t="s">
        <v>176</v>
      </c>
      <c r="C30" s="147" t="s">
        <v>177</v>
      </c>
      <c r="D30" s="141">
        <v>43941</v>
      </c>
      <c r="E30" s="169">
        <f t="shared" si="22"/>
        <v>44700</v>
      </c>
      <c r="F30" s="142" t="s">
        <v>159</v>
      </c>
      <c r="G30" s="142">
        <v>8.2022879999999994</v>
      </c>
      <c r="H30" s="142">
        <v>-10.480705</v>
      </c>
      <c r="I30" s="142">
        <v>483</v>
      </c>
      <c r="J30" s="145">
        <f t="shared" si="46"/>
        <v>300</v>
      </c>
      <c r="K30" s="24" t="s">
        <v>108</v>
      </c>
      <c r="L30" s="145">
        <f t="shared" si="23"/>
        <v>170</v>
      </c>
      <c r="M30" s="170">
        <v>57</v>
      </c>
      <c r="N30" s="145">
        <f t="shared" si="24"/>
        <v>103</v>
      </c>
      <c r="O30" s="187">
        <v>35</v>
      </c>
      <c r="P30" s="170">
        <f t="shared" si="36"/>
        <v>92</v>
      </c>
      <c r="Q30" s="75">
        <f t="shared" si="25"/>
        <v>51000</v>
      </c>
      <c r="R30" s="75">
        <f t="shared" si="26"/>
        <v>30900</v>
      </c>
      <c r="S30" s="76">
        <f t="shared" si="37"/>
        <v>81900</v>
      </c>
      <c r="T30" s="75">
        <f t="shared" si="47"/>
        <v>68100</v>
      </c>
      <c r="U30" s="75">
        <f t="shared" si="48"/>
        <v>41400</v>
      </c>
      <c r="V30" s="75">
        <f t="shared" si="49"/>
        <v>109500</v>
      </c>
      <c r="W30" s="75">
        <f t="shared" si="27"/>
        <v>82110</v>
      </c>
      <c r="X30" s="75">
        <f t="shared" si="28"/>
        <v>49749</v>
      </c>
      <c r="Y30" s="75">
        <f t="shared" si="50"/>
        <v>131859</v>
      </c>
      <c r="Z30" s="228">
        <f t="shared" si="29"/>
        <v>0.25110132158590309</v>
      </c>
      <c r="AA30" s="228">
        <f t="shared" si="30"/>
        <v>0.25362318840579712</v>
      </c>
      <c r="AB30" s="193">
        <f t="shared" si="31"/>
        <v>0.25205479452054796</v>
      </c>
      <c r="AD30" s="24" t="s">
        <v>27</v>
      </c>
      <c r="AE30" s="230">
        <f>Z220</f>
        <v>0</v>
      </c>
      <c r="AF30" s="231">
        <f>Q220</f>
        <v>702300</v>
      </c>
      <c r="AG30" s="231">
        <f>T220</f>
        <v>702300</v>
      </c>
      <c r="AH30" s="232">
        <f t="shared" si="32"/>
        <v>667185</v>
      </c>
      <c r="AI30" s="230">
        <f>AA220</f>
        <v>0</v>
      </c>
      <c r="AJ30" s="231">
        <f>R220</f>
        <v>834000</v>
      </c>
      <c r="AK30" s="231">
        <f>U220</f>
        <v>834000</v>
      </c>
      <c r="AL30" s="232">
        <f t="shared" si="33"/>
        <v>792300</v>
      </c>
      <c r="AM30" s="232">
        <f t="shared" si="34"/>
        <v>1459485</v>
      </c>
      <c r="AN30" s="231">
        <f>W220</f>
        <v>947937</v>
      </c>
      <c r="AO30" s="231">
        <f>X220</f>
        <v>1117699</v>
      </c>
      <c r="AP30" s="232">
        <f t="shared" si="35"/>
        <v>2065636</v>
      </c>
    </row>
    <row r="31" spans="2:42">
      <c r="B31" s="147" t="s">
        <v>178</v>
      </c>
      <c r="C31" s="147" t="s">
        <v>179</v>
      </c>
      <c r="D31" s="141">
        <v>43941</v>
      </c>
      <c r="E31" s="169">
        <f t="shared" si="22"/>
        <v>44700</v>
      </c>
      <c r="F31" s="142" t="s">
        <v>159</v>
      </c>
      <c r="G31" s="142">
        <v>8.2034409999999998</v>
      </c>
      <c r="H31" s="142">
        <v>-10.483663</v>
      </c>
      <c r="I31" s="142">
        <v>534</v>
      </c>
      <c r="J31" s="145">
        <f t="shared" si="46"/>
        <v>300</v>
      </c>
      <c r="K31" s="24" t="s">
        <v>108</v>
      </c>
      <c r="L31" s="145">
        <f t="shared" si="23"/>
        <v>227</v>
      </c>
      <c r="M31" s="170">
        <v>0</v>
      </c>
      <c r="N31" s="145">
        <f t="shared" si="24"/>
        <v>138</v>
      </c>
      <c r="O31" s="187">
        <v>0</v>
      </c>
      <c r="P31" s="170">
        <f t="shared" si="36"/>
        <v>0</v>
      </c>
      <c r="Q31" s="75">
        <f t="shared" si="25"/>
        <v>68100</v>
      </c>
      <c r="R31" s="75">
        <f t="shared" si="26"/>
        <v>41400</v>
      </c>
      <c r="S31" s="76">
        <f t="shared" si="37"/>
        <v>109500</v>
      </c>
      <c r="T31" s="75">
        <f t="shared" si="47"/>
        <v>68100</v>
      </c>
      <c r="U31" s="75">
        <f t="shared" si="48"/>
        <v>41400</v>
      </c>
      <c r="V31" s="75">
        <f t="shared" si="49"/>
        <v>109500</v>
      </c>
      <c r="W31" s="75">
        <f t="shared" si="27"/>
        <v>121218</v>
      </c>
      <c r="X31" s="75">
        <f t="shared" si="28"/>
        <v>73692</v>
      </c>
      <c r="Y31" s="75">
        <f t="shared" si="50"/>
        <v>194910</v>
      </c>
      <c r="Z31" s="228">
        <f t="shared" si="29"/>
        <v>0</v>
      </c>
      <c r="AA31" s="228">
        <f t="shared" si="30"/>
        <v>0</v>
      </c>
      <c r="AB31" s="193">
        <f t="shared" si="31"/>
        <v>0</v>
      </c>
      <c r="AG31" s="229"/>
      <c r="AK31" s="229"/>
    </row>
    <row r="32" spans="2:42">
      <c r="B32" s="148">
        <f>COUNTA(B19:B31)</f>
        <v>13</v>
      </c>
      <c r="C32" s="149"/>
      <c r="D32" s="149"/>
      <c r="E32" s="149"/>
      <c r="F32" s="86"/>
      <c r="G32" s="86"/>
      <c r="H32" s="86"/>
      <c r="I32" s="87">
        <f>SUM(I19:I31)</f>
        <v>7120</v>
      </c>
      <c r="J32" s="87">
        <f>SUM(J19:J31)</f>
        <v>3900</v>
      </c>
      <c r="K32" s="86"/>
      <c r="L32" s="87">
        <f t="shared" ref="L32:Y32" si="51">SUM(L19:L31)</f>
        <v>2780</v>
      </c>
      <c r="M32" s="87">
        <f t="shared" si="51"/>
        <v>171</v>
      </c>
      <c r="N32" s="87">
        <f t="shared" si="51"/>
        <v>1689</v>
      </c>
      <c r="O32" s="87">
        <f t="shared" si="51"/>
        <v>105</v>
      </c>
      <c r="P32" s="87">
        <f t="shared" si="51"/>
        <v>276</v>
      </c>
      <c r="Q32" s="88">
        <f t="shared" si="51"/>
        <v>834000</v>
      </c>
      <c r="R32" s="88">
        <f t="shared" si="51"/>
        <v>506700</v>
      </c>
      <c r="S32" s="88">
        <f t="shared" si="51"/>
        <v>1340700</v>
      </c>
      <c r="T32" s="88">
        <f t="shared" si="51"/>
        <v>885300</v>
      </c>
      <c r="U32" s="88">
        <f t="shared" si="51"/>
        <v>538200</v>
      </c>
      <c r="V32" s="88">
        <f t="shared" si="51"/>
        <v>1423500</v>
      </c>
      <c r="W32" s="88">
        <f t="shared" si="51"/>
        <v>1519055</v>
      </c>
      <c r="X32" s="88">
        <f t="shared" si="51"/>
        <v>922885</v>
      </c>
      <c r="Y32" s="88">
        <f t="shared" si="51"/>
        <v>2441940</v>
      </c>
      <c r="Z32" s="223">
        <f t="shared" ref="Z32:AA32" si="52">AVERAGE(Z19:Z31)</f>
        <v>5.7946458827516104E-2</v>
      </c>
      <c r="AA32" s="223">
        <f t="shared" si="52"/>
        <v>5.8528428093645488E-2</v>
      </c>
      <c r="AB32" s="223">
        <f>AVERAGE(AB19:AB31)</f>
        <v>5.8166491043203372E-2</v>
      </c>
      <c r="AC32" s="186"/>
      <c r="AE32" s="10"/>
      <c r="AF32" s="10"/>
      <c r="AG32" s="10"/>
      <c r="AI32" s="10"/>
      <c r="AJ32" s="10"/>
    </row>
    <row r="33" spans="2:36" ht="14.25" customHeight="1">
      <c r="B33" s="137" t="s">
        <v>180</v>
      </c>
      <c r="C33" s="138"/>
      <c r="D33" s="138"/>
      <c r="E33" s="138"/>
      <c r="F33" s="138"/>
      <c r="G33" s="84"/>
      <c r="H33" s="84"/>
      <c r="I33" s="138"/>
      <c r="J33" s="138"/>
      <c r="K33" s="138"/>
      <c r="L33" s="89"/>
      <c r="M33" s="89"/>
      <c r="N33" s="90"/>
      <c r="O33" s="90"/>
      <c r="P33" s="90"/>
      <c r="Q33" s="91"/>
      <c r="R33" s="92"/>
      <c r="S33" s="93"/>
      <c r="T33" s="93"/>
      <c r="U33" s="93"/>
      <c r="V33" s="93"/>
      <c r="W33" s="93"/>
      <c r="X33" s="93"/>
      <c r="Y33" s="93"/>
      <c r="Z33" s="93"/>
      <c r="AA33" s="93"/>
      <c r="AB33" s="192"/>
      <c r="AE33" s="10"/>
      <c r="AF33" s="10"/>
      <c r="AG33" s="10"/>
      <c r="AI33" s="10"/>
      <c r="AJ33" s="10"/>
    </row>
    <row r="34" spans="2:36" ht="14.25" customHeight="1">
      <c r="B34" s="41" t="s">
        <v>181</v>
      </c>
      <c r="C34" s="1" t="s">
        <v>182</v>
      </c>
      <c r="D34" s="151">
        <v>43628</v>
      </c>
      <c r="E34" s="169">
        <f t="shared" ref="E34:E46" si="53">IF(LEFT(B34,2)="BO",D34+1,$AE$2)</f>
        <v>44700</v>
      </c>
      <c r="F34" s="24" t="s">
        <v>107</v>
      </c>
      <c r="G34" s="32">
        <v>8.9606300000000001</v>
      </c>
      <c r="H34" s="24">
        <v>-10.65347</v>
      </c>
      <c r="I34" s="145">
        <v>753</v>
      </c>
      <c r="J34" s="145">
        <f>IF(I34&gt;300, 300, I34)</f>
        <v>300</v>
      </c>
      <c r="K34" s="30" t="s">
        <v>108</v>
      </c>
      <c r="L34" s="145">
        <f t="shared" ref="L34:L46" si="54">$AE$4-$E34-M34+1</f>
        <v>170</v>
      </c>
      <c r="M34" s="170">
        <v>57</v>
      </c>
      <c r="N34" s="145">
        <f t="shared" ref="N34:N46" si="55">$AE$3-$AE$4-O34</f>
        <v>103</v>
      </c>
      <c r="O34" s="170">
        <v>35</v>
      </c>
      <c r="P34" s="170">
        <f>M34+O34</f>
        <v>92</v>
      </c>
      <c r="Q34" s="76">
        <f t="shared" ref="Q34:Q46" si="56">L34*J34</f>
        <v>51000</v>
      </c>
      <c r="R34" s="76">
        <f t="shared" ref="R34:R46" si="57">N34*J34</f>
        <v>30900</v>
      </c>
      <c r="S34" s="76">
        <f>SUM(Q34:R34)</f>
        <v>81900</v>
      </c>
      <c r="T34" s="75">
        <f>(L34+M34)*J34</f>
        <v>68100</v>
      </c>
      <c r="U34" s="75">
        <f>(N34+O34)*J34</f>
        <v>41400</v>
      </c>
      <c r="V34" s="75">
        <f>SUM(T34:U34)</f>
        <v>109500</v>
      </c>
      <c r="W34" s="75">
        <f t="shared" ref="W34:W46" si="58">L34*I34</f>
        <v>128010</v>
      </c>
      <c r="X34" s="75">
        <f t="shared" ref="X34:X46" si="59">N34*I34</f>
        <v>77559</v>
      </c>
      <c r="Y34" s="75">
        <f>SUM(W34:X34)</f>
        <v>205569</v>
      </c>
      <c r="Z34" s="228">
        <f t="shared" ref="Z34:Z46" si="60">M34/SUM(L34:M34)</f>
        <v>0.25110132158590309</v>
      </c>
      <c r="AA34" s="228">
        <f t="shared" ref="AA34:AA46" si="61">O34/SUM(N34:O34)</f>
        <v>0.25362318840579712</v>
      </c>
      <c r="AB34" s="193">
        <f t="shared" ref="AB34:AB46" si="62">(M34+O34)/SUM(L34:O34)</f>
        <v>0.25205479452054796</v>
      </c>
      <c r="AE34" s="10"/>
      <c r="AF34" s="10"/>
      <c r="AG34" s="10"/>
      <c r="AI34" s="10"/>
      <c r="AJ34" s="10"/>
    </row>
    <row r="35" spans="2:36">
      <c r="B35" s="152" t="s">
        <v>183</v>
      </c>
      <c r="C35" s="2" t="s">
        <v>184</v>
      </c>
      <c r="D35" s="151">
        <v>43629</v>
      </c>
      <c r="E35" s="169">
        <f t="shared" si="53"/>
        <v>44700</v>
      </c>
      <c r="F35" s="24" t="s">
        <v>107</v>
      </c>
      <c r="G35" s="32">
        <v>8.6225970000000007</v>
      </c>
      <c r="H35" s="24">
        <v>-10.54283</v>
      </c>
      <c r="I35" s="24">
        <v>612</v>
      </c>
      <c r="J35" s="145">
        <f t="shared" ref="J35:J39" si="63">IF(I35&gt;300, 300, I35)</f>
        <v>300</v>
      </c>
      <c r="K35" s="30" t="s">
        <v>108</v>
      </c>
      <c r="L35" s="145">
        <f t="shared" si="54"/>
        <v>170</v>
      </c>
      <c r="M35" s="170">
        <v>57</v>
      </c>
      <c r="N35" s="145">
        <f t="shared" si="55"/>
        <v>103</v>
      </c>
      <c r="O35" s="170">
        <v>35</v>
      </c>
      <c r="P35" s="170">
        <f t="shared" ref="P35:P46" si="64">M35+O35</f>
        <v>92</v>
      </c>
      <c r="Q35" s="76">
        <f t="shared" si="56"/>
        <v>51000</v>
      </c>
      <c r="R35" s="76">
        <f t="shared" si="57"/>
        <v>30900</v>
      </c>
      <c r="S35" s="76">
        <f t="shared" ref="S35:S39" si="65">SUM(Q35:R35)</f>
        <v>81900</v>
      </c>
      <c r="T35" s="75">
        <f t="shared" ref="T35" si="66">(L35+M35)*J35</f>
        <v>68100</v>
      </c>
      <c r="U35" s="75">
        <f t="shared" ref="U35" si="67">(N35+O35)*J35</f>
        <v>41400</v>
      </c>
      <c r="V35" s="75">
        <f t="shared" ref="V35" si="68">SUM(T35:U35)</f>
        <v>109500</v>
      </c>
      <c r="W35" s="75">
        <f t="shared" si="58"/>
        <v>104040</v>
      </c>
      <c r="X35" s="75">
        <f t="shared" si="59"/>
        <v>63036</v>
      </c>
      <c r="Y35" s="75">
        <f t="shared" ref="Y35" si="69">SUM(W35:X35)</f>
        <v>167076</v>
      </c>
      <c r="Z35" s="228">
        <f t="shared" si="60"/>
        <v>0.25110132158590309</v>
      </c>
      <c r="AA35" s="228">
        <f t="shared" si="61"/>
        <v>0.25362318840579712</v>
      </c>
      <c r="AB35" s="193">
        <f t="shared" si="62"/>
        <v>0.25205479452054796</v>
      </c>
      <c r="AE35" s="10"/>
      <c r="AF35" s="10"/>
      <c r="AG35" s="10"/>
      <c r="AI35" s="10"/>
      <c r="AJ35" s="10"/>
    </row>
    <row r="36" spans="2:36" ht="14.65" customHeight="1">
      <c r="B36" s="41" t="s">
        <v>185</v>
      </c>
      <c r="C36" s="139" t="s">
        <v>186</v>
      </c>
      <c r="D36" s="151">
        <v>43631</v>
      </c>
      <c r="E36" s="169">
        <f t="shared" si="53"/>
        <v>44700</v>
      </c>
      <c r="F36" s="24" t="s">
        <v>123</v>
      </c>
      <c r="G36" s="33">
        <v>8.1949199999999998</v>
      </c>
      <c r="H36" s="24">
        <v>-11.343978</v>
      </c>
      <c r="I36" s="24">
        <v>679</v>
      </c>
      <c r="J36" s="145">
        <f t="shared" si="63"/>
        <v>300</v>
      </c>
      <c r="K36" s="30" t="s">
        <v>108</v>
      </c>
      <c r="L36" s="145">
        <f t="shared" si="54"/>
        <v>227</v>
      </c>
      <c r="M36" s="170">
        <v>0</v>
      </c>
      <c r="N36" s="145">
        <f t="shared" si="55"/>
        <v>138</v>
      </c>
      <c r="O36" s="170">
        <v>0</v>
      </c>
      <c r="P36" s="170">
        <f t="shared" si="64"/>
        <v>0</v>
      </c>
      <c r="Q36" s="76">
        <f t="shared" si="56"/>
        <v>68100</v>
      </c>
      <c r="R36" s="76">
        <f t="shared" si="57"/>
        <v>41400</v>
      </c>
      <c r="S36" s="77">
        <f t="shared" si="65"/>
        <v>109500</v>
      </c>
      <c r="T36" s="75">
        <f>(L36+M36)*J36</f>
        <v>68100</v>
      </c>
      <c r="U36" s="75">
        <f>(N36+O36)*J36</f>
        <v>41400</v>
      </c>
      <c r="V36" s="75">
        <f>SUM(T36:U36)</f>
        <v>109500</v>
      </c>
      <c r="W36" s="75">
        <f t="shared" si="58"/>
        <v>154133</v>
      </c>
      <c r="X36" s="75">
        <f t="shared" si="59"/>
        <v>93702</v>
      </c>
      <c r="Y36" s="75">
        <f>SUM(W36:X36)</f>
        <v>247835</v>
      </c>
      <c r="Z36" s="228">
        <f t="shared" si="60"/>
        <v>0</v>
      </c>
      <c r="AA36" s="228">
        <f t="shared" si="61"/>
        <v>0</v>
      </c>
      <c r="AB36" s="193">
        <f t="shared" si="62"/>
        <v>0</v>
      </c>
      <c r="AE36" s="10"/>
      <c r="AF36" s="10"/>
      <c r="AG36" s="10"/>
      <c r="AI36" s="10"/>
      <c r="AJ36" s="10"/>
    </row>
    <row r="37" spans="2:36" ht="14.65" customHeight="1">
      <c r="B37" s="152" t="s">
        <v>187</v>
      </c>
      <c r="C37" s="2" t="s">
        <v>188</v>
      </c>
      <c r="D37" s="151">
        <v>43633</v>
      </c>
      <c r="E37" s="169">
        <f t="shared" si="53"/>
        <v>44700</v>
      </c>
      <c r="F37" s="24" t="s">
        <v>123</v>
      </c>
      <c r="G37" s="32">
        <v>8.7439999999999998</v>
      </c>
      <c r="H37" s="24">
        <v>-11.1012</v>
      </c>
      <c r="I37" s="24">
        <v>495</v>
      </c>
      <c r="J37" s="145">
        <f t="shared" si="63"/>
        <v>300</v>
      </c>
      <c r="K37" s="30" t="s">
        <v>108</v>
      </c>
      <c r="L37" s="145">
        <f t="shared" si="54"/>
        <v>170</v>
      </c>
      <c r="M37" s="170">
        <v>57</v>
      </c>
      <c r="N37" s="145">
        <f t="shared" si="55"/>
        <v>103</v>
      </c>
      <c r="O37" s="170">
        <v>35</v>
      </c>
      <c r="P37" s="170">
        <f t="shared" si="64"/>
        <v>92</v>
      </c>
      <c r="Q37" s="76">
        <f t="shared" si="56"/>
        <v>51000</v>
      </c>
      <c r="R37" s="76">
        <f t="shared" si="57"/>
        <v>30900</v>
      </c>
      <c r="S37" s="76">
        <f t="shared" si="65"/>
        <v>81900</v>
      </c>
      <c r="T37" s="75">
        <f t="shared" ref="T37" si="70">(L37+M37)*J37</f>
        <v>68100</v>
      </c>
      <c r="U37" s="75">
        <f t="shared" ref="U37" si="71">(N37+O37)*J37</f>
        <v>41400</v>
      </c>
      <c r="V37" s="75">
        <f t="shared" ref="V37" si="72">SUM(T37:U37)</f>
        <v>109500</v>
      </c>
      <c r="W37" s="75">
        <f t="shared" si="58"/>
        <v>84150</v>
      </c>
      <c r="X37" s="75">
        <f t="shared" si="59"/>
        <v>50985</v>
      </c>
      <c r="Y37" s="75">
        <f t="shared" ref="Y37" si="73">SUM(W37:X37)</f>
        <v>135135</v>
      </c>
      <c r="Z37" s="228">
        <f t="shared" si="60"/>
        <v>0.25110132158590309</v>
      </c>
      <c r="AA37" s="228">
        <f t="shared" si="61"/>
        <v>0.25362318840579712</v>
      </c>
      <c r="AB37" s="193">
        <f t="shared" si="62"/>
        <v>0.25205479452054796</v>
      </c>
      <c r="AE37" s="10"/>
      <c r="AF37" s="10"/>
      <c r="AG37" s="10"/>
      <c r="AI37" s="10"/>
      <c r="AJ37" s="10"/>
    </row>
    <row r="38" spans="2:36">
      <c r="B38" s="152" t="s">
        <v>189</v>
      </c>
      <c r="C38" s="2" t="s">
        <v>190</v>
      </c>
      <c r="D38" s="151">
        <v>43636</v>
      </c>
      <c r="E38" s="169">
        <f t="shared" si="53"/>
        <v>44700</v>
      </c>
      <c r="F38" s="24" t="s">
        <v>123</v>
      </c>
      <c r="G38" s="32">
        <v>8.6268460000000005</v>
      </c>
      <c r="H38" s="24">
        <v>-10.784241</v>
      </c>
      <c r="I38" s="24">
        <v>619</v>
      </c>
      <c r="J38" s="145">
        <f t="shared" si="63"/>
        <v>300</v>
      </c>
      <c r="K38" s="30" t="s">
        <v>108</v>
      </c>
      <c r="L38" s="145">
        <f t="shared" si="54"/>
        <v>227</v>
      </c>
      <c r="M38" s="170">
        <v>0</v>
      </c>
      <c r="N38" s="145">
        <f t="shared" si="55"/>
        <v>138</v>
      </c>
      <c r="O38" s="170">
        <v>0</v>
      </c>
      <c r="P38" s="170">
        <f t="shared" si="64"/>
        <v>0</v>
      </c>
      <c r="Q38" s="76">
        <f t="shared" si="56"/>
        <v>68100</v>
      </c>
      <c r="R38" s="76">
        <f t="shared" si="57"/>
        <v>41400</v>
      </c>
      <c r="S38" s="76">
        <f t="shared" si="65"/>
        <v>109500</v>
      </c>
      <c r="T38" s="75">
        <f>(L38+M38)*J38</f>
        <v>68100</v>
      </c>
      <c r="U38" s="75">
        <f>(N38+O38)*J38</f>
        <v>41400</v>
      </c>
      <c r="V38" s="75">
        <f>SUM(T38:U38)</f>
        <v>109500</v>
      </c>
      <c r="W38" s="75">
        <f t="shared" si="58"/>
        <v>140513</v>
      </c>
      <c r="X38" s="75">
        <f t="shared" si="59"/>
        <v>85422</v>
      </c>
      <c r="Y38" s="75">
        <f>SUM(W38:X38)</f>
        <v>225935</v>
      </c>
      <c r="Z38" s="228">
        <f t="shared" si="60"/>
        <v>0</v>
      </c>
      <c r="AA38" s="228">
        <f t="shared" si="61"/>
        <v>0</v>
      </c>
      <c r="AB38" s="193">
        <f t="shared" si="62"/>
        <v>0</v>
      </c>
      <c r="AE38" s="10"/>
      <c r="AF38" s="10"/>
      <c r="AG38" s="10"/>
      <c r="AI38" s="10"/>
      <c r="AJ38" s="10"/>
    </row>
    <row r="39" spans="2:36">
      <c r="B39" s="152" t="s">
        <v>191</v>
      </c>
      <c r="C39" s="2" t="s">
        <v>192</v>
      </c>
      <c r="D39" s="151">
        <v>43643</v>
      </c>
      <c r="E39" s="169">
        <f t="shared" si="53"/>
        <v>44700</v>
      </c>
      <c r="F39" s="24" t="s">
        <v>159</v>
      </c>
      <c r="G39" s="32">
        <v>8.8047780000000007</v>
      </c>
      <c r="H39" s="24">
        <v>-10.698423999999999</v>
      </c>
      <c r="I39" s="24">
        <v>439</v>
      </c>
      <c r="J39" s="145">
        <f t="shared" si="63"/>
        <v>300</v>
      </c>
      <c r="K39" s="24" t="s">
        <v>108</v>
      </c>
      <c r="L39" s="145">
        <f t="shared" si="54"/>
        <v>227</v>
      </c>
      <c r="M39" s="170">
        <v>0</v>
      </c>
      <c r="N39" s="145">
        <f t="shared" si="55"/>
        <v>138</v>
      </c>
      <c r="O39" s="170">
        <v>0</v>
      </c>
      <c r="P39" s="170">
        <f t="shared" si="64"/>
        <v>0</v>
      </c>
      <c r="Q39" s="76">
        <f t="shared" si="56"/>
        <v>68100</v>
      </c>
      <c r="R39" s="76">
        <f t="shared" si="57"/>
        <v>41400</v>
      </c>
      <c r="S39" s="76">
        <f t="shared" si="65"/>
        <v>109500</v>
      </c>
      <c r="T39" s="75">
        <f>(L39+M39)*J39</f>
        <v>68100</v>
      </c>
      <c r="U39" s="75">
        <f>(N39+O39)*J39</f>
        <v>41400</v>
      </c>
      <c r="V39" s="75">
        <f>SUM(T39:U39)</f>
        <v>109500</v>
      </c>
      <c r="W39" s="75">
        <f t="shared" si="58"/>
        <v>99653</v>
      </c>
      <c r="X39" s="75">
        <f t="shared" si="59"/>
        <v>60582</v>
      </c>
      <c r="Y39" s="75">
        <f>SUM(W39:X39)</f>
        <v>160235</v>
      </c>
      <c r="Z39" s="228">
        <f t="shared" si="60"/>
        <v>0</v>
      </c>
      <c r="AA39" s="228">
        <f t="shared" si="61"/>
        <v>0</v>
      </c>
      <c r="AB39" s="193">
        <f t="shared" si="62"/>
        <v>0</v>
      </c>
      <c r="AE39" s="10"/>
      <c r="AF39" s="10"/>
      <c r="AG39" s="10"/>
      <c r="AI39" s="10"/>
      <c r="AJ39" s="10"/>
    </row>
    <row r="40" spans="2:36">
      <c r="B40" s="147" t="s">
        <v>193</v>
      </c>
      <c r="C40" s="147" t="s">
        <v>194</v>
      </c>
      <c r="D40" s="141">
        <v>43941</v>
      </c>
      <c r="E40" s="169">
        <f t="shared" si="53"/>
        <v>44700</v>
      </c>
      <c r="F40" s="142" t="s">
        <v>159</v>
      </c>
      <c r="G40" s="142">
        <v>8.2016849999999994</v>
      </c>
      <c r="H40" s="142">
        <v>-10.480826</v>
      </c>
      <c r="I40" s="142">
        <v>479</v>
      </c>
      <c r="J40" s="145">
        <f>IF(I40&gt;300, 300, I40)</f>
        <v>300</v>
      </c>
      <c r="K40" s="24" t="s">
        <v>108</v>
      </c>
      <c r="L40" s="145">
        <f t="shared" si="54"/>
        <v>227</v>
      </c>
      <c r="M40" s="170">
        <v>0</v>
      </c>
      <c r="N40" s="145">
        <f t="shared" si="55"/>
        <v>138</v>
      </c>
      <c r="O40" s="187">
        <v>0</v>
      </c>
      <c r="P40" s="170">
        <f t="shared" si="64"/>
        <v>0</v>
      </c>
      <c r="Q40" s="75">
        <f t="shared" si="56"/>
        <v>68100</v>
      </c>
      <c r="R40" s="75">
        <f t="shared" si="57"/>
        <v>41400</v>
      </c>
      <c r="S40" s="76">
        <f>SUM(Q40:R40)</f>
        <v>109500</v>
      </c>
      <c r="T40" s="75">
        <f t="shared" ref="T40:T46" si="74">(L40+M40)*J40</f>
        <v>68100</v>
      </c>
      <c r="U40" s="75">
        <f t="shared" ref="U40:U46" si="75">(N40+O40)*J40</f>
        <v>41400</v>
      </c>
      <c r="V40" s="75">
        <f t="shared" ref="V40:V46" si="76">SUM(T40:U40)</f>
        <v>109500</v>
      </c>
      <c r="W40" s="75">
        <f t="shared" si="58"/>
        <v>108733</v>
      </c>
      <c r="X40" s="75">
        <f t="shared" si="59"/>
        <v>66102</v>
      </c>
      <c r="Y40" s="75">
        <f t="shared" ref="Y40:Y46" si="77">SUM(W40:X40)</f>
        <v>174835</v>
      </c>
      <c r="Z40" s="228">
        <f t="shared" si="60"/>
        <v>0</v>
      </c>
      <c r="AA40" s="228">
        <f t="shared" si="61"/>
        <v>0</v>
      </c>
      <c r="AB40" s="193">
        <f t="shared" si="62"/>
        <v>0</v>
      </c>
      <c r="AE40" s="10"/>
      <c r="AF40" s="10"/>
      <c r="AG40" s="10"/>
      <c r="AI40" s="10"/>
      <c r="AJ40" s="10"/>
    </row>
    <row r="41" spans="2:36" ht="13.9" customHeight="1">
      <c r="B41" s="147" t="s">
        <v>195</v>
      </c>
      <c r="C41" s="147" t="s">
        <v>196</v>
      </c>
      <c r="D41" s="141">
        <v>43943</v>
      </c>
      <c r="E41" s="169">
        <f t="shared" si="53"/>
        <v>44700</v>
      </c>
      <c r="F41" s="142" t="s">
        <v>123</v>
      </c>
      <c r="G41" s="142">
        <v>8.1001030000000007</v>
      </c>
      <c r="H41" s="142">
        <v>-10.688140000000001</v>
      </c>
      <c r="I41" s="142">
        <v>527</v>
      </c>
      <c r="J41" s="145">
        <f>IF(I41&gt;300, 300, I41)</f>
        <v>300</v>
      </c>
      <c r="K41" s="24" t="s">
        <v>108</v>
      </c>
      <c r="L41" s="145">
        <f t="shared" si="54"/>
        <v>227</v>
      </c>
      <c r="M41" s="170">
        <v>0</v>
      </c>
      <c r="N41" s="145">
        <f t="shared" si="55"/>
        <v>138</v>
      </c>
      <c r="O41" s="187">
        <v>0</v>
      </c>
      <c r="P41" s="170">
        <f t="shared" si="64"/>
        <v>0</v>
      </c>
      <c r="Q41" s="75">
        <f t="shared" si="56"/>
        <v>68100</v>
      </c>
      <c r="R41" s="75">
        <f t="shared" si="57"/>
        <v>41400</v>
      </c>
      <c r="S41" s="76">
        <f t="shared" ref="S41" si="78">SUM(Q41:R41)</f>
        <v>109500</v>
      </c>
      <c r="T41" s="75">
        <f t="shared" si="74"/>
        <v>68100</v>
      </c>
      <c r="U41" s="75">
        <f t="shared" si="75"/>
        <v>41400</v>
      </c>
      <c r="V41" s="75">
        <f t="shared" si="76"/>
        <v>109500</v>
      </c>
      <c r="W41" s="75">
        <f t="shared" si="58"/>
        <v>119629</v>
      </c>
      <c r="X41" s="75">
        <f t="shared" si="59"/>
        <v>72726</v>
      </c>
      <c r="Y41" s="75">
        <f t="shared" si="77"/>
        <v>192355</v>
      </c>
      <c r="Z41" s="228">
        <f t="shared" si="60"/>
        <v>0</v>
      </c>
      <c r="AA41" s="228">
        <f t="shared" si="61"/>
        <v>0</v>
      </c>
      <c r="AB41" s="193">
        <f t="shared" si="62"/>
        <v>0</v>
      </c>
      <c r="AE41" s="10"/>
      <c r="AF41" s="10"/>
      <c r="AG41" s="10"/>
      <c r="AI41" s="10"/>
      <c r="AJ41" s="10"/>
    </row>
    <row r="42" spans="2:36">
      <c r="B42" s="147" t="s">
        <v>197</v>
      </c>
      <c r="C42" s="147" t="s">
        <v>198</v>
      </c>
      <c r="D42" s="141">
        <v>43949</v>
      </c>
      <c r="E42" s="169">
        <f t="shared" si="53"/>
        <v>44700</v>
      </c>
      <c r="F42" s="142" t="s">
        <v>159</v>
      </c>
      <c r="G42" s="142">
        <v>8.1051113000000008</v>
      </c>
      <c r="H42" s="142">
        <v>-10.694163</v>
      </c>
      <c r="I42" s="142">
        <v>513</v>
      </c>
      <c r="J42" s="145">
        <f xml:space="preserve"> IF(I42&gt;300, 300,#REF!)</f>
        <v>300</v>
      </c>
      <c r="K42" s="24" t="s">
        <v>108</v>
      </c>
      <c r="L42" s="145">
        <f t="shared" si="54"/>
        <v>0</v>
      </c>
      <c r="M42" s="170">
        <v>227</v>
      </c>
      <c r="N42" s="145">
        <f t="shared" si="55"/>
        <v>0</v>
      </c>
      <c r="O42" s="170">
        <v>138</v>
      </c>
      <c r="P42" s="170">
        <f t="shared" si="64"/>
        <v>365</v>
      </c>
      <c r="Q42" s="76">
        <f t="shared" si="56"/>
        <v>0</v>
      </c>
      <c r="R42" s="76">
        <f t="shared" si="57"/>
        <v>0</v>
      </c>
      <c r="S42" s="76">
        <f t="shared" ref="S42:S44" si="79">SUM(Q42:R42)</f>
        <v>0</v>
      </c>
      <c r="T42" s="75">
        <f t="shared" si="74"/>
        <v>68100</v>
      </c>
      <c r="U42" s="75">
        <f t="shared" si="75"/>
        <v>41400</v>
      </c>
      <c r="V42" s="75">
        <f t="shared" si="76"/>
        <v>109500</v>
      </c>
      <c r="W42" s="75">
        <f t="shared" si="58"/>
        <v>0</v>
      </c>
      <c r="X42" s="75">
        <f t="shared" si="59"/>
        <v>0</v>
      </c>
      <c r="Y42" s="75">
        <f t="shared" si="77"/>
        <v>0</v>
      </c>
      <c r="Z42" s="228">
        <f t="shared" si="60"/>
        <v>1</v>
      </c>
      <c r="AA42" s="228">
        <f t="shared" si="61"/>
        <v>1</v>
      </c>
      <c r="AB42" s="193">
        <f t="shared" si="62"/>
        <v>1</v>
      </c>
      <c r="AE42" s="10"/>
      <c r="AF42" s="10"/>
      <c r="AG42" s="10"/>
      <c r="AI42" s="10"/>
      <c r="AJ42" s="10"/>
    </row>
    <row r="43" spans="2:36">
      <c r="B43" s="147" t="s">
        <v>199</v>
      </c>
      <c r="C43" s="147" t="s">
        <v>200</v>
      </c>
      <c r="D43" s="141">
        <v>43943</v>
      </c>
      <c r="E43" s="169">
        <f t="shared" si="53"/>
        <v>44700</v>
      </c>
      <c r="F43" s="142" t="s">
        <v>159</v>
      </c>
      <c r="G43" s="142">
        <v>8.2485510000000009</v>
      </c>
      <c r="H43" s="142">
        <v>-10.517200000000001</v>
      </c>
      <c r="I43" s="142">
        <v>486</v>
      </c>
      <c r="J43" s="145">
        <f xml:space="preserve"> IF(I43&gt;300, 300,#REF!)</f>
        <v>300</v>
      </c>
      <c r="K43" s="24" t="s">
        <v>108</v>
      </c>
      <c r="L43" s="145">
        <f t="shared" si="54"/>
        <v>170</v>
      </c>
      <c r="M43" s="170">
        <v>57</v>
      </c>
      <c r="N43" s="145">
        <f t="shared" si="55"/>
        <v>103</v>
      </c>
      <c r="O43" s="170">
        <v>35</v>
      </c>
      <c r="P43" s="170">
        <f t="shared" si="64"/>
        <v>92</v>
      </c>
      <c r="Q43" s="76">
        <f t="shared" si="56"/>
        <v>51000</v>
      </c>
      <c r="R43" s="76">
        <f t="shared" si="57"/>
        <v>30900</v>
      </c>
      <c r="S43" s="76">
        <f t="shared" si="79"/>
        <v>81900</v>
      </c>
      <c r="T43" s="75">
        <f t="shared" si="74"/>
        <v>68100</v>
      </c>
      <c r="U43" s="75">
        <f t="shared" si="75"/>
        <v>41400</v>
      </c>
      <c r="V43" s="75">
        <f t="shared" si="76"/>
        <v>109500</v>
      </c>
      <c r="W43" s="75">
        <f t="shared" si="58"/>
        <v>82620</v>
      </c>
      <c r="X43" s="75">
        <f t="shared" si="59"/>
        <v>50058</v>
      </c>
      <c r="Y43" s="75">
        <f t="shared" si="77"/>
        <v>132678</v>
      </c>
      <c r="Z43" s="228">
        <f t="shared" si="60"/>
        <v>0.25110132158590309</v>
      </c>
      <c r="AA43" s="228">
        <f t="shared" si="61"/>
        <v>0.25362318840579712</v>
      </c>
      <c r="AB43" s="193">
        <f t="shared" si="62"/>
        <v>0.25205479452054796</v>
      </c>
    </row>
    <row r="44" spans="2:36">
      <c r="B44" s="147" t="s">
        <v>201</v>
      </c>
      <c r="C44" s="147" t="s">
        <v>202</v>
      </c>
      <c r="D44" s="141">
        <v>43943</v>
      </c>
      <c r="E44" s="169">
        <f t="shared" si="53"/>
        <v>44700</v>
      </c>
      <c r="F44" s="142" t="s">
        <v>107</v>
      </c>
      <c r="G44" s="142">
        <v>8.2489215999999992</v>
      </c>
      <c r="H44" s="142">
        <v>-10.518641000000001</v>
      </c>
      <c r="I44" s="142">
        <v>497</v>
      </c>
      <c r="J44" s="145">
        <f xml:space="preserve"> IF(I44&gt;300, 300,#REF!)</f>
        <v>300</v>
      </c>
      <c r="K44" s="24" t="s">
        <v>108</v>
      </c>
      <c r="L44" s="145">
        <f t="shared" si="54"/>
        <v>170</v>
      </c>
      <c r="M44" s="170">
        <v>57</v>
      </c>
      <c r="N44" s="145">
        <f t="shared" si="55"/>
        <v>103</v>
      </c>
      <c r="O44" s="170">
        <v>35</v>
      </c>
      <c r="P44" s="170">
        <f t="shared" si="64"/>
        <v>92</v>
      </c>
      <c r="Q44" s="76">
        <f t="shared" si="56"/>
        <v>51000</v>
      </c>
      <c r="R44" s="76">
        <f t="shared" si="57"/>
        <v>30900</v>
      </c>
      <c r="S44" s="76">
        <f t="shared" si="79"/>
        <v>81900</v>
      </c>
      <c r="T44" s="75">
        <f t="shared" si="74"/>
        <v>68100</v>
      </c>
      <c r="U44" s="75">
        <f t="shared" si="75"/>
        <v>41400</v>
      </c>
      <c r="V44" s="75">
        <f t="shared" si="76"/>
        <v>109500</v>
      </c>
      <c r="W44" s="75">
        <f t="shared" si="58"/>
        <v>84490</v>
      </c>
      <c r="X44" s="75">
        <f t="shared" si="59"/>
        <v>51191</v>
      </c>
      <c r="Y44" s="75">
        <f t="shared" si="77"/>
        <v>135681</v>
      </c>
      <c r="Z44" s="228">
        <f t="shared" si="60"/>
        <v>0.25110132158590309</v>
      </c>
      <c r="AA44" s="228">
        <f t="shared" si="61"/>
        <v>0.25362318840579712</v>
      </c>
      <c r="AB44" s="193">
        <f t="shared" si="62"/>
        <v>0.25205479452054796</v>
      </c>
    </row>
    <row r="45" spans="2:36">
      <c r="B45" s="147" t="s">
        <v>203</v>
      </c>
      <c r="C45" s="147" t="s">
        <v>204</v>
      </c>
      <c r="D45" s="141">
        <v>43971</v>
      </c>
      <c r="E45" s="169">
        <f t="shared" si="53"/>
        <v>44700</v>
      </c>
      <c r="F45" s="142" t="s">
        <v>107</v>
      </c>
      <c r="G45" s="142">
        <v>8.0982880000000002</v>
      </c>
      <c r="H45" s="142">
        <v>-10.700150000000001</v>
      </c>
      <c r="I45" s="142">
        <v>648</v>
      </c>
      <c r="J45" s="145">
        <f>IF(I45&gt;300, 300, I17)</f>
        <v>300</v>
      </c>
      <c r="K45" s="24" t="s">
        <v>108</v>
      </c>
      <c r="L45" s="145">
        <f t="shared" si="54"/>
        <v>227</v>
      </c>
      <c r="M45" s="170">
        <v>0</v>
      </c>
      <c r="N45" s="145">
        <f t="shared" si="55"/>
        <v>138</v>
      </c>
      <c r="O45" s="170">
        <v>0</v>
      </c>
      <c r="P45" s="170">
        <f t="shared" si="64"/>
        <v>0</v>
      </c>
      <c r="Q45" s="76">
        <f t="shared" si="56"/>
        <v>68100</v>
      </c>
      <c r="R45" s="76">
        <f t="shared" si="57"/>
        <v>41400</v>
      </c>
      <c r="S45" s="76">
        <f>SUM(Q45:R45)</f>
        <v>109500</v>
      </c>
      <c r="T45" s="75">
        <f t="shared" si="74"/>
        <v>68100</v>
      </c>
      <c r="U45" s="75">
        <f t="shared" si="75"/>
        <v>41400</v>
      </c>
      <c r="V45" s="75">
        <f t="shared" si="76"/>
        <v>109500</v>
      </c>
      <c r="W45" s="75">
        <f t="shared" si="58"/>
        <v>147096</v>
      </c>
      <c r="X45" s="75">
        <f t="shared" si="59"/>
        <v>89424</v>
      </c>
      <c r="Y45" s="75">
        <f t="shared" si="77"/>
        <v>236520</v>
      </c>
      <c r="Z45" s="228">
        <f t="shared" si="60"/>
        <v>0</v>
      </c>
      <c r="AA45" s="228">
        <f t="shared" si="61"/>
        <v>0</v>
      </c>
      <c r="AB45" s="193">
        <f t="shared" si="62"/>
        <v>0</v>
      </c>
    </row>
    <row r="46" spans="2:36">
      <c r="B46" s="147" t="s">
        <v>205</v>
      </c>
      <c r="C46" s="147" t="s">
        <v>206</v>
      </c>
      <c r="D46" s="141">
        <v>43949</v>
      </c>
      <c r="E46" s="169">
        <f t="shared" si="53"/>
        <v>44700</v>
      </c>
      <c r="F46" s="142" t="s">
        <v>107</v>
      </c>
      <c r="G46" s="142">
        <v>8.0996649999999999</v>
      </c>
      <c r="H46" s="142">
        <v>-10.694515000000001</v>
      </c>
      <c r="I46" s="142">
        <v>436</v>
      </c>
      <c r="J46" s="145">
        <f t="shared" ref="J46" si="80">IF(I46&gt;300, 300, I46)</f>
        <v>300</v>
      </c>
      <c r="K46" s="24" t="s">
        <v>108</v>
      </c>
      <c r="L46" s="145">
        <f t="shared" si="54"/>
        <v>170</v>
      </c>
      <c r="M46" s="170">
        <v>57</v>
      </c>
      <c r="N46" s="145">
        <f t="shared" si="55"/>
        <v>103</v>
      </c>
      <c r="O46" s="170">
        <v>35</v>
      </c>
      <c r="P46" s="170">
        <f t="shared" si="64"/>
        <v>92</v>
      </c>
      <c r="Q46" s="76">
        <f t="shared" si="56"/>
        <v>51000</v>
      </c>
      <c r="R46" s="76">
        <f t="shared" si="57"/>
        <v>30900</v>
      </c>
      <c r="S46" s="76">
        <f>SUM(Q46:R46)</f>
        <v>81900</v>
      </c>
      <c r="T46" s="75">
        <f t="shared" si="74"/>
        <v>68100</v>
      </c>
      <c r="U46" s="75">
        <f t="shared" si="75"/>
        <v>41400</v>
      </c>
      <c r="V46" s="75">
        <f t="shared" si="76"/>
        <v>109500</v>
      </c>
      <c r="W46" s="75">
        <f t="shared" si="58"/>
        <v>74120</v>
      </c>
      <c r="X46" s="75">
        <f t="shared" si="59"/>
        <v>44908</v>
      </c>
      <c r="Y46" s="75">
        <f t="shared" si="77"/>
        <v>119028</v>
      </c>
      <c r="Z46" s="228">
        <f t="shared" si="60"/>
        <v>0.25110132158590309</v>
      </c>
      <c r="AA46" s="228">
        <f t="shared" si="61"/>
        <v>0.25362318840579712</v>
      </c>
      <c r="AB46" s="193">
        <f t="shared" si="62"/>
        <v>0.25205479452054796</v>
      </c>
    </row>
    <row r="47" spans="2:36">
      <c r="B47" s="148">
        <f>COUNTA(B34:B46)</f>
        <v>13</v>
      </c>
      <c r="C47" s="149"/>
      <c r="D47" s="149"/>
      <c r="E47" s="149"/>
      <c r="F47" s="86"/>
      <c r="G47" s="86"/>
      <c r="H47" s="86"/>
      <c r="I47" s="87">
        <f>SUM(I34:I46)</f>
        <v>7183</v>
      </c>
      <c r="J47" s="87">
        <f>SUM(J34:J46)</f>
        <v>3900</v>
      </c>
      <c r="K47" s="86"/>
      <c r="L47" s="87">
        <f t="shared" ref="L47:Y47" si="81">SUM(L34:L46)</f>
        <v>2382</v>
      </c>
      <c r="M47" s="87">
        <f t="shared" si="81"/>
        <v>569</v>
      </c>
      <c r="N47" s="87">
        <f t="shared" si="81"/>
        <v>1446</v>
      </c>
      <c r="O47" s="87">
        <f t="shared" si="81"/>
        <v>348</v>
      </c>
      <c r="P47" s="87">
        <f t="shared" si="81"/>
        <v>917</v>
      </c>
      <c r="Q47" s="88">
        <f t="shared" si="81"/>
        <v>714600</v>
      </c>
      <c r="R47" s="88">
        <f t="shared" si="81"/>
        <v>433800</v>
      </c>
      <c r="S47" s="88">
        <f t="shared" si="81"/>
        <v>1148400</v>
      </c>
      <c r="T47" s="88">
        <f t="shared" si="81"/>
        <v>885300</v>
      </c>
      <c r="U47" s="88">
        <f t="shared" si="81"/>
        <v>538200</v>
      </c>
      <c r="V47" s="88">
        <f t="shared" si="81"/>
        <v>1423500</v>
      </c>
      <c r="W47" s="88">
        <f t="shared" si="81"/>
        <v>1327187</v>
      </c>
      <c r="X47" s="88">
        <f t="shared" si="81"/>
        <v>805695</v>
      </c>
      <c r="Y47" s="88">
        <f t="shared" si="81"/>
        <v>2132882</v>
      </c>
      <c r="Z47" s="223">
        <f t="shared" ref="Z47:AA47" si="82">AVERAGE(Z34:Z46)</f>
        <v>0.19281599457810913</v>
      </c>
      <c r="AA47" s="223">
        <f t="shared" si="82"/>
        <v>0.19397993311036787</v>
      </c>
      <c r="AB47" s="223">
        <f>AVERAGE(AB34:AB46)</f>
        <v>0.19325605900948364</v>
      </c>
    </row>
    <row r="48" spans="2:36">
      <c r="B48" s="137" t="s">
        <v>207</v>
      </c>
      <c r="C48" s="138"/>
      <c r="D48" s="138"/>
      <c r="E48" s="138"/>
      <c r="F48" s="138"/>
      <c r="G48" s="84"/>
      <c r="H48" s="84"/>
      <c r="I48" s="138"/>
      <c r="J48" s="138"/>
      <c r="K48" s="138"/>
      <c r="L48" s="89"/>
      <c r="M48" s="89"/>
      <c r="N48" s="225"/>
      <c r="O48" s="90"/>
      <c r="P48" s="90"/>
      <c r="Q48" s="91"/>
      <c r="R48" s="226"/>
      <c r="S48" s="93"/>
      <c r="T48" s="93"/>
      <c r="U48" s="93"/>
      <c r="V48" s="93"/>
      <c r="W48" s="93"/>
      <c r="X48" s="93"/>
      <c r="Y48" s="93"/>
      <c r="Z48" s="93"/>
      <c r="AA48" s="93"/>
      <c r="AB48" s="192"/>
    </row>
    <row r="49" spans="2:29">
      <c r="B49" s="152" t="s">
        <v>208</v>
      </c>
      <c r="C49" s="2" t="s">
        <v>209</v>
      </c>
      <c r="D49" s="151">
        <v>43643</v>
      </c>
      <c r="E49" s="169">
        <f t="shared" ref="E49:E60" si="83">IF(LEFT(B49,2)="BO",D49+1,$AE$2)</f>
        <v>44700</v>
      </c>
      <c r="F49" s="24" t="s">
        <v>107</v>
      </c>
      <c r="G49" s="32">
        <v>8.6377000000000006</v>
      </c>
      <c r="H49" s="29">
        <v>-10.876488</v>
      </c>
      <c r="I49" s="145">
        <v>700</v>
      </c>
      <c r="J49" s="145">
        <f t="shared" ref="J49:J53" si="84">IF(I49&gt;300, 300, I49)</f>
        <v>300</v>
      </c>
      <c r="K49" s="30" t="s">
        <v>108</v>
      </c>
      <c r="L49" s="145">
        <f t="shared" ref="L49:L60" si="85">$AE$4-$E49-M49+1</f>
        <v>227</v>
      </c>
      <c r="M49" s="170">
        <v>0</v>
      </c>
      <c r="N49" s="145">
        <f t="shared" ref="N49:N60" si="86">$AE$3-$AE$4-O49</f>
        <v>138</v>
      </c>
      <c r="O49" s="170">
        <v>0</v>
      </c>
      <c r="P49" s="170">
        <f t="shared" ref="P49:P60" si="87">M49+O49</f>
        <v>0</v>
      </c>
      <c r="Q49" s="76">
        <f t="shared" ref="Q49:Q60" si="88">L49*J49</f>
        <v>68100</v>
      </c>
      <c r="R49" s="76">
        <f t="shared" ref="R49:R60" si="89">N49*J49</f>
        <v>41400</v>
      </c>
      <c r="S49" s="76">
        <f>SUM(Q49:R49)</f>
        <v>109500</v>
      </c>
      <c r="T49" s="75">
        <f>(L49+M49)*J49</f>
        <v>68100</v>
      </c>
      <c r="U49" s="75">
        <f>(N49+O49)*J49</f>
        <v>41400</v>
      </c>
      <c r="V49" s="75">
        <f>SUM(T49:U49)</f>
        <v>109500</v>
      </c>
      <c r="W49" s="75">
        <f t="shared" ref="W49:W60" si="90">L49*I49</f>
        <v>158900</v>
      </c>
      <c r="X49" s="75">
        <f t="shared" ref="X49:X60" si="91">N49*I49</f>
        <v>96600</v>
      </c>
      <c r="Y49" s="75">
        <f>SUM(W49:X49)</f>
        <v>255500</v>
      </c>
      <c r="Z49" s="228">
        <f t="shared" ref="Z49:Z60" si="92">M49/SUM(L49:M49)</f>
        <v>0</v>
      </c>
      <c r="AA49" s="228">
        <f t="shared" ref="AA49:AA60" si="93">O49/SUM(N49:O49)</f>
        <v>0</v>
      </c>
      <c r="AB49" s="193">
        <f t="shared" ref="AB49:AB60" si="94">(M49+O49)/SUM(L49:O49)</f>
        <v>0</v>
      </c>
    </row>
    <row r="50" spans="2:29">
      <c r="B50" s="152" t="s">
        <v>210</v>
      </c>
      <c r="C50" s="2" t="s">
        <v>211</v>
      </c>
      <c r="D50" s="151">
        <v>43644</v>
      </c>
      <c r="E50" s="169">
        <f t="shared" si="83"/>
        <v>44700</v>
      </c>
      <c r="F50" s="24" t="s">
        <v>107</v>
      </c>
      <c r="G50" s="32">
        <v>8.6814</v>
      </c>
      <c r="H50" s="29">
        <v>-10.5152</v>
      </c>
      <c r="I50" s="24">
        <v>765</v>
      </c>
      <c r="J50" s="145">
        <f t="shared" si="84"/>
        <v>300</v>
      </c>
      <c r="K50" s="30" t="s">
        <v>108</v>
      </c>
      <c r="L50" s="145">
        <f t="shared" si="85"/>
        <v>227</v>
      </c>
      <c r="M50" s="170">
        <v>0</v>
      </c>
      <c r="N50" s="145">
        <f t="shared" si="86"/>
        <v>138</v>
      </c>
      <c r="O50" s="170">
        <v>0</v>
      </c>
      <c r="P50" s="170">
        <f t="shared" si="87"/>
        <v>0</v>
      </c>
      <c r="Q50" s="76">
        <f t="shared" si="88"/>
        <v>68100</v>
      </c>
      <c r="R50" s="76">
        <f t="shared" si="89"/>
        <v>41400</v>
      </c>
      <c r="S50" s="76">
        <f t="shared" ref="S50:S60" si="95">SUM(Q50:R50)</f>
        <v>109500</v>
      </c>
      <c r="T50" s="75">
        <f t="shared" ref="T50:T51" si="96">(L50+M50)*J50</f>
        <v>68100</v>
      </c>
      <c r="U50" s="75">
        <f t="shared" ref="U50:U51" si="97">(N50+O50)*J50</f>
        <v>41400</v>
      </c>
      <c r="V50" s="75">
        <f t="shared" ref="V50:V51" si="98">SUM(T50:U50)</f>
        <v>109500</v>
      </c>
      <c r="W50" s="75">
        <f t="shared" si="90"/>
        <v>173655</v>
      </c>
      <c r="X50" s="75">
        <f t="shared" si="91"/>
        <v>105570</v>
      </c>
      <c r="Y50" s="75">
        <f t="shared" ref="Y50:Y51" si="99">SUM(W50:X50)</f>
        <v>279225</v>
      </c>
      <c r="Z50" s="228">
        <f t="shared" si="92"/>
        <v>0</v>
      </c>
      <c r="AA50" s="228">
        <f t="shared" si="93"/>
        <v>0</v>
      </c>
      <c r="AB50" s="193">
        <f t="shared" si="94"/>
        <v>0</v>
      </c>
    </row>
    <row r="51" spans="2:29">
      <c r="B51" s="152" t="s">
        <v>212</v>
      </c>
      <c r="C51" s="2" t="s">
        <v>213</v>
      </c>
      <c r="D51" s="151">
        <v>43670</v>
      </c>
      <c r="E51" s="169">
        <f t="shared" si="83"/>
        <v>44700</v>
      </c>
      <c r="F51" s="24" t="s">
        <v>159</v>
      </c>
      <c r="G51" s="32">
        <v>8.6990180000000006</v>
      </c>
      <c r="H51" s="29">
        <v>-10.917400000000001</v>
      </c>
      <c r="I51" s="24">
        <v>683</v>
      </c>
      <c r="J51" s="145">
        <f t="shared" si="84"/>
        <v>300</v>
      </c>
      <c r="K51" s="30" t="s">
        <v>108</v>
      </c>
      <c r="L51" s="145">
        <f t="shared" si="85"/>
        <v>227</v>
      </c>
      <c r="M51" s="170">
        <v>0</v>
      </c>
      <c r="N51" s="145">
        <f t="shared" si="86"/>
        <v>138</v>
      </c>
      <c r="O51" s="170">
        <v>0</v>
      </c>
      <c r="P51" s="170">
        <f t="shared" si="87"/>
        <v>0</v>
      </c>
      <c r="Q51" s="76">
        <f t="shared" si="88"/>
        <v>68100</v>
      </c>
      <c r="R51" s="76">
        <f t="shared" si="89"/>
        <v>41400</v>
      </c>
      <c r="S51" s="76">
        <f t="shared" si="95"/>
        <v>109500</v>
      </c>
      <c r="T51" s="75">
        <f t="shared" si="96"/>
        <v>68100</v>
      </c>
      <c r="U51" s="75">
        <f t="shared" si="97"/>
        <v>41400</v>
      </c>
      <c r="V51" s="75">
        <f t="shared" si="98"/>
        <v>109500</v>
      </c>
      <c r="W51" s="75">
        <f t="shared" si="90"/>
        <v>155041</v>
      </c>
      <c r="X51" s="75">
        <f t="shared" si="91"/>
        <v>94254</v>
      </c>
      <c r="Y51" s="75">
        <f t="shared" si="99"/>
        <v>249295</v>
      </c>
      <c r="Z51" s="228">
        <f t="shared" si="92"/>
        <v>0</v>
      </c>
      <c r="AA51" s="228">
        <f t="shared" si="93"/>
        <v>0</v>
      </c>
      <c r="AB51" s="193">
        <f t="shared" si="94"/>
        <v>0</v>
      </c>
    </row>
    <row r="52" spans="2:29">
      <c r="B52" s="152" t="s">
        <v>214</v>
      </c>
      <c r="C52" s="2" t="s">
        <v>215</v>
      </c>
      <c r="D52" s="151">
        <v>43671</v>
      </c>
      <c r="E52" s="169">
        <f t="shared" si="83"/>
        <v>44700</v>
      </c>
      <c r="F52" s="24" t="s">
        <v>159</v>
      </c>
      <c r="G52" s="32">
        <v>8.7632300000000001</v>
      </c>
      <c r="H52" s="29">
        <v>-10.876488</v>
      </c>
      <c r="I52" s="24">
        <v>685</v>
      </c>
      <c r="J52" s="145">
        <f t="shared" si="84"/>
        <v>300</v>
      </c>
      <c r="K52" s="30" t="s">
        <v>108</v>
      </c>
      <c r="L52" s="145">
        <f t="shared" si="85"/>
        <v>170</v>
      </c>
      <c r="M52" s="170">
        <v>57</v>
      </c>
      <c r="N52" s="145">
        <f t="shared" si="86"/>
        <v>103</v>
      </c>
      <c r="O52" s="170">
        <v>35</v>
      </c>
      <c r="P52" s="170">
        <f t="shared" si="87"/>
        <v>92</v>
      </c>
      <c r="Q52" s="76">
        <f t="shared" si="88"/>
        <v>51000</v>
      </c>
      <c r="R52" s="76">
        <f t="shared" si="89"/>
        <v>30900</v>
      </c>
      <c r="S52" s="76">
        <f t="shared" si="95"/>
        <v>81900</v>
      </c>
      <c r="T52" s="75">
        <f>(L52+M52)*J52</f>
        <v>68100</v>
      </c>
      <c r="U52" s="75">
        <f>(N52+O52)*J52</f>
        <v>41400</v>
      </c>
      <c r="V52" s="75">
        <f>SUM(T52:U52)</f>
        <v>109500</v>
      </c>
      <c r="W52" s="75">
        <f t="shared" si="90"/>
        <v>116450</v>
      </c>
      <c r="X52" s="75">
        <f t="shared" si="91"/>
        <v>70555</v>
      </c>
      <c r="Y52" s="75">
        <f>SUM(W52:X52)</f>
        <v>187005</v>
      </c>
      <c r="Z52" s="228">
        <f t="shared" si="92"/>
        <v>0.25110132158590309</v>
      </c>
      <c r="AA52" s="228">
        <f t="shared" si="93"/>
        <v>0.25362318840579712</v>
      </c>
      <c r="AB52" s="193">
        <f t="shared" si="94"/>
        <v>0.25205479452054796</v>
      </c>
    </row>
    <row r="53" spans="2:29">
      <c r="B53" s="41" t="s">
        <v>216</v>
      </c>
      <c r="C53" s="2" t="s">
        <v>217</v>
      </c>
      <c r="D53" s="151">
        <v>43672</v>
      </c>
      <c r="E53" s="169">
        <f t="shared" si="83"/>
        <v>44700</v>
      </c>
      <c r="F53" s="24" t="s">
        <v>123</v>
      </c>
      <c r="G53" s="32">
        <v>7.8739100000000004</v>
      </c>
      <c r="H53" s="29">
        <v>-11.339862999999999</v>
      </c>
      <c r="I53" s="24">
        <v>627</v>
      </c>
      <c r="J53" s="145">
        <f t="shared" si="84"/>
        <v>300</v>
      </c>
      <c r="K53" s="30" t="s">
        <v>108</v>
      </c>
      <c r="L53" s="145">
        <f t="shared" si="85"/>
        <v>227</v>
      </c>
      <c r="M53" s="170">
        <v>0</v>
      </c>
      <c r="N53" s="145">
        <f t="shared" si="86"/>
        <v>138</v>
      </c>
      <c r="O53" s="170">
        <v>0</v>
      </c>
      <c r="P53" s="170">
        <f t="shared" si="87"/>
        <v>0</v>
      </c>
      <c r="Q53" s="76">
        <f t="shared" si="88"/>
        <v>68100</v>
      </c>
      <c r="R53" s="76">
        <f t="shared" si="89"/>
        <v>41400</v>
      </c>
      <c r="S53" s="78">
        <f t="shared" si="95"/>
        <v>109500</v>
      </c>
      <c r="T53" s="75">
        <f>(L53+M53)*J53</f>
        <v>68100</v>
      </c>
      <c r="U53" s="75">
        <f>(N53+O53)*J53</f>
        <v>41400</v>
      </c>
      <c r="V53" s="75">
        <f>SUM(T53:U53)</f>
        <v>109500</v>
      </c>
      <c r="W53" s="75">
        <f t="shared" si="90"/>
        <v>142329</v>
      </c>
      <c r="X53" s="75">
        <f t="shared" si="91"/>
        <v>86526</v>
      </c>
      <c r="Y53" s="75">
        <f>SUM(W53:X53)</f>
        <v>228855</v>
      </c>
      <c r="Z53" s="228">
        <f t="shared" si="92"/>
        <v>0</v>
      </c>
      <c r="AA53" s="228">
        <f t="shared" si="93"/>
        <v>0</v>
      </c>
      <c r="AB53" s="193">
        <f t="shared" si="94"/>
        <v>0</v>
      </c>
    </row>
    <row r="54" spans="2:29">
      <c r="B54" s="147" t="s">
        <v>218</v>
      </c>
      <c r="C54" s="147" t="s">
        <v>219</v>
      </c>
      <c r="D54" s="141">
        <v>43969</v>
      </c>
      <c r="E54" s="169">
        <f t="shared" si="83"/>
        <v>44700</v>
      </c>
      <c r="F54" s="142" t="s">
        <v>159</v>
      </c>
      <c r="G54" s="142">
        <v>8.1010200000000001</v>
      </c>
      <c r="H54" s="142">
        <v>-10.695223</v>
      </c>
      <c r="I54" s="142">
        <v>533</v>
      </c>
      <c r="J54" s="145">
        <f t="shared" ref="J54:J59" si="100">IF(I54&gt;300, 300, I19)</f>
        <v>300</v>
      </c>
      <c r="K54" s="30" t="s">
        <v>108</v>
      </c>
      <c r="L54" s="145">
        <f t="shared" si="85"/>
        <v>170</v>
      </c>
      <c r="M54" s="170">
        <v>57</v>
      </c>
      <c r="N54" s="145">
        <f t="shared" si="86"/>
        <v>103</v>
      </c>
      <c r="O54" s="170">
        <v>35</v>
      </c>
      <c r="P54" s="170">
        <f t="shared" si="87"/>
        <v>92</v>
      </c>
      <c r="Q54" s="76">
        <f t="shared" si="88"/>
        <v>51000</v>
      </c>
      <c r="R54" s="76">
        <f t="shared" si="89"/>
        <v>30900</v>
      </c>
      <c r="S54" s="76">
        <f t="shared" si="95"/>
        <v>81900</v>
      </c>
      <c r="T54" s="75">
        <f t="shared" ref="T54:T60" si="101">(L54+M54)*J54</f>
        <v>68100</v>
      </c>
      <c r="U54" s="75">
        <f t="shared" ref="U54:U60" si="102">(N54+O54)*J54</f>
        <v>41400</v>
      </c>
      <c r="V54" s="75">
        <f t="shared" ref="V54:V60" si="103">SUM(T54:U54)</f>
        <v>109500</v>
      </c>
      <c r="W54" s="75">
        <f t="shared" si="90"/>
        <v>90610</v>
      </c>
      <c r="X54" s="75">
        <f t="shared" si="91"/>
        <v>54899</v>
      </c>
      <c r="Y54" s="75">
        <f t="shared" ref="Y54:Y60" si="104">SUM(W54:X54)</f>
        <v>145509</v>
      </c>
      <c r="Z54" s="228">
        <f t="shared" si="92"/>
        <v>0.25110132158590309</v>
      </c>
      <c r="AA54" s="228">
        <f t="shared" si="93"/>
        <v>0.25362318840579712</v>
      </c>
      <c r="AB54" s="193">
        <f t="shared" si="94"/>
        <v>0.25205479452054796</v>
      </c>
    </row>
    <row r="55" spans="2:29">
      <c r="B55" s="147" t="s">
        <v>220</v>
      </c>
      <c r="C55" s="147" t="s">
        <v>221</v>
      </c>
      <c r="D55" s="141">
        <v>43949</v>
      </c>
      <c r="E55" s="169">
        <f t="shared" si="83"/>
        <v>44700</v>
      </c>
      <c r="F55" s="142" t="s">
        <v>159</v>
      </c>
      <c r="G55" s="142">
        <v>8.0971259999999994</v>
      </c>
      <c r="H55" s="142">
        <v>-10.693291</v>
      </c>
      <c r="I55" s="142">
        <v>557</v>
      </c>
      <c r="J55" s="145">
        <f t="shared" si="100"/>
        <v>300</v>
      </c>
      <c r="K55" s="30" t="s">
        <v>108</v>
      </c>
      <c r="L55" s="145">
        <f t="shared" si="85"/>
        <v>170</v>
      </c>
      <c r="M55" s="170">
        <v>57</v>
      </c>
      <c r="N55" s="145">
        <f t="shared" si="86"/>
        <v>103</v>
      </c>
      <c r="O55" s="170">
        <v>35</v>
      </c>
      <c r="P55" s="170">
        <f t="shared" si="87"/>
        <v>92</v>
      </c>
      <c r="Q55" s="76">
        <f t="shared" si="88"/>
        <v>51000</v>
      </c>
      <c r="R55" s="76">
        <f t="shared" si="89"/>
        <v>30900</v>
      </c>
      <c r="S55" s="76">
        <f t="shared" si="95"/>
        <v>81900</v>
      </c>
      <c r="T55" s="75">
        <f t="shared" si="101"/>
        <v>68100</v>
      </c>
      <c r="U55" s="75">
        <f t="shared" si="102"/>
        <v>41400</v>
      </c>
      <c r="V55" s="75">
        <f t="shared" si="103"/>
        <v>109500</v>
      </c>
      <c r="W55" s="75">
        <f t="shared" si="90"/>
        <v>94690</v>
      </c>
      <c r="X55" s="75">
        <f t="shared" si="91"/>
        <v>57371</v>
      </c>
      <c r="Y55" s="75">
        <f t="shared" si="104"/>
        <v>152061</v>
      </c>
      <c r="Z55" s="228">
        <f t="shared" si="92"/>
        <v>0.25110132158590309</v>
      </c>
      <c r="AA55" s="228">
        <f t="shared" si="93"/>
        <v>0.25362318840579712</v>
      </c>
      <c r="AB55" s="193">
        <f t="shared" si="94"/>
        <v>0.25205479452054796</v>
      </c>
    </row>
    <row r="56" spans="2:29">
      <c r="B56" s="147" t="s">
        <v>222</v>
      </c>
      <c r="C56" s="147" t="s">
        <v>223</v>
      </c>
      <c r="D56" s="141">
        <v>43971</v>
      </c>
      <c r="E56" s="169">
        <f t="shared" si="83"/>
        <v>44700</v>
      </c>
      <c r="F56" s="142" t="s">
        <v>107</v>
      </c>
      <c r="G56" s="142">
        <v>8.0992865999999992</v>
      </c>
      <c r="H56" s="142">
        <v>-10.691665</v>
      </c>
      <c r="I56" s="142">
        <v>508</v>
      </c>
      <c r="J56" s="145">
        <f t="shared" si="100"/>
        <v>300</v>
      </c>
      <c r="K56" s="30" t="s">
        <v>108</v>
      </c>
      <c r="L56" s="145">
        <f t="shared" si="85"/>
        <v>227</v>
      </c>
      <c r="M56" s="170">
        <v>0</v>
      </c>
      <c r="N56" s="145">
        <f t="shared" si="86"/>
        <v>138</v>
      </c>
      <c r="O56" s="170">
        <v>0</v>
      </c>
      <c r="P56" s="170">
        <f t="shared" si="87"/>
        <v>0</v>
      </c>
      <c r="Q56" s="76">
        <f t="shared" si="88"/>
        <v>68100</v>
      </c>
      <c r="R56" s="76">
        <f t="shared" si="89"/>
        <v>41400</v>
      </c>
      <c r="S56" s="76">
        <f t="shared" si="95"/>
        <v>109500</v>
      </c>
      <c r="T56" s="75">
        <f t="shared" si="101"/>
        <v>68100</v>
      </c>
      <c r="U56" s="75">
        <f t="shared" si="102"/>
        <v>41400</v>
      </c>
      <c r="V56" s="75">
        <f t="shared" si="103"/>
        <v>109500</v>
      </c>
      <c r="W56" s="75">
        <f t="shared" si="90"/>
        <v>115316</v>
      </c>
      <c r="X56" s="75">
        <f t="shared" si="91"/>
        <v>70104</v>
      </c>
      <c r="Y56" s="75">
        <f t="shared" si="104"/>
        <v>185420</v>
      </c>
      <c r="Z56" s="228">
        <f t="shared" si="92"/>
        <v>0</v>
      </c>
      <c r="AA56" s="228">
        <f t="shared" si="93"/>
        <v>0</v>
      </c>
      <c r="AB56" s="193">
        <f t="shared" si="94"/>
        <v>0</v>
      </c>
    </row>
    <row r="57" spans="2:29">
      <c r="B57" s="147" t="s">
        <v>224</v>
      </c>
      <c r="C57" s="147" t="s">
        <v>225</v>
      </c>
      <c r="D57" s="141">
        <v>43949</v>
      </c>
      <c r="E57" s="169">
        <f t="shared" si="83"/>
        <v>44700</v>
      </c>
      <c r="F57" s="142" t="s">
        <v>107</v>
      </c>
      <c r="G57" s="142">
        <v>7.9309282999999997</v>
      </c>
      <c r="H57" s="142">
        <v>-10.758832999999999</v>
      </c>
      <c r="I57" s="142">
        <v>547</v>
      </c>
      <c r="J57" s="145">
        <f t="shared" si="100"/>
        <v>300</v>
      </c>
      <c r="K57" s="30" t="s">
        <v>108</v>
      </c>
      <c r="L57" s="145">
        <f t="shared" si="85"/>
        <v>170</v>
      </c>
      <c r="M57" s="170">
        <v>57</v>
      </c>
      <c r="N57" s="145">
        <f t="shared" si="86"/>
        <v>103</v>
      </c>
      <c r="O57" s="170">
        <v>35</v>
      </c>
      <c r="P57" s="170">
        <f t="shared" si="87"/>
        <v>92</v>
      </c>
      <c r="Q57" s="76">
        <f t="shared" si="88"/>
        <v>51000</v>
      </c>
      <c r="R57" s="76">
        <f t="shared" si="89"/>
        <v>30900</v>
      </c>
      <c r="S57" s="76">
        <f t="shared" si="95"/>
        <v>81900</v>
      </c>
      <c r="T57" s="75">
        <f t="shared" si="101"/>
        <v>68100</v>
      </c>
      <c r="U57" s="75">
        <f t="shared" si="102"/>
        <v>41400</v>
      </c>
      <c r="V57" s="75">
        <f t="shared" si="103"/>
        <v>109500</v>
      </c>
      <c r="W57" s="75">
        <f t="shared" si="90"/>
        <v>92990</v>
      </c>
      <c r="X57" s="75">
        <f t="shared" si="91"/>
        <v>56341</v>
      </c>
      <c r="Y57" s="75">
        <f t="shared" si="104"/>
        <v>149331</v>
      </c>
      <c r="Z57" s="228">
        <f t="shared" si="92"/>
        <v>0.25110132158590309</v>
      </c>
      <c r="AA57" s="228">
        <f t="shared" si="93"/>
        <v>0.25362318840579712</v>
      </c>
      <c r="AB57" s="193">
        <f t="shared" si="94"/>
        <v>0.25205479452054796</v>
      </c>
    </row>
    <row r="58" spans="2:29">
      <c r="B58" s="147" t="s">
        <v>226</v>
      </c>
      <c r="C58" s="147" t="s">
        <v>227</v>
      </c>
      <c r="D58" s="141">
        <v>43951</v>
      </c>
      <c r="E58" s="169">
        <f t="shared" si="83"/>
        <v>44700</v>
      </c>
      <c r="F58" s="142" t="s">
        <v>159</v>
      </c>
      <c r="G58" s="142">
        <v>8.0375133000000005</v>
      </c>
      <c r="H58" s="142">
        <v>-10.7189116</v>
      </c>
      <c r="I58" s="142">
        <v>492</v>
      </c>
      <c r="J58" s="145">
        <f t="shared" si="100"/>
        <v>300</v>
      </c>
      <c r="K58" s="30" t="s">
        <v>108</v>
      </c>
      <c r="L58" s="145">
        <f t="shared" si="85"/>
        <v>170</v>
      </c>
      <c r="M58" s="170">
        <v>57</v>
      </c>
      <c r="N58" s="145">
        <f t="shared" si="86"/>
        <v>103</v>
      </c>
      <c r="O58" s="170">
        <v>35</v>
      </c>
      <c r="P58" s="170">
        <f t="shared" si="87"/>
        <v>92</v>
      </c>
      <c r="Q58" s="76">
        <f t="shared" si="88"/>
        <v>51000</v>
      </c>
      <c r="R58" s="76">
        <f t="shared" si="89"/>
        <v>30900</v>
      </c>
      <c r="S58" s="76">
        <f t="shared" si="95"/>
        <v>81900</v>
      </c>
      <c r="T58" s="75">
        <f t="shared" si="101"/>
        <v>68100</v>
      </c>
      <c r="U58" s="75">
        <f t="shared" si="102"/>
        <v>41400</v>
      </c>
      <c r="V58" s="75">
        <f t="shared" si="103"/>
        <v>109500</v>
      </c>
      <c r="W58" s="75">
        <f t="shared" si="90"/>
        <v>83640</v>
      </c>
      <c r="X58" s="75">
        <f t="shared" si="91"/>
        <v>50676</v>
      </c>
      <c r="Y58" s="75">
        <f t="shared" si="104"/>
        <v>134316</v>
      </c>
      <c r="Z58" s="228">
        <f t="shared" si="92"/>
        <v>0.25110132158590309</v>
      </c>
      <c r="AA58" s="228">
        <f t="shared" si="93"/>
        <v>0.25362318840579712</v>
      </c>
      <c r="AB58" s="193">
        <f t="shared" si="94"/>
        <v>0.25205479452054796</v>
      </c>
    </row>
    <row r="59" spans="2:29">
      <c r="B59" s="147" t="s">
        <v>228</v>
      </c>
      <c r="C59" s="147" t="s">
        <v>229</v>
      </c>
      <c r="D59" s="141">
        <v>43951</v>
      </c>
      <c r="E59" s="169">
        <f t="shared" si="83"/>
        <v>44700</v>
      </c>
      <c r="F59" s="142" t="s">
        <v>159</v>
      </c>
      <c r="G59" s="142">
        <v>8.0377183300000006</v>
      </c>
      <c r="H59" s="142">
        <v>-10.719779900000001</v>
      </c>
      <c r="I59" s="142">
        <v>556</v>
      </c>
      <c r="J59" s="145">
        <f t="shared" si="100"/>
        <v>300</v>
      </c>
      <c r="K59" s="30" t="s">
        <v>108</v>
      </c>
      <c r="L59" s="145">
        <f t="shared" si="85"/>
        <v>227</v>
      </c>
      <c r="M59" s="170">
        <v>0</v>
      </c>
      <c r="N59" s="145">
        <f t="shared" si="86"/>
        <v>138</v>
      </c>
      <c r="O59" s="170">
        <v>0</v>
      </c>
      <c r="P59" s="170">
        <f t="shared" si="87"/>
        <v>0</v>
      </c>
      <c r="Q59" s="76">
        <f t="shared" si="88"/>
        <v>68100</v>
      </c>
      <c r="R59" s="76">
        <f t="shared" si="89"/>
        <v>41400</v>
      </c>
      <c r="S59" s="76">
        <f t="shared" si="95"/>
        <v>109500</v>
      </c>
      <c r="T59" s="75">
        <f t="shared" si="101"/>
        <v>68100</v>
      </c>
      <c r="U59" s="75">
        <f t="shared" si="102"/>
        <v>41400</v>
      </c>
      <c r="V59" s="75">
        <f t="shared" si="103"/>
        <v>109500</v>
      </c>
      <c r="W59" s="75">
        <f t="shared" si="90"/>
        <v>126212</v>
      </c>
      <c r="X59" s="75">
        <f t="shared" si="91"/>
        <v>76728</v>
      </c>
      <c r="Y59" s="75">
        <f t="shared" si="104"/>
        <v>202940</v>
      </c>
      <c r="Z59" s="228">
        <f t="shared" si="92"/>
        <v>0</v>
      </c>
      <c r="AA59" s="228">
        <f t="shared" si="93"/>
        <v>0</v>
      </c>
      <c r="AB59" s="193">
        <f t="shared" si="94"/>
        <v>0</v>
      </c>
    </row>
    <row r="60" spans="2:29">
      <c r="B60" s="147" t="s">
        <v>230</v>
      </c>
      <c r="C60" s="147" t="s">
        <v>231</v>
      </c>
      <c r="D60" s="141">
        <v>43969</v>
      </c>
      <c r="E60" s="169">
        <f t="shared" si="83"/>
        <v>44700</v>
      </c>
      <c r="F60" s="142" t="s">
        <v>123</v>
      </c>
      <c r="G60" s="142">
        <v>8.0059415999999999</v>
      </c>
      <c r="H60" s="142">
        <v>-10.9477999</v>
      </c>
      <c r="I60" s="142">
        <v>547</v>
      </c>
      <c r="J60" s="145">
        <f t="shared" ref="J60" si="105">IF(I60&gt;300, 300, I60)</f>
        <v>300</v>
      </c>
      <c r="K60" s="24" t="s">
        <v>108</v>
      </c>
      <c r="L60" s="145">
        <f t="shared" si="85"/>
        <v>227</v>
      </c>
      <c r="M60" s="170">
        <v>0</v>
      </c>
      <c r="N60" s="145">
        <f t="shared" si="86"/>
        <v>138</v>
      </c>
      <c r="O60" s="170">
        <v>0</v>
      </c>
      <c r="P60" s="170">
        <f t="shared" si="87"/>
        <v>0</v>
      </c>
      <c r="Q60" s="76">
        <f t="shared" si="88"/>
        <v>68100</v>
      </c>
      <c r="R60" s="76">
        <f t="shared" si="89"/>
        <v>41400</v>
      </c>
      <c r="S60" s="76">
        <f t="shared" si="95"/>
        <v>109500</v>
      </c>
      <c r="T60" s="75">
        <f t="shared" si="101"/>
        <v>68100</v>
      </c>
      <c r="U60" s="75">
        <f t="shared" si="102"/>
        <v>41400</v>
      </c>
      <c r="V60" s="75">
        <f t="shared" si="103"/>
        <v>109500</v>
      </c>
      <c r="W60" s="75">
        <f t="shared" si="90"/>
        <v>124169</v>
      </c>
      <c r="X60" s="75">
        <f t="shared" si="91"/>
        <v>75486</v>
      </c>
      <c r="Y60" s="75">
        <f t="shared" si="104"/>
        <v>199655</v>
      </c>
      <c r="Z60" s="228">
        <f t="shared" si="92"/>
        <v>0</v>
      </c>
      <c r="AA60" s="228">
        <f t="shared" si="93"/>
        <v>0</v>
      </c>
      <c r="AB60" s="193">
        <f t="shared" si="94"/>
        <v>0</v>
      </c>
    </row>
    <row r="61" spans="2:29">
      <c r="B61" s="148">
        <f>COUNTA(B49:B60)</f>
        <v>12</v>
      </c>
      <c r="C61" s="149"/>
      <c r="D61" s="149"/>
      <c r="E61" s="149"/>
      <c r="F61" s="86"/>
      <c r="G61" s="86"/>
      <c r="H61" s="86"/>
      <c r="I61" s="87">
        <f>SUM(I49:I60)</f>
        <v>7200</v>
      </c>
      <c r="J61" s="87">
        <f>SUM(J49:J60)</f>
        <v>3600</v>
      </c>
      <c r="K61" s="86"/>
      <c r="L61" s="87">
        <f>SUM(L49:L60)</f>
        <v>2439</v>
      </c>
      <c r="M61" s="87">
        <f>SUM(M48:M60)</f>
        <v>285</v>
      </c>
      <c r="N61" s="87">
        <f>SUM(N49:N60)</f>
        <v>1481</v>
      </c>
      <c r="O61" s="87">
        <f>SUM(O48:O60)</f>
        <v>175</v>
      </c>
      <c r="P61" s="87">
        <f>SUM(P48:P60)</f>
        <v>460</v>
      </c>
      <c r="Q61" s="88">
        <f t="shared" ref="Q61:Y61" si="106">SUM(Q49:Q60)</f>
        <v>731700</v>
      </c>
      <c r="R61" s="88">
        <f t="shared" si="106"/>
        <v>444300</v>
      </c>
      <c r="S61" s="88">
        <f t="shared" si="106"/>
        <v>1176000</v>
      </c>
      <c r="T61" s="88">
        <f t="shared" si="106"/>
        <v>817200</v>
      </c>
      <c r="U61" s="88">
        <f t="shared" si="106"/>
        <v>496800</v>
      </c>
      <c r="V61" s="88">
        <f t="shared" si="106"/>
        <v>1314000</v>
      </c>
      <c r="W61" s="88">
        <f t="shared" si="106"/>
        <v>1474002</v>
      </c>
      <c r="X61" s="88">
        <f t="shared" si="106"/>
        <v>895110</v>
      </c>
      <c r="Y61" s="88">
        <f t="shared" si="106"/>
        <v>2369112</v>
      </c>
      <c r="Z61" s="223">
        <f t="shared" ref="Z61:AA61" si="107">AVERAGE(Z49:Z60)</f>
        <v>0.10462555066079295</v>
      </c>
      <c r="AA61" s="223">
        <f t="shared" si="107"/>
        <v>0.10567632850241547</v>
      </c>
      <c r="AB61" s="223">
        <f>AVERAGE(AB49:AB60)</f>
        <v>0.10502283105022832</v>
      </c>
      <c r="AC61" s="186"/>
    </row>
    <row r="62" spans="2:29">
      <c r="B62" s="137" t="s">
        <v>232</v>
      </c>
      <c r="C62" s="138"/>
      <c r="D62" s="138"/>
      <c r="E62" s="138"/>
      <c r="F62" s="138"/>
      <c r="G62" s="84"/>
      <c r="H62" s="84"/>
      <c r="I62" s="138"/>
      <c r="J62" s="138"/>
      <c r="K62" s="138"/>
      <c r="L62" s="89"/>
      <c r="M62" s="89"/>
      <c r="N62" s="90"/>
      <c r="O62" s="90"/>
      <c r="P62" s="90"/>
      <c r="Q62" s="91"/>
      <c r="R62" s="92"/>
      <c r="S62" s="93"/>
      <c r="T62" s="93"/>
      <c r="U62" s="93"/>
      <c r="V62" s="93"/>
      <c r="W62" s="93"/>
      <c r="X62" s="93"/>
      <c r="Y62" s="93"/>
      <c r="Z62" s="93"/>
      <c r="AA62" s="93"/>
      <c r="AB62" s="192"/>
    </row>
    <row r="63" spans="2:29">
      <c r="B63" s="152" t="s">
        <v>233</v>
      </c>
      <c r="C63" s="2" t="s">
        <v>122</v>
      </c>
      <c r="D63" s="151">
        <v>43674</v>
      </c>
      <c r="E63" s="169">
        <f t="shared" ref="E63:E75" si="108">IF(LEFT(B63,2)="BO",D63+1,$AE$2)</f>
        <v>44700</v>
      </c>
      <c r="F63" s="24" t="s">
        <v>123</v>
      </c>
      <c r="G63" s="32">
        <v>8.6621609999999993</v>
      </c>
      <c r="H63" s="24">
        <v>-10.941165</v>
      </c>
      <c r="I63" s="145">
        <v>678</v>
      </c>
      <c r="J63" s="145">
        <f t="shared" ref="J63:J68" si="109">IF(I63&gt;300, 300, I63)</f>
        <v>300</v>
      </c>
      <c r="K63" s="30" t="s">
        <v>108</v>
      </c>
      <c r="L63" s="145">
        <f t="shared" ref="L63:L75" si="110">$AE$4-$E63-M63+1</f>
        <v>227</v>
      </c>
      <c r="M63" s="170">
        <v>0</v>
      </c>
      <c r="N63" s="145">
        <f t="shared" ref="N63:N75" si="111">$AE$3-$AE$4-O63</f>
        <v>138</v>
      </c>
      <c r="O63" s="170">
        <v>0</v>
      </c>
      <c r="P63" s="170">
        <f t="shared" ref="P63:P75" si="112">M63+O63</f>
        <v>0</v>
      </c>
      <c r="Q63" s="76">
        <f t="shared" ref="Q63:Q75" si="113">L63*J63</f>
        <v>68100</v>
      </c>
      <c r="R63" s="76">
        <f t="shared" ref="R63:R75" si="114">N63*J63</f>
        <v>41400</v>
      </c>
      <c r="S63" s="76">
        <f>SUM(Q63:R63)</f>
        <v>109500</v>
      </c>
      <c r="T63" s="75">
        <f>(L63+M63)*J63</f>
        <v>68100</v>
      </c>
      <c r="U63" s="75">
        <f>(N63+O63)*J63</f>
        <v>41400</v>
      </c>
      <c r="V63" s="75">
        <f>SUM(T63:U63)</f>
        <v>109500</v>
      </c>
      <c r="W63" s="75">
        <f t="shared" ref="W63:W75" si="115">L63*I63</f>
        <v>153906</v>
      </c>
      <c r="X63" s="75">
        <f t="shared" ref="X63:X75" si="116">N63*I63</f>
        <v>93564</v>
      </c>
      <c r="Y63" s="75">
        <f>SUM(W63:X63)</f>
        <v>247470</v>
      </c>
      <c r="Z63" s="228">
        <f t="shared" ref="Z63:Z75" si="117">M63/SUM(L63:M63)</f>
        <v>0</v>
      </c>
      <c r="AA63" s="228">
        <f t="shared" ref="AA63:AA75" si="118">O63/SUM(N63:O63)</f>
        <v>0</v>
      </c>
      <c r="AB63" s="193">
        <f t="shared" ref="AB63:AB75" si="119">(M63+O63)/SUM(L63:O63)</f>
        <v>0</v>
      </c>
    </row>
    <row r="64" spans="2:29">
      <c r="B64" s="152" t="s">
        <v>234</v>
      </c>
      <c r="C64" s="2" t="s">
        <v>235</v>
      </c>
      <c r="D64" s="151">
        <v>43675</v>
      </c>
      <c r="E64" s="169">
        <f t="shared" si="108"/>
        <v>44700</v>
      </c>
      <c r="F64" s="24" t="s">
        <v>123</v>
      </c>
      <c r="G64" s="32">
        <v>8.6013999999999999</v>
      </c>
      <c r="H64" s="24">
        <v>-10.6976</v>
      </c>
      <c r="I64" s="145">
        <v>702</v>
      </c>
      <c r="J64" s="145">
        <f t="shared" si="109"/>
        <v>300</v>
      </c>
      <c r="K64" s="30" t="s">
        <v>108</v>
      </c>
      <c r="L64" s="145">
        <f t="shared" si="110"/>
        <v>227</v>
      </c>
      <c r="M64" s="170">
        <v>0</v>
      </c>
      <c r="N64" s="145">
        <f t="shared" si="111"/>
        <v>138</v>
      </c>
      <c r="O64" s="170">
        <v>0</v>
      </c>
      <c r="P64" s="170">
        <f t="shared" si="112"/>
        <v>0</v>
      </c>
      <c r="Q64" s="76">
        <f t="shared" si="113"/>
        <v>68100</v>
      </c>
      <c r="R64" s="76">
        <f t="shared" si="114"/>
        <v>41400</v>
      </c>
      <c r="S64" s="76">
        <f t="shared" ref="S64:S72" si="120">SUM(Q64:R64)</f>
        <v>109500</v>
      </c>
      <c r="T64" s="75">
        <f t="shared" ref="T64" si="121">(L64+M64)*J64</f>
        <v>68100</v>
      </c>
      <c r="U64" s="75">
        <f t="shared" ref="U64" si="122">(N64+O64)*J64</f>
        <v>41400</v>
      </c>
      <c r="V64" s="75">
        <f t="shared" ref="V64" si="123">SUM(T64:U64)</f>
        <v>109500</v>
      </c>
      <c r="W64" s="75">
        <f t="shared" si="115"/>
        <v>159354</v>
      </c>
      <c r="X64" s="75">
        <f t="shared" si="116"/>
        <v>96876</v>
      </c>
      <c r="Y64" s="75">
        <f t="shared" ref="Y64" si="124">SUM(W64:X64)</f>
        <v>256230</v>
      </c>
      <c r="Z64" s="228">
        <f t="shared" si="117"/>
        <v>0</v>
      </c>
      <c r="AA64" s="228">
        <f t="shared" si="118"/>
        <v>0</v>
      </c>
      <c r="AB64" s="193">
        <f t="shared" si="119"/>
        <v>0</v>
      </c>
    </row>
    <row r="65" spans="2:29">
      <c r="B65" s="152" t="s">
        <v>236</v>
      </c>
      <c r="C65" s="2" t="s">
        <v>237</v>
      </c>
      <c r="D65" s="151">
        <v>43676</v>
      </c>
      <c r="E65" s="169">
        <f t="shared" si="108"/>
        <v>44700</v>
      </c>
      <c r="F65" s="24" t="s">
        <v>107</v>
      </c>
      <c r="G65" s="32">
        <v>8.9291079999999994</v>
      </c>
      <c r="H65" s="24">
        <v>-10.675621</v>
      </c>
      <c r="I65" s="24">
        <v>455</v>
      </c>
      <c r="J65" s="145">
        <f t="shared" si="109"/>
        <v>300</v>
      </c>
      <c r="K65" s="30" t="s">
        <v>108</v>
      </c>
      <c r="L65" s="145">
        <f t="shared" si="110"/>
        <v>227</v>
      </c>
      <c r="M65" s="170">
        <v>0</v>
      </c>
      <c r="N65" s="145">
        <f t="shared" si="111"/>
        <v>138</v>
      </c>
      <c r="O65" s="170">
        <v>0</v>
      </c>
      <c r="P65" s="170">
        <f t="shared" si="112"/>
        <v>0</v>
      </c>
      <c r="Q65" s="76">
        <f t="shared" si="113"/>
        <v>68100</v>
      </c>
      <c r="R65" s="76">
        <f t="shared" si="114"/>
        <v>41400</v>
      </c>
      <c r="S65" s="76">
        <f t="shared" si="120"/>
        <v>109500</v>
      </c>
      <c r="T65" s="75">
        <f>(L65+M65)*J65</f>
        <v>68100</v>
      </c>
      <c r="U65" s="75">
        <f>(N65+O65)*J65</f>
        <v>41400</v>
      </c>
      <c r="V65" s="75">
        <f>SUM(T65:U65)</f>
        <v>109500</v>
      </c>
      <c r="W65" s="75">
        <f t="shared" si="115"/>
        <v>103285</v>
      </c>
      <c r="X65" s="75">
        <f t="shared" si="116"/>
        <v>62790</v>
      </c>
      <c r="Y65" s="75">
        <f>SUM(W65:X65)</f>
        <v>166075</v>
      </c>
      <c r="Z65" s="228">
        <f t="shared" si="117"/>
        <v>0</v>
      </c>
      <c r="AA65" s="228">
        <f t="shared" si="118"/>
        <v>0</v>
      </c>
      <c r="AB65" s="193">
        <f t="shared" si="119"/>
        <v>0</v>
      </c>
    </row>
    <row r="66" spans="2:29">
      <c r="B66" s="152" t="s">
        <v>238</v>
      </c>
      <c r="C66" s="2" t="s">
        <v>122</v>
      </c>
      <c r="D66" s="151">
        <v>43677</v>
      </c>
      <c r="E66" s="169">
        <f t="shared" si="108"/>
        <v>44700</v>
      </c>
      <c r="F66" s="24" t="s">
        <v>123</v>
      </c>
      <c r="G66" s="32">
        <v>8.6034000000000006</v>
      </c>
      <c r="H66" s="24">
        <v>-10.817600000000001</v>
      </c>
      <c r="I66" s="24">
        <v>700</v>
      </c>
      <c r="J66" s="145">
        <f t="shared" si="109"/>
        <v>300</v>
      </c>
      <c r="K66" s="30" t="s">
        <v>108</v>
      </c>
      <c r="L66" s="145">
        <f t="shared" si="110"/>
        <v>227</v>
      </c>
      <c r="M66" s="170">
        <v>0</v>
      </c>
      <c r="N66" s="145">
        <f t="shared" si="111"/>
        <v>138</v>
      </c>
      <c r="O66" s="170">
        <v>0</v>
      </c>
      <c r="P66" s="170">
        <f t="shared" si="112"/>
        <v>0</v>
      </c>
      <c r="Q66" s="76">
        <f t="shared" si="113"/>
        <v>68100</v>
      </c>
      <c r="R66" s="76">
        <f t="shared" si="114"/>
        <v>41400</v>
      </c>
      <c r="S66" s="76">
        <f t="shared" si="120"/>
        <v>109500</v>
      </c>
      <c r="T66" s="75">
        <f t="shared" ref="T66" si="125">(L66+M66)*J66</f>
        <v>68100</v>
      </c>
      <c r="U66" s="75">
        <f t="shared" ref="U66" si="126">(N66+O66)*J66</f>
        <v>41400</v>
      </c>
      <c r="V66" s="75">
        <f t="shared" ref="V66" si="127">SUM(T66:U66)</f>
        <v>109500</v>
      </c>
      <c r="W66" s="75">
        <f t="shared" si="115"/>
        <v>158900</v>
      </c>
      <c r="X66" s="75">
        <f t="shared" si="116"/>
        <v>96600</v>
      </c>
      <c r="Y66" s="75">
        <f t="shared" ref="Y66" si="128">SUM(W66:X66)</f>
        <v>255500</v>
      </c>
      <c r="Z66" s="228">
        <f t="shared" si="117"/>
        <v>0</v>
      </c>
      <c r="AA66" s="228">
        <f t="shared" si="118"/>
        <v>0</v>
      </c>
      <c r="AB66" s="193">
        <f t="shared" si="119"/>
        <v>0</v>
      </c>
    </row>
    <row r="67" spans="2:29">
      <c r="B67" s="41" t="s">
        <v>239</v>
      </c>
      <c r="C67" s="139" t="s">
        <v>240</v>
      </c>
      <c r="D67" s="151">
        <v>43678</v>
      </c>
      <c r="E67" s="169">
        <f t="shared" si="108"/>
        <v>44700</v>
      </c>
      <c r="F67" s="24" t="s">
        <v>123</v>
      </c>
      <c r="G67" s="32">
        <v>7.8845190000000001</v>
      </c>
      <c r="H67" s="24">
        <v>-11.33957</v>
      </c>
      <c r="I67" s="24">
        <v>514</v>
      </c>
      <c r="J67" s="145">
        <f t="shared" si="109"/>
        <v>300</v>
      </c>
      <c r="K67" s="30" t="s">
        <v>108</v>
      </c>
      <c r="L67" s="145">
        <f t="shared" si="110"/>
        <v>227</v>
      </c>
      <c r="M67" s="170">
        <v>0</v>
      </c>
      <c r="N67" s="145">
        <f t="shared" si="111"/>
        <v>138</v>
      </c>
      <c r="O67" s="170">
        <v>0</v>
      </c>
      <c r="P67" s="170">
        <f t="shared" si="112"/>
        <v>0</v>
      </c>
      <c r="Q67" s="76">
        <f t="shared" si="113"/>
        <v>68100</v>
      </c>
      <c r="R67" s="76">
        <f t="shared" si="114"/>
        <v>41400</v>
      </c>
      <c r="S67" s="78">
        <f t="shared" si="120"/>
        <v>109500</v>
      </c>
      <c r="T67" s="75">
        <f>(L67+M67)*J67</f>
        <v>68100</v>
      </c>
      <c r="U67" s="75">
        <f>(N67+O67)*J67</f>
        <v>41400</v>
      </c>
      <c r="V67" s="75">
        <f>SUM(T67:U67)</f>
        <v>109500</v>
      </c>
      <c r="W67" s="75">
        <f t="shared" si="115"/>
        <v>116678</v>
      </c>
      <c r="X67" s="75">
        <f t="shared" si="116"/>
        <v>70932</v>
      </c>
      <c r="Y67" s="75">
        <f>SUM(W67:X67)</f>
        <v>187610</v>
      </c>
      <c r="Z67" s="228">
        <f t="shared" si="117"/>
        <v>0</v>
      </c>
      <c r="AA67" s="228">
        <f t="shared" si="118"/>
        <v>0</v>
      </c>
      <c r="AB67" s="193">
        <f t="shared" si="119"/>
        <v>0</v>
      </c>
    </row>
    <row r="68" spans="2:29">
      <c r="B68" s="152" t="s">
        <v>241</v>
      </c>
      <c r="C68" s="2" t="s">
        <v>242</v>
      </c>
      <c r="D68" s="151">
        <v>43679</v>
      </c>
      <c r="E68" s="169">
        <f t="shared" si="108"/>
        <v>44700</v>
      </c>
      <c r="F68" s="24" t="s">
        <v>159</v>
      </c>
      <c r="G68" s="32">
        <v>8.8160810000000005</v>
      </c>
      <c r="H68" s="24">
        <v>10.697811</v>
      </c>
      <c r="I68" s="24">
        <v>426</v>
      </c>
      <c r="J68" s="145">
        <f t="shared" si="109"/>
        <v>300</v>
      </c>
      <c r="K68" s="24" t="s">
        <v>108</v>
      </c>
      <c r="L68" s="145">
        <f t="shared" si="110"/>
        <v>227</v>
      </c>
      <c r="M68" s="170">
        <v>0</v>
      </c>
      <c r="N68" s="145">
        <f t="shared" si="111"/>
        <v>138</v>
      </c>
      <c r="O68" s="170">
        <v>0</v>
      </c>
      <c r="P68" s="170">
        <f t="shared" si="112"/>
        <v>0</v>
      </c>
      <c r="Q68" s="76">
        <f t="shared" si="113"/>
        <v>68100</v>
      </c>
      <c r="R68" s="76">
        <f t="shared" si="114"/>
        <v>41400</v>
      </c>
      <c r="S68" s="76">
        <f t="shared" si="120"/>
        <v>109500</v>
      </c>
      <c r="T68" s="75">
        <f>(L68+M68)*J68</f>
        <v>68100</v>
      </c>
      <c r="U68" s="75">
        <f>(N68+O68)*J68</f>
        <v>41400</v>
      </c>
      <c r="V68" s="75">
        <f>SUM(T68:U68)</f>
        <v>109500</v>
      </c>
      <c r="W68" s="75">
        <f t="shared" si="115"/>
        <v>96702</v>
      </c>
      <c r="X68" s="75">
        <f t="shared" si="116"/>
        <v>58788</v>
      </c>
      <c r="Y68" s="75">
        <f>SUM(W68:X68)</f>
        <v>155490</v>
      </c>
      <c r="Z68" s="228">
        <f t="shared" si="117"/>
        <v>0</v>
      </c>
      <c r="AA68" s="228">
        <f t="shared" si="118"/>
        <v>0</v>
      </c>
      <c r="AB68" s="193">
        <f t="shared" si="119"/>
        <v>0</v>
      </c>
    </row>
    <row r="69" spans="2:29">
      <c r="B69" s="147" t="s">
        <v>243</v>
      </c>
      <c r="C69" s="147" t="s">
        <v>244</v>
      </c>
      <c r="D69" s="141">
        <v>44001</v>
      </c>
      <c r="E69" s="169">
        <f t="shared" si="108"/>
        <v>44700</v>
      </c>
      <c r="F69" s="142" t="s">
        <v>123</v>
      </c>
      <c r="G69" s="142">
        <v>7.8671329999999999</v>
      </c>
      <c r="H69" s="142">
        <v>-11.3399</v>
      </c>
      <c r="I69" s="142">
        <v>370</v>
      </c>
      <c r="J69" s="145">
        <f>IF(I69&gt;300, 300, I43)</f>
        <v>300</v>
      </c>
      <c r="K69" s="24" t="s">
        <v>108</v>
      </c>
      <c r="L69" s="145">
        <f t="shared" si="110"/>
        <v>227</v>
      </c>
      <c r="M69" s="170">
        <v>0</v>
      </c>
      <c r="N69" s="145">
        <f t="shared" si="111"/>
        <v>138</v>
      </c>
      <c r="O69" s="170">
        <v>0</v>
      </c>
      <c r="P69" s="170">
        <f t="shared" si="112"/>
        <v>0</v>
      </c>
      <c r="Q69" s="76">
        <f t="shared" si="113"/>
        <v>68100</v>
      </c>
      <c r="R69" s="76">
        <f t="shared" si="114"/>
        <v>41400</v>
      </c>
      <c r="S69" s="76">
        <f t="shared" si="120"/>
        <v>109500</v>
      </c>
      <c r="T69" s="75">
        <f t="shared" ref="T69:T75" si="129">(L69+M69)*J69</f>
        <v>68100</v>
      </c>
      <c r="U69" s="75">
        <f t="shared" ref="U69:U75" si="130">(N69+O69)*J69</f>
        <v>41400</v>
      </c>
      <c r="V69" s="75">
        <f t="shared" ref="V69:V75" si="131">SUM(T69:U69)</f>
        <v>109500</v>
      </c>
      <c r="W69" s="75">
        <f t="shared" si="115"/>
        <v>83990</v>
      </c>
      <c r="X69" s="75">
        <f t="shared" si="116"/>
        <v>51060</v>
      </c>
      <c r="Y69" s="75">
        <f t="shared" ref="Y69:Y75" si="132">SUM(W69:X69)</f>
        <v>135050</v>
      </c>
      <c r="Z69" s="228">
        <f t="shared" si="117"/>
        <v>0</v>
      </c>
      <c r="AA69" s="228">
        <f t="shared" si="118"/>
        <v>0</v>
      </c>
      <c r="AB69" s="193">
        <f t="shared" si="119"/>
        <v>0</v>
      </c>
    </row>
    <row r="70" spans="2:29">
      <c r="B70" s="147" t="s">
        <v>245</v>
      </c>
      <c r="C70" s="147" t="s">
        <v>246</v>
      </c>
      <c r="D70" s="141">
        <v>43999</v>
      </c>
      <c r="E70" s="169">
        <f t="shared" si="108"/>
        <v>44700</v>
      </c>
      <c r="F70" s="142" t="s">
        <v>123</v>
      </c>
      <c r="G70" s="142">
        <v>7.8782540000000001</v>
      </c>
      <c r="H70" s="142">
        <v>-11.3498</v>
      </c>
      <c r="I70" s="142">
        <v>377</v>
      </c>
      <c r="J70" s="145">
        <f>IF(I70&gt;300, 300, I44)</f>
        <v>300</v>
      </c>
      <c r="K70" s="24" t="s">
        <v>108</v>
      </c>
      <c r="L70" s="145">
        <f t="shared" si="110"/>
        <v>227</v>
      </c>
      <c r="M70" s="170">
        <v>0</v>
      </c>
      <c r="N70" s="145">
        <f t="shared" si="111"/>
        <v>138</v>
      </c>
      <c r="O70" s="170">
        <v>0</v>
      </c>
      <c r="P70" s="170">
        <f t="shared" si="112"/>
        <v>0</v>
      </c>
      <c r="Q70" s="76">
        <f t="shared" si="113"/>
        <v>68100</v>
      </c>
      <c r="R70" s="76">
        <f t="shared" si="114"/>
        <v>41400</v>
      </c>
      <c r="S70" s="76">
        <f t="shared" si="120"/>
        <v>109500</v>
      </c>
      <c r="T70" s="75">
        <f t="shared" si="129"/>
        <v>68100</v>
      </c>
      <c r="U70" s="75">
        <f t="shared" si="130"/>
        <v>41400</v>
      </c>
      <c r="V70" s="75">
        <f t="shared" si="131"/>
        <v>109500</v>
      </c>
      <c r="W70" s="75">
        <f t="shared" si="115"/>
        <v>85579</v>
      </c>
      <c r="X70" s="75">
        <f t="shared" si="116"/>
        <v>52026</v>
      </c>
      <c r="Y70" s="75">
        <f t="shared" si="132"/>
        <v>137605</v>
      </c>
      <c r="Z70" s="228">
        <f t="shared" si="117"/>
        <v>0</v>
      </c>
      <c r="AA70" s="228">
        <f t="shared" si="118"/>
        <v>0</v>
      </c>
      <c r="AB70" s="193">
        <f t="shared" si="119"/>
        <v>0</v>
      </c>
    </row>
    <row r="71" spans="2:29">
      <c r="B71" s="147" t="s">
        <v>247</v>
      </c>
      <c r="C71" s="147" t="s">
        <v>248</v>
      </c>
      <c r="D71" s="141">
        <v>44003</v>
      </c>
      <c r="E71" s="169">
        <f t="shared" si="108"/>
        <v>44700</v>
      </c>
      <c r="F71" s="142" t="s">
        <v>123</v>
      </c>
      <c r="G71" s="142">
        <v>7.9682680000000001</v>
      </c>
      <c r="H71" s="142">
        <v>-11.3095</v>
      </c>
      <c r="I71" s="142">
        <v>492</v>
      </c>
      <c r="J71" s="145">
        <f>IF(I71&gt;300, 300, I45)</f>
        <v>300</v>
      </c>
      <c r="K71" s="24" t="s">
        <v>108</v>
      </c>
      <c r="L71" s="145">
        <f t="shared" si="110"/>
        <v>227</v>
      </c>
      <c r="M71" s="170">
        <v>0</v>
      </c>
      <c r="N71" s="145">
        <f t="shared" si="111"/>
        <v>138</v>
      </c>
      <c r="O71" s="170">
        <v>0</v>
      </c>
      <c r="P71" s="170">
        <f t="shared" si="112"/>
        <v>0</v>
      </c>
      <c r="Q71" s="76">
        <f t="shared" si="113"/>
        <v>68100</v>
      </c>
      <c r="R71" s="76">
        <f t="shared" si="114"/>
        <v>41400</v>
      </c>
      <c r="S71" s="76">
        <f t="shared" si="120"/>
        <v>109500</v>
      </c>
      <c r="T71" s="75">
        <f t="shared" si="129"/>
        <v>68100</v>
      </c>
      <c r="U71" s="75">
        <f t="shared" si="130"/>
        <v>41400</v>
      </c>
      <c r="V71" s="75">
        <f t="shared" si="131"/>
        <v>109500</v>
      </c>
      <c r="W71" s="75">
        <f t="shared" si="115"/>
        <v>111684</v>
      </c>
      <c r="X71" s="75">
        <f t="shared" si="116"/>
        <v>67896</v>
      </c>
      <c r="Y71" s="75">
        <f t="shared" si="132"/>
        <v>179580</v>
      </c>
      <c r="Z71" s="228">
        <f t="shared" si="117"/>
        <v>0</v>
      </c>
      <c r="AA71" s="228">
        <f t="shared" si="118"/>
        <v>0</v>
      </c>
      <c r="AB71" s="193">
        <f t="shared" si="119"/>
        <v>0</v>
      </c>
    </row>
    <row r="72" spans="2:29">
      <c r="B72" s="147" t="s">
        <v>249</v>
      </c>
      <c r="C72" s="147" t="s">
        <v>250</v>
      </c>
      <c r="D72" s="141">
        <v>44003</v>
      </c>
      <c r="E72" s="169">
        <f t="shared" si="108"/>
        <v>44700</v>
      </c>
      <c r="F72" s="142" t="s">
        <v>123</v>
      </c>
      <c r="G72" s="142">
        <v>7.9908330000000003</v>
      </c>
      <c r="H72" s="142">
        <v>-11.3325</v>
      </c>
      <c r="I72" s="142">
        <v>512</v>
      </c>
      <c r="J72" s="145">
        <f>IF(I72&gt;300, 300, I46)</f>
        <v>300</v>
      </c>
      <c r="K72" s="24" t="s">
        <v>108</v>
      </c>
      <c r="L72" s="145">
        <f t="shared" si="110"/>
        <v>227</v>
      </c>
      <c r="M72" s="170">
        <v>0</v>
      </c>
      <c r="N72" s="145">
        <f t="shared" si="111"/>
        <v>138</v>
      </c>
      <c r="O72" s="170">
        <v>0</v>
      </c>
      <c r="P72" s="170">
        <f t="shared" si="112"/>
        <v>0</v>
      </c>
      <c r="Q72" s="76">
        <f t="shared" si="113"/>
        <v>68100</v>
      </c>
      <c r="R72" s="76">
        <f t="shared" si="114"/>
        <v>41400</v>
      </c>
      <c r="S72" s="76">
        <f t="shared" si="120"/>
        <v>109500</v>
      </c>
      <c r="T72" s="75">
        <f t="shared" si="129"/>
        <v>68100</v>
      </c>
      <c r="U72" s="75">
        <f t="shared" si="130"/>
        <v>41400</v>
      </c>
      <c r="V72" s="75">
        <f t="shared" si="131"/>
        <v>109500</v>
      </c>
      <c r="W72" s="75">
        <f t="shared" si="115"/>
        <v>116224</v>
      </c>
      <c r="X72" s="75">
        <f t="shared" si="116"/>
        <v>70656</v>
      </c>
      <c r="Y72" s="75">
        <f t="shared" si="132"/>
        <v>186880</v>
      </c>
      <c r="Z72" s="228">
        <f t="shared" si="117"/>
        <v>0</v>
      </c>
      <c r="AA72" s="228">
        <f t="shared" si="118"/>
        <v>0</v>
      </c>
      <c r="AB72" s="193">
        <f t="shared" si="119"/>
        <v>0</v>
      </c>
    </row>
    <row r="73" spans="2:29">
      <c r="B73" s="147" t="s">
        <v>251</v>
      </c>
      <c r="C73" s="147" t="s">
        <v>252</v>
      </c>
      <c r="D73" s="141">
        <v>44001</v>
      </c>
      <c r="E73" s="169">
        <f t="shared" si="108"/>
        <v>44700</v>
      </c>
      <c r="F73" s="142" t="s">
        <v>123</v>
      </c>
      <c r="G73" s="142">
        <v>7.8692080000000004</v>
      </c>
      <c r="H73" s="142">
        <v>-11.348000000000001</v>
      </c>
      <c r="I73" s="142">
        <v>390</v>
      </c>
      <c r="J73" s="145">
        <f>IF(I73&gt;300, 300, I73)</f>
        <v>300</v>
      </c>
      <c r="K73" s="24" t="s">
        <v>108</v>
      </c>
      <c r="L73" s="145">
        <f t="shared" si="110"/>
        <v>227</v>
      </c>
      <c r="M73" s="170">
        <v>0</v>
      </c>
      <c r="N73" s="145">
        <f t="shared" si="111"/>
        <v>138</v>
      </c>
      <c r="O73" s="170">
        <v>0</v>
      </c>
      <c r="P73" s="170">
        <f t="shared" si="112"/>
        <v>0</v>
      </c>
      <c r="Q73" s="76">
        <f t="shared" si="113"/>
        <v>68100</v>
      </c>
      <c r="R73" s="76">
        <f t="shared" si="114"/>
        <v>41400</v>
      </c>
      <c r="S73" s="76">
        <f>SUM(Q73:R73)</f>
        <v>109500</v>
      </c>
      <c r="T73" s="75">
        <f t="shared" si="129"/>
        <v>68100</v>
      </c>
      <c r="U73" s="75">
        <f t="shared" si="130"/>
        <v>41400</v>
      </c>
      <c r="V73" s="75">
        <f t="shared" si="131"/>
        <v>109500</v>
      </c>
      <c r="W73" s="75">
        <f t="shared" si="115"/>
        <v>88530</v>
      </c>
      <c r="X73" s="75">
        <f t="shared" si="116"/>
        <v>53820</v>
      </c>
      <c r="Y73" s="75">
        <f t="shared" si="132"/>
        <v>142350</v>
      </c>
      <c r="Z73" s="228">
        <f t="shared" si="117"/>
        <v>0</v>
      </c>
      <c r="AA73" s="228">
        <f t="shared" si="118"/>
        <v>0</v>
      </c>
      <c r="AB73" s="193">
        <f t="shared" si="119"/>
        <v>0</v>
      </c>
    </row>
    <row r="74" spans="2:29">
      <c r="B74" s="147" t="s">
        <v>253</v>
      </c>
      <c r="C74" s="147" t="s">
        <v>254</v>
      </c>
      <c r="D74" s="141">
        <v>44000</v>
      </c>
      <c r="E74" s="169">
        <f t="shared" si="108"/>
        <v>44700</v>
      </c>
      <c r="F74" s="142" t="s">
        <v>123</v>
      </c>
      <c r="G74" s="142">
        <v>7.8691250000000004</v>
      </c>
      <c r="H74" s="142">
        <v>-11.349399999999999</v>
      </c>
      <c r="I74" s="142">
        <v>409</v>
      </c>
      <c r="J74" s="145">
        <f>IF(I74&gt;300, 300, I74)</f>
        <v>300</v>
      </c>
      <c r="K74" s="24" t="s">
        <v>108</v>
      </c>
      <c r="L74" s="145">
        <f t="shared" si="110"/>
        <v>227</v>
      </c>
      <c r="M74" s="170">
        <v>0</v>
      </c>
      <c r="N74" s="145">
        <f t="shared" si="111"/>
        <v>138</v>
      </c>
      <c r="O74" s="170">
        <v>0</v>
      </c>
      <c r="P74" s="170">
        <f t="shared" si="112"/>
        <v>0</v>
      </c>
      <c r="Q74" s="76">
        <f t="shared" si="113"/>
        <v>68100</v>
      </c>
      <c r="R74" s="76">
        <f t="shared" si="114"/>
        <v>41400</v>
      </c>
      <c r="S74" s="76">
        <f>SUM(Q74:R74)</f>
        <v>109500</v>
      </c>
      <c r="T74" s="75">
        <f t="shared" si="129"/>
        <v>68100</v>
      </c>
      <c r="U74" s="75">
        <f t="shared" si="130"/>
        <v>41400</v>
      </c>
      <c r="V74" s="75">
        <f t="shared" si="131"/>
        <v>109500</v>
      </c>
      <c r="W74" s="75">
        <f t="shared" si="115"/>
        <v>92843</v>
      </c>
      <c r="X74" s="75">
        <f t="shared" si="116"/>
        <v>56442</v>
      </c>
      <c r="Y74" s="75">
        <f t="shared" si="132"/>
        <v>149285</v>
      </c>
      <c r="Z74" s="228">
        <f t="shared" si="117"/>
        <v>0</v>
      </c>
      <c r="AA74" s="228">
        <f t="shared" si="118"/>
        <v>0</v>
      </c>
      <c r="AB74" s="193">
        <f t="shared" si="119"/>
        <v>0</v>
      </c>
    </row>
    <row r="75" spans="2:29">
      <c r="B75" s="147" t="s">
        <v>255</v>
      </c>
      <c r="C75" s="147" t="s">
        <v>256</v>
      </c>
      <c r="D75" s="141">
        <v>44000</v>
      </c>
      <c r="E75" s="169">
        <f t="shared" si="108"/>
        <v>44700</v>
      </c>
      <c r="F75" s="142" t="s">
        <v>123</v>
      </c>
      <c r="G75" s="142">
        <v>7.8676979999999999</v>
      </c>
      <c r="H75" s="142">
        <v>-11.3504</v>
      </c>
      <c r="I75" s="142">
        <v>412</v>
      </c>
      <c r="J75" s="145">
        <f t="shared" ref="J75" si="133">IF(I75&gt;300, 300, I75)</f>
        <v>300</v>
      </c>
      <c r="K75" s="24" t="s">
        <v>108</v>
      </c>
      <c r="L75" s="145">
        <f t="shared" si="110"/>
        <v>227</v>
      </c>
      <c r="M75" s="170">
        <v>0</v>
      </c>
      <c r="N75" s="145">
        <f t="shared" si="111"/>
        <v>138</v>
      </c>
      <c r="O75" s="170">
        <v>0</v>
      </c>
      <c r="P75" s="170">
        <f t="shared" si="112"/>
        <v>0</v>
      </c>
      <c r="Q75" s="76">
        <f t="shared" si="113"/>
        <v>68100</v>
      </c>
      <c r="R75" s="76">
        <f t="shared" si="114"/>
        <v>41400</v>
      </c>
      <c r="S75" s="76">
        <f>SUM(Q75:R75)</f>
        <v>109500</v>
      </c>
      <c r="T75" s="75">
        <f t="shared" si="129"/>
        <v>68100</v>
      </c>
      <c r="U75" s="75">
        <f t="shared" si="130"/>
        <v>41400</v>
      </c>
      <c r="V75" s="75">
        <f t="shared" si="131"/>
        <v>109500</v>
      </c>
      <c r="W75" s="75">
        <f t="shared" si="115"/>
        <v>93524</v>
      </c>
      <c r="X75" s="75">
        <f t="shared" si="116"/>
        <v>56856</v>
      </c>
      <c r="Y75" s="75">
        <f t="shared" si="132"/>
        <v>150380</v>
      </c>
      <c r="Z75" s="228">
        <f t="shared" si="117"/>
        <v>0</v>
      </c>
      <c r="AA75" s="228">
        <f t="shared" si="118"/>
        <v>0</v>
      </c>
      <c r="AB75" s="193">
        <f t="shared" si="119"/>
        <v>0</v>
      </c>
    </row>
    <row r="76" spans="2:29">
      <c r="B76" s="148">
        <f>COUNTA(B63:B75)</f>
        <v>13</v>
      </c>
      <c r="C76" s="86"/>
      <c r="D76" s="149"/>
      <c r="E76" s="149"/>
      <c r="F76" s="86"/>
      <c r="G76" s="86"/>
      <c r="H76" s="86"/>
      <c r="I76" s="87">
        <f>SUM(I63:I75)</f>
        <v>6437</v>
      </c>
      <c r="J76" s="87">
        <f>SUM(J63:J75)</f>
        <v>3900</v>
      </c>
      <c r="K76" s="86"/>
      <c r="L76" s="87">
        <f t="shared" ref="L76:Y76" si="134">SUM(L63:L75)</f>
        <v>2951</v>
      </c>
      <c r="M76" s="87">
        <f t="shared" si="134"/>
        <v>0</v>
      </c>
      <c r="N76" s="87">
        <f t="shared" si="134"/>
        <v>1794</v>
      </c>
      <c r="O76" s="87">
        <f t="shared" si="134"/>
        <v>0</v>
      </c>
      <c r="P76" s="87">
        <f t="shared" si="134"/>
        <v>0</v>
      </c>
      <c r="Q76" s="88">
        <f t="shared" si="134"/>
        <v>885300</v>
      </c>
      <c r="R76" s="88">
        <f t="shared" si="134"/>
        <v>538200</v>
      </c>
      <c r="S76" s="88">
        <f t="shared" si="134"/>
        <v>1423500</v>
      </c>
      <c r="T76" s="88">
        <f t="shared" si="134"/>
        <v>885300</v>
      </c>
      <c r="U76" s="88">
        <f t="shared" si="134"/>
        <v>538200</v>
      </c>
      <c r="V76" s="88">
        <f t="shared" si="134"/>
        <v>1423500</v>
      </c>
      <c r="W76" s="88">
        <f t="shared" si="134"/>
        <v>1461199</v>
      </c>
      <c r="X76" s="88">
        <f t="shared" si="134"/>
        <v>888306</v>
      </c>
      <c r="Y76" s="88">
        <f t="shared" si="134"/>
        <v>2349505</v>
      </c>
      <c r="Z76" s="223">
        <f t="shared" ref="Z76:AA76" si="135">AVERAGE(Z63:Z75)</f>
        <v>0</v>
      </c>
      <c r="AA76" s="223">
        <f t="shared" si="135"/>
        <v>0</v>
      </c>
      <c r="AB76" s="223">
        <f>AVERAGE(AB63:AB75)</f>
        <v>0</v>
      </c>
      <c r="AC76" s="186"/>
    </row>
    <row r="77" spans="2:29">
      <c r="B77" s="137" t="s">
        <v>257</v>
      </c>
      <c r="C77" s="138"/>
      <c r="D77" s="138"/>
      <c r="E77" s="138"/>
      <c r="F77" s="138"/>
      <c r="G77" s="84"/>
      <c r="H77" s="84"/>
      <c r="I77" s="138"/>
      <c r="J77" s="138"/>
      <c r="K77" s="138"/>
      <c r="L77" s="89"/>
      <c r="M77" s="89"/>
      <c r="N77" s="90"/>
      <c r="O77" s="90"/>
      <c r="P77" s="90"/>
      <c r="Q77" s="91"/>
      <c r="R77" s="92"/>
      <c r="S77" s="93"/>
      <c r="T77" s="93"/>
      <c r="U77" s="93"/>
      <c r="V77" s="93"/>
      <c r="W77" s="93"/>
      <c r="X77" s="93"/>
      <c r="Y77" s="93"/>
      <c r="Z77" s="93"/>
      <c r="AA77" s="93"/>
      <c r="AB77" s="192"/>
    </row>
    <row r="78" spans="2:29">
      <c r="B78" s="152" t="s">
        <v>258</v>
      </c>
      <c r="C78" s="2" t="s">
        <v>259</v>
      </c>
      <c r="D78" s="151">
        <v>43680</v>
      </c>
      <c r="E78" s="169">
        <f t="shared" ref="E78:E90" si="136">IF(LEFT(B78,2)="BO",D78+1,$AE$2)</f>
        <v>44700</v>
      </c>
      <c r="F78" s="24" t="s">
        <v>159</v>
      </c>
      <c r="G78" s="34">
        <v>8.8172999999999995</v>
      </c>
      <c r="H78" s="24">
        <v>-10.616</v>
      </c>
      <c r="I78" s="145">
        <v>772</v>
      </c>
      <c r="J78" s="145">
        <v>300</v>
      </c>
      <c r="K78" s="30" t="s">
        <v>108</v>
      </c>
      <c r="L78" s="145">
        <f t="shared" ref="L78:L90" si="137">$AE$4-$E78-M78+1</f>
        <v>227</v>
      </c>
      <c r="M78" s="170">
        <v>0</v>
      </c>
      <c r="N78" s="145">
        <f t="shared" ref="N78:N90" si="138">$AE$3-$AE$4-O78</f>
        <v>138</v>
      </c>
      <c r="O78" s="170">
        <v>0</v>
      </c>
      <c r="P78" s="170">
        <f t="shared" ref="P78:P90" si="139">M78+O78</f>
        <v>0</v>
      </c>
      <c r="Q78" s="76">
        <f t="shared" ref="Q78:Q90" si="140">L78*J78</f>
        <v>68100</v>
      </c>
      <c r="R78" s="76">
        <f t="shared" ref="R78:R90" si="141">N78*J78</f>
        <v>41400</v>
      </c>
      <c r="S78" s="76">
        <f>SUM(Q78:R78)</f>
        <v>109500</v>
      </c>
      <c r="T78" s="75">
        <f>(L78+M78)*J78</f>
        <v>68100</v>
      </c>
      <c r="U78" s="75">
        <f>(N78+O78)*J78</f>
        <v>41400</v>
      </c>
      <c r="V78" s="75">
        <f>SUM(T78:U78)</f>
        <v>109500</v>
      </c>
      <c r="W78" s="75">
        <f t="shared" ref="W78:W90" si="142">L78*I78</f>
        <v>175244</v>
      </c>
      <c r="X78" s="75">
        <f t="shared" ref="X78:X90" si="143">N78*I78</f>
        <v>106536</v>
      </c>
      <c r="Y78" s="75">
        <f>SUM(W78:X78)</f>
        <v>281780</v>
      </c>
      <c r="Z78" s="228">
        <f t="shared" ref="Z78:Z90" si="144">M78/SUM(L78:M78)</f>
        <v>0</v>
      </c>
      <c r="AA78" s="228">
        <f t="shared" ref="AA78:AA90" si="145">O78/SUM(N78:O78)</f>
        <v>0</v>
      </c>
      <c r="AB78" s="193">
        <f t="shared" ref="AB78:AB90" si="146">(M78+O78)/SUM(L78:O78)</f>
        <v>0</v>
      </c>
    </row>
    <row r="79" spans="2:29">
      <c r="B79" s="152" t="s">
        <v>260</v>
      </c>
      <c r="C79" s="2" t="s">
        <v>261</v>
      </c>
      <c r="D79" s="151">
        <v>43681</v>
      </c>
      <c r="E79" s="169">
        <f t="shared" si="136"/>
        <v>44700</v>
      </c>
      <c r="F79" s="24" t="s">
        <v>107</v>
      </c>
      <c r="G79" s="34">
        <v>8.657667</v>
      </c>
      <c r="H79" s="24">
        <v>-10.976902000000001</v>
      </c>
      <c r="I79" s="24">
        <v>791</v>
      </c>
      <c r="J79" s="24">
        <v>300</v>
      </c>
      <c r="K79" s="30" t="s">
        <v>108</v>
      </c>
      <c r="L79" s="145">
        <f t="shared" si="137"/>
        <v>170</v>
      </c>
      <c r="M79" s="170">
        <v>57</v>
      </c>
      <c r="N79" s="145">
        <f t="shared" si="138"/>
        <v>103</v>
      </c>
      <c r="O79" s="170">
        <v>35</v>
      </c>
      <c r="P79" s="170">
        <f t="shared" si="139"/>
        <v>92</v>
      </c>
      <c r="Q79" s="76">
        <f t="shared" si="140"/>
        <v>51000</v>
      </c>
      <c r="R79" s="76">
        <f t="shared" si="141"/>
        <v>30900</v>
      </c>
      <c r="S79" s="76">
        <f t="shared" ref="S79:S90" si="147">SUM(Q79:R79)</f>
        <v>81900</v>
      </c>
      <c r="T79" s="75">
        <f t="shared" ref="T79:T81" si="148">(L79+M79)*J79</f>
        <v>68100</v>
      </c>
      <c r="U79" s="75">
        <f t="shared" ref="U79:U81" si="149">(N79+O79)*J79</f>
        <v>41400</v>
      </c>
      <c r="V79" s="75">
        <f t="shared" ref="V79:V81" si="150">SUM(T79:U79)</f>
        <v>109500</v>
      </c>
      <c r="W79" s="75">
        <f t="shared" si="142"/>
        <v>134470</v>
      </c>
      <c r="X79" s="75">
        <f t="shared" si="143"/>
        <v>81473</v>
      </c>
      <c r="Y79" s="75">
        <f t="shared" ref="Y79:Y81" si="151">SUM(W79:X79)</f>
        <v>215943</v>
      </c>
      <c r="Z79" s="228">
        <f t="shared" si="144"/>
        <v>0.25110132158590309</v>
      </c>
      <c r="AA79" s="228">
        <f t="shared" si="145"/>
        <v>0.25362318840579712</v>
      </c>
      <c r="AB79" s="193">
        <f t="shared" si="146"/>
        <v>0.25205479452054796</v>
      </c>
    </row>
    <row r="80" spans="2:29">
      <c r="B80" s="152" t="s">
        <v>262</v>
      </c>
      <c r="C80" s="2" t="s">
        <v>263</v>
      </c>
      <c r="D80" s="151">
        <v>43796</v>
      </c>
      <c r="E80" s="169">
        <f t="shared" si="136"/>
        <v>44700</v>
      </c>
      <c r="F80" s="24" t="s">
        <v>159</v>
      </c>
      <c r="G80" s="34">
        <v>8.6324185</v>
      </c>
      <c r="H80" s="24">
        <v>-10.9826432</v>
      </c>
      <c r="I80" s="24">
        <v>824</v>
      </c>
      <c r="J80" s="24">
        <v>300</v>
      </c>
      <c r="K80" s="30" t="s">
        <v>108</v>
      </c>
      <c r="L80" s="145">
        <f t="shared" si="137"/>
        <v>0</v>
      </c>
      <c r="M80" s="170">
        <v>227</v>
      </c>
      <c r="N80" s="145">
        <f t="shared" si="138"/>
        <v>0</v>
      </c>
      <c r="O80" s="170">
        <v>138</v>
      </c>
      <c r="P80" s="170">
        <f t="shared" si="139"/>
        <v>365</v>
      </c>
      <c r="Q80" s="76">
        <f t="shared" si="140"/>
        <v>0</v>
      </c>
      <c r="R80" s="76">
        <f t="shared" si="141"/>
        <v>0</v>
      </c>
      <c r="S80" s="76">
        <f t="shared" si="147"/>
        <v>0</v>
      </c>
      <c r="T80" s="75">
        <f t="shared" si="148"/>
        <v>68100</v>
      </c>
      <c r="U80" s="75">
        <f t="shared" si="149"/>
        <v>41400</v>
      </c>
      <c r="V80" s="75">
        <f t="shared" si="150"/>
        <v>109500</v>
      </c>
      <c r="W80" s="75">
        <f t="shared" si="142"/>
        <v>0</v>
      </c>
      <c r="X80" s="75">
        <f t="shared" si="143"/>
        <v>0</v>
      </c>
      <c r="Y80" s="75">
        <f t="shared" si="151"/>
        <v>0</v>
      </c>
      <c r="Z80" s="228">
        <f t="shared" si="144"/>
        <v>1</v>
      </c>
      <c r="AA80" s="228">
        <f t="shared" si="145"/>
        <v>1</v>
      </c>
      <c r="AB80" s="193">
        <f t="shared" si="146"/>
        <v>1</v>
      </c>
    </row>
    <row r="81" spans="2:29">
      <c r="B81" s="41" t="s">
        <v>264</v>
      </c>
      <c r="C81" s="153" t="s">
        <v>265</v>
      </c>
      <c r="D81" s="151">
        <v>43791</v>
      </c>
      <c r="E81" s="169">
        <f t="shared" si="136"/>
        <v>44700</v>
      </c>
      <c r="F81" s="24" t="s">
        <v>123</v>
      </c>
      <c r="G81" s="34">
        <v>7.9891050000000003</v>
      </c>
      <c r="H81" s="24">
        <v>-11.270937999999999</v>
      </c>
      <c r="I81" s="24">
        <v>533</v>
      </c>
      <c r="J81" s="24">
        <v>300</v>
      </c>
      <c r="K81" s="30" t="s">
        <v>108</v>
      </c>
      <c r="L81" s="145">
        <f t="shared" si="137"/>
        <v>227</v>
      </c>
      <c r="M81" s="170">
        <v>0</v>
      </c>
      <c r="N81" s="145">
        <f t="shared" si="138"/>
        <v>138</v>
      </c>
      <c r="O81" s="170">
        <v>0</v>
      </c>
      <c r="P81" s="170">
        <f t="shared" si="139"/>
        <v>0</v>
      </c>
      <c r="Q81" s="76">
        <f t="shared" si="140"/>
        <v>68100</v>
      </c>
      <c r="R81" s="76">
        <f t="shared" si="141"/>
        <v>41400</v>
      </c>
      <c r="S81" s="78">
        <f t="shared" si="147"/>
        <v>109500</v>
      </c>
      <c r="T81" s="75">
        <f t="shared" si="148"/>
        <v>68100</v>
      </c>
      <c r="U81" s="75">
        <f t="shared" si="149"/>
        <v>41400</v>
      </c>
      <c r="V81" s="75">
        <f t="shared" si="150"/>
        <v>109500</v>
      </c>
      <c r="W81" s="75">
        <f t="shared" si="142"/>
        <v>120991</v>
      </c>
      <c r="X81" s="75">
        <f t="shared" si="143"/>
        <v>73554</v>
      </c>
      <c r="Y81" s="75">
        <f t="shared" si="151"/>
        <v>194545</v>
      </c>
      <c r="Z81" s="228">
        <f t="shared" si="144"/>
        <v>0</v>
      </c>
      <c r="AA81" s="228">
        <f t="shared" si="145"/>
        <v>0</v>
      </c>
      <c r="AB81" s="193">
        <f t="shared" si="146"/>
        <v>0</v>
      </c>
    </row>
    <row r="82" spans="2:29">
      <c r="B82" s="152" t="s">
        <v>266</v>
      </c>
      <c r="C82" s="2" t="s">
        <v>267</v>
      </c>
      <c r="D82" s="151">
        <v>43790</v>
      </c>
      <c r="E82" s="169">
        <f t="shared" si="136"/>
        <v>44700</v>
      </c>
      <c r="F82" s="24" t="s">
        <v>107</v>
      </c>
      <c r="G82" s="34">
        <v>8.5925130000000003</v>
      </c>
      <c r="H82" s="24">
        <v>-10.641311</v>
      </c>
      <c r="I82" s="24">
        <v>543</v>
      </c>
      <c r="J82" s="24">
        <v>300</v>
      </c>
      <c r="K82" s="30" t="s">
        <v>108</v>
      </c>
      <c r="L82" s="145">
        <f t="shared" si="137"/>
        <v>227</v>
      </c>
      <c r="M82" s="170">
        <v>0</v>
      </c>
      <c r="N82" s="145">
        <f t="shared" si="138"/>
        <v>138</v>
      </c>
      <c r="O82" s="170">
        <v>0</v>
      </c>
      <c r="P82" s="170">
        <f t="shared" si="139"/>
        <v>0</v>
      </c>
      <c r="Q82" s="76">
        <f t="shared" si="140"/>
        <v>68100</v>
      </c>
      <c r="R82" s="76">
        <f t="shared" si="141"/>
        <v>41400</v>
      </c>
      <c r="S82" s="76">
        <f t="shared" si="147"/>
        <v>109500</v>
      </c>
      <c r="T82" s="75">
        <f>(L82+M82)*J82</f>
        <v>68100</v>
      </c>
      <c r="U82" s="75">
        <f>(N82+O82)*J82</f>
        <v>41400</v>
      </c>
      <c r="V82" s="75">
        <f>SUM(T82:U82)</f>
        <v>109500</v>
      </c>
      <c r="W82" s="75">
        <f t="shared" si="142"/>
        <v>123261</v>
      </c>
      <c r="X82" s="75">
        <f t="shared" si="143"/>
        <v>74934</v>
      </c>
      <c r="Y82" s="75">
        <f>SUM(W82:X82)</f>
        <v>198195</v>
      </c>
      <c r="Z82" s="228">
        <f t="shared" si="144"/>
        <v>0</v>
      </c>
      <c r="AA82" s="228">
        <f t="shared" si="145"/>
        <v>0</v>
      </c>
      <c r="AB82" s="193">
        <f t="shared" si="146"/>
        <v>0</v>
      </c>
    </row>
    <row r="83" spans="2:29">
      <c r="B83" s="147" t="s">
        <v>268</v>
      </c>
      <c r="C83" s="147" t="s">
        <v>269</v>
      </c>
      <c r="D83" s="141">
        <v>44002</v>
      </c>
      <c r="E83" s="169">
        <f t="shared" si="136"/>
        <v>44700</v>
      </c>
      <c r="F83" s="142" t="s">
        <v>123</v>
      </c>
      <c r="G83" s="142">
        <v>7.8540029999999996</v>
      </c>
      <c r="H83" s="142">
        <v>-11.2858</v>
      </c>
      <c r="I83" s="142">
        <v>481</v>
      </c>
      <c r="J83" s="145">
        <f t="shared" ref="J83:J90" si="152">IF(I83&gt;300, 300, I83)</f>
        <v>300</v>
      </c>
      <c r="K83" s="30" t="s">
        <v>108</v>
      </c>
      <c r="L83" s="145">
        <f t="shared" si="137"/>
        <v>227</v>
      </c>
      <c r="M83" s="170">
        <v>0</v>
      </c>
      <c r="N83" s="145">
        <f t="shared" si="138"/>
        <v>138</v>
      </c>
      <c r="O83" s="170">
        <v>0</v>
      </c>
      <c r="P83" s="170">
        <f t="shared" si="139"/>
        <v>0</v>
      </c>
      <c r="Q83" s="76">
        <f t="shared" si="140"/>
        <v>68100</v>
      </c>
      <c r="R83" s="76">
        <f t="shared" si="141"/>
        <v>41400</v>
      </c>
      <c r="S83" s="76">
        <f t="shared" si="147"/>
        <v>109500</v>
      </c>
      <c r="T83" s="75">
        <f>(L83+M83)*J83</f>
        <v>68100</v>
      </c>
      <c r="U83" s="75">
        <f>(N83+O83)*J83</f>
        <v>41400</v>
      </c>
      <c r="V83" s="75">
        <f>SUM(T83:U83)</f>
        <v>109500</v>
      </c>
      <c r="W83" s="75">
        <f t="shared" si="142"/>
        <v>109187</v>
      </c>
      <c r="X83" s="75">
        <f t="shared" si="143"/>
        <v>66378</v>
      </c>
      <c r="Y83" s="75">
        <f>SUM(W83:X83)</f>
        <v>175565</v>
      </c>
      <c r="Z83" s="228">
        <f t="shared" si="144"/>
        <v>0</v>
      </c>
      <c r="AA83" s="228">
        <f t="shared" si="145"/>
        <v>0</v>
      </c>
      <c r="AB83" s="193">
        <f t="shared" si="146"/>
        <v>0</v>
      </c>
    </row>
    <row r="84" spans="2:29">
      <c r="B84" s="147" t="s">
        <v>270</v>
      </c>
      <c r="C84" s="147" t="s">
        <v>271</v>
      </c>
      <c r="D84" s="141">
        <v>43991</v>
      </c>
      <c r="E84" s="169">
        <f t="shared" si="136"/>
        <v>44700</v>
      </c>
      <c r="F84" s="142" t="s">
        <v>159</v>
      </c>
      <c r="G84" s="142">
        <v>8.2817260000000008</v>
      </c>
      <c r="H84" s="142">
        <v>-10.372299999999999</v>
      </c>
      <c r="I84" s="142">
        <v>478</v>
      </c>
      <c r="J84" s="145">
        <f t="shared" si="152"/>
        <v>300</v>
      </c>
      <c r="K84" s="30" t="s">
        <v>108</v>
      </c>
      <c r="L84" s="145">
        <f t="shared" si="137"/>
        <v>170</v>
      </c>
      <c r="M84" s="170">
        <v>57</v>
      </c>
      <c r="N84" s="145">
        <f t="shared" si="138"/>
        <v>103</v>
      </c>
      <c r="O84" s="170">
        <v>35</v>
      </c>
      <c r="P84" s="170">
        <f t="shared" si="139"/>
        <v>92</v>
      </c>
      <c r="Q84" s="76">
        <f t="shared" si="140"/>
        <v>51000</v>
      </c>
      <c r="R84" s="76">
        <f t="shared" si="141"/>
        <v>30900</v>
      </c>
      <c r="S84" s="76">
        <f t="shared" si="147"/>
        <v>81900</v>
      </c>
      <c r="T84" s="75">
        <f t="shared" ref="T84:T90" si="153">(L84+M84)*J84</f>
        <v>68100</v>
      </c>
      <c r="U84" s="75">
        <f t="shared" ref="U84:U90" si="154">(N84+O84)*J84</f>
        <v>41400</v>
      </c>
      <c r="V84" s="75">
        <f t="shared" ref="V84:V90" si="155">SUM(T84:U84)</f>
        <v>109500</v>
      </c>
      <c r="W84" s="75">
        <f t="shared" si="142"/>
        <v>81260</v>
      </c>
      <c r="X84" s="75">
        <f t="shared" si="143"/>
        <v>49234</v>
      </c>
      <c r="Y84" s="75">
        <f t="shared" ref="Y84:Y90" si="156">SUM(W84:X84)</f>
        <v>130494</v>
      </c>
      <c r="Z84" s="228">
        <f t="shared" si="144"/>
        <v>0.25110132158590309</v>
      </c>
      <c r="AA84" s="228">
        <f t="shared" si="145"/>
        <v>0.25362318840579712</v>
      </c>
      <c r="AB84" s="193">
        <f t="shared" si="146"/>
        <v>0.25205479452054796</v>
      </c>
    </row>
    <row r="85" spans="2:29">
      <c r="B85" s="147" t="s">
        <v>272</v>
      </c>
      <c r="C85" s="147" t="s">
        <v>273</v>
      </c>
      <c r="D85" s="141">
        <v>43990</v>
      </c>
      <c r="E85" s="169">
        <f t="shared" si="136"/>
        <v>44700</v>
      </c>
      <c r="F85" s="142" t="s">
        <v>107</v>
      </c>
      <c r="G85" s="142">
        <v>8.2814709999999998</v>
      </c>
      <c r="H85" s="142">
        <v>-10.3704</v>
      </c>
      <c r="I85" s="142">
        <v>408</v>
      </c>
      <c r="J85" s="145">
        <f t="shared" si="152"/>
        <v>300</v>
      </c>
      <c r="K85" s="30" t="s">
        <v>108</v>
      </c>
      <c r="L85" s="145">
        <f t="shared" si="137"/>
        <v>227</v>
      </c>
      <c r="M85" s="170">
        <v>0</v>
      </c>
      <c r="N85" s="145">
        <f t="shared" si="138"/>
        <v>138</v>
      </c>
      <c r="O85" s="170">
        <v>0</v>
      </c>
      <c r="P85" s="170">
        <f t="shared" si="139"/>
        <v>0</v>
      </c>
      <c r="Q85" s="76">
        <f t="shared" si="140"/>
        <v>68100</v>
      </c>
      <c r="R85" s="76">
        <f t="shared" si="141"/>
        <v>41400</v>
      </c>
      <c r="S85" s="76">
        <f t="shared" si="147"/>
        <v>109500</v>
      </c>
      <c r="T85" s="75">
        <f t="shared" si="153"/>
        <v>68100</v>
      </c>
      <c r="U85" s="75">
        <f t="shared" si="154"/>
        <v>41400</v>
      </c>
      <c r="V85" s="75">
        <f t="shared" si="155"/>
        <v>109500</v>
      </c>
      <c r="W85" s="75">
        <f t="shared" si="142"/>
        <v>92616</v>
      </c>
      <c r="X85" s="75">
        <f t="shared" si="143"/>
        <v>56304</v>
      </c>
      <c r="Y85" s="75">
        <f t="shared" si="156"/>
        <v>148920</v>
      </c>
      <c r="Z85" s="228">
        <f t="shared" si="144"/>
        <v>0</v>
      </c>
      <c r="AA85" s="228">
        <f t="shared" si="145"/>
        <v>0</v>
      </c>
      <c r="AB85" s="193">
        <f t="shared" si="146"/>
        <v>0</v>
      </c>
    </row>
    <row r="86" spans="2:29">
      <c r="B86" s="147" t="s">
        <v>274</v>
      </c>
      <c r="C86" s="147" t="s">
        <v>275</v>
      </c>
      <c r="D86" s="141">
        <v>43991</v>
      </c>
      <c r="E86" s="169">
        <f t="shared" si="136"/>
        <v>44700</v>
      </c>
      <c r="F86" s="142" t="s">
        <v>159</v>
      </c>
      <c r="G86" s="142">
        <v>8.2819699999999994</v>
      </c>
      <c r="H86" s="142">
        <v>-10.372299999999999</v>
      </c>
      <c r="I86" s="142">
        <v>439</v>
      </c>
      <c r="J86" s="145">
        <f t="shared" si="152"/>
        <v>300</v>
      </c>
      <c r="K86" s="30" t="s">
        <v>108</v>
      </c>
      <c r="L86" s="145">
        <f t="shared" si="137"/>
        <v>170</v>
      </c>
      <c r="M86" s="170">
        <v>57</v>
      </c>
      <c r="N86" s="145">
        <f t="shared" si="138"/>
        <v>103</v>
      </c>
      <c r="O86" s="170">
        <v>35</v>
      </c>
      <c r="P86" s="170">
        <f t="shared" si="139"/>
        <v>92</v>
      </c>
      <c r="Q86" s="76">
        <f t="shared" si="140"/>
        <v>51000</v>
      </c>
      <c r="R86" s="76">
        <f t="shared" si="141"/>
        <v>30900</v>
      </c>
      <c r="S86" s="76">
        <f t="shared" si="147"/>
        <v>81900</v>
      </c>
      <c r="T86" s="75">
        <f t="shared" si="153"/>
        <v>68100</v>
      </c>
      <c r="U86" s="75">
        <f t="shared" si="154"/>
        <v>41400</v>
      </c>
      <c r="V86" s="75">
        <f t="shared" si="155"/>
        <v>109500</v>
      </c>
      <c r="W86" s="75">
        <f t="shared" si="142"/>
        <v>74630</v>
      </c>
      <c r="X86" s="75">
        <f t="shared" si="143"/>
        <v>45217</v>
      </c>
      <c r="Y86" s="75">
        <f t="shared" si="156"/>
        <v>119847</v>
      </c>
      <c r="Z86" s="228">
        <f t="shared" si="144"/>
        <v>0.25110132158590309</v>
      </c>
      <c r="AA86" s="228">
        <f t="shared" si="145"/>
        <v>0.25362318840579712</v>
      </c>
      <c r="AB86" s="193">
        <f t="shared" si="146"/>
        <v>0.25205479452054796</v>
      </c>
    </row>
    <row r="87" spans="2:29">
      <c r="B87" s="147" t="s">
        <v>276</v>
      </c>
      <c r="C87" s="147" t="s">
        <v>277</v>
      </c>
      <c r="D87" s="141">
        <v>43992</v>
      </c>
      <c r="E87" s="169">
        <f t="shared" si="136"/>
        <v>44700</v>
      </c>
      <c r="F87" s="142" t="s">
        <v>107</v>
      </c>
      <c r="G87" s="142">
        <v>8.4628099999999993</v>
      </c>
      <c r="H87" s="142">
        <v>-10.309699999999999</v>
      </c>
      <c r="I87" s="142">
        <v>414</v>
      </c>
      <c r="J87" s="145">
        <f t="shared" si="152"/>
        <v>300</v>
      </c>
      <c r="K87" s="30" t="s">
        <v>108</v>
      </c>
      <c r="L87" s="145">
        <f t="shared" si="137"/>
        <v>227</v>
      </c>
      <c r="M87" s="170">
        <v>0</v>
      </c>
      <c r="N87" s="145">
        <f t="shared" si="138"/>
        <v>138</v>
      </c>
      <c r="O87" s="170">
        <v>0</v>
      </c>
      <c r="P87" s="170">
        <f t="shared" si="139"/>
        <v>0</v>
      </c>
      <c r="Q87" s="76">
        <f t="shared" si="140"/>
        <v>68100</v>
      </c>
      <c r="R87" s="76">
        <f t="shared" si="141"/>
        <v>41400</v>
      </c>
      <c r="S87" s="76">
        <f t="shared" si="147"/>
        <v>109500</v>
      </c>
      <c r="T87" s="75">
        <f t="shared" si="153"/>
        <v>68100</v>
      </c>
      <c r="U87" s="75">
        <f t="shared" si="154"/>
        <v>41400</v>
      </c>
      <c r="V87" s="75">
        <f t="shared" si="155"/>
        <v>109500</v>
      </c>
      <c r="W87" s="75">
        <f t="shared" si="142"/>
        <v>93978</v>
      </c>
      <c r="X87" s="75">
        <f t="shared" si="143"/>
        <v>57132</v>
      </c>
      <c r="Y87" s="75">
        <f t="shared" si="156"/>
        <v>151110</v>
      </c>
      <c r="Z87" s="228">
        <f t="shared" si="144"/>
        <v>0</v>
      </c>
      <c r="AA87" s="228">
        <f t="shared" si="145"/>
        <v>0</v>
      </c>
      <c r="AB87" s="193">
        <f t="shared" si="146"/>
        <v>0</v>
      </c>
    </row>
    <row r="88" spans="2:29">
      <c r="B88" s="147" t="s">
        <v>278</v>
      </c>
      <c r="C88" s="147" t="s">
        <v>279</v>
      </c>
      <c r="D88" s="141">
        <v>43992</v>
      </c>
      <c r="E88" s="169">
        <f t="shared" si="136"/>
        <v>44700</v>
      </c>
      <c r="F88" s="142" t="s">
        <v>107</v>
      </c>
      <c r="G88" s="142">
        <v>8.4324560000000002</v>
      </c>
      <c r="H88" s="142">
        <v>-10.366899999999999</v>
      </c>
      <c r="I88" s="142">
        <v>498</v>
      </c>
      <c r="J88" s="145">
        <f t="shared" si="152"/>
        <v>300</v>
      </c>
      <c r="K88" s="30" t="s">
        <v>108</v>
      </c>
      <c r="L88" s="145">
        <f t="shared" si="137"/>
        <v>227</v>
      </c>
      <c r="M88" s="170">
        <v>0</v>
      </c>
      <c r="N88" s="145">
        <f t="shared" si="138"/>
        <v>138</v>
      </c>
      <c r="O88" s="170">
        <v>0</v>
      </c>
      <c r="P88" s="170">
        <f t="shared" si="139"/>
        <v>0</v>
      </c>
      <c r="Q88" s="76">
        <f t="shared" si="140"/>
        <v>68100</v>
      </c>
      <c r="R88" s="76">
        <f t="shared" si="141"/>
        <v>41400</v>
      </c>
      <c r="S88" s="76">
        <f t="shared" si="147"/>
        <v>109500</v>
      </c>
      <c r="T88" s="75">
        <f t="shared" si="153"/>
        <v>68100</v>
      </c>
      <c r="U88" s="75">
        <f t="shared" si="154"/>
        <v>41400</v>
      </c>
      <c r="V88" s="75">
        <f t="shared" si="155"/>
        <v>109500</v>
      </c>
      <c r="W88" s="75">
        <f t="shared" si="142"/>
        <v>113046</v>
      </c>
      <c r="X88" s="75">
        <f t="shared" si="143"/>
        <v>68724</v>
      </c>
      <c r="Y88" s="75">
        <f t="shared" si="156"/>
        <v>181770</v>
      </c>
      <c r="Z88" s="228">
        <f t="shared" si="144"/>
        <v>0</v>
      </c>
      <c r="AA88" s="228">
        <f t="shared" si="145"/>
        <v>0</v>
      </c>
      <c r="AB88" s="193">
        <f t="shared" si="146"/>
        <v>0</v>
      </c>
    </row>
    <row r="89" spans="2:29">
      <c r="B89" s="147" t="s">
        <v>280</v>
      </c>
      <c r="C89" s="147" t="s">
        <v>281</v>
      </c>
      <c r="D89" s="141">
        <v>43993</v>
      </c>
      <c r="E89" s="169">
        <f t="shared" si="136"/>
        <v>44700</v>
      </c>
      <c r="F89" s="142" t="s">
        <v>107</v>
      </c>
      <c r="G89" s="142">
        <v>8.4321649999999995</v>
      </c>
      <c r="H89" s="142">
        <v>-10.366400000000001</v>
      </c>
      <c r="I89" s="142">
        <v>428</v>
      </c>
      <c r="J89" s="145">
        <f t="shared" si="152"/>
        <v>300</v>
      </c>
      <c r="K89" s="30" t="s">
        <v>108</v>
      </c>
      <c r="L89" s="145">
        <f t="shared" si="137"/>
        <v>227</v>
      </c>
      <c r="M89" s="170">
        <v>0</v>
      </c>
      <c r="N89" s="145">
        <f t="shared" si="138"/>
        <v>138</v>
      </c>
      <c r="O89" s="170">
        <v>0</v>
      </c>
      <c r="P89" s="170">
        <f t="shared" si="139"/>
        <v>0</v>
      </c>
      <c r="Q89" s="76">
        <f t="shared" si="140"/>
        <v>68100</v>
      </c>
      <c r="R89" s="76">
        <f t="shared" si="141"/>
        <v>41400</v>
      </c>
      <c r="S89" s="76">
        <f t="shared" si="147"/>
        <v>109500</v>
      </c>
      <c r="T89" s="75">
        <f t="shared" si="153"/>
        <v>68100</v>
      </c>
      <c r="U89" s="75">
        <f t="shared" si="154"/>
        <v>41400</v>
      </c>
      <c r="V89" s="75">
        <f t="shared" si="155"/>
        <v>109500</v>
      </c>
      <c r="W89" s="75">
        <f t="shared" si="142"/>
        <v>97156</v>
      </c>
      <c r="X89" s="75">
        <f t="shared" si="143"/>
        <v>59064</v>
      </c>
      <c r="Y89" s="75">
        <f t="shared" si="156"/>
        <v>156220</v>
      </c>
      <c r="Z89" s="228">
        <f t="shared" si="144"/>
        <v>0</v>
      </c>
      <c r="AA89" s="228">
        <f t="shared" si="145"/>
        <v>0</v>
      </c>
      <c r="AB89" s="193">
        <f t="shared" si="146"/>
        <v>0</v>
      </c>
    </row>
    <row r="90" spans="2:29">
      <c r="B90" s="147" t="s">
        <v>282</v>
      </c>
      <c r="C90" s="147" t="s">
        <v>283</v>
      </c>
      <c r="D90" s="141">
        <v>43993</v>
      </c>
      <c r="E90" s="169">
        <f t="shared" si="136"/>
        <v>44700</v>
      </c>
      <c r="F90" s="142" t="s">
        <v>107</v>
      </c>
      <c r="G90" s="142">
        <v>8.4262099999999993</v>
      </c>
      <c r="H90" s="142">
        <v>-10.386900000000001</v>
      </c>
      <c r="I90" s="142">
        <v>547</v>
      </c>
      <c r="J90" s="145">
        <f t="shared" si="152"/>
        <v>300</v>
      </c>
      <c r="K90" s="24" t="s">
        <v>108</v>
      </c>
      <c r="L90" s="145">
        <f t="shared" si="137"/>
        <v>227</v>
      </c>
      <c r="M90" s="170">
        <v>0</v>
      </c>
      <c r="N90" s="145">
        <f t="shared" si="138"/>
        <v>138</v>
      </c>
      <c r="O90" s="170">
        <v>0</v>
      </c>
      <c r="P90" s="170">
        <f t="shared" si="139"/>
        <v>0</v>
      </c>
      <c r="Q90" s="76">
        <f t="shared" si="140"/>
        <v>68100</v>
      </c>
      <c r="R90" s="76">
        <f t="shared" si="141"/>
        <v>41400</v>
      </c>
      <c r="S90" s="76">
        <f t="shared" si="147"/>
        <v>109500</v>
      </c>
      <c r="T90" s="75">
        <f t="shared" si="153"/>
        <v>68100</v>
      </c>
      <c r="U90" s="75">
        <f t="shared" si="154"/>
        <v>41400</v>
      </c>
      <c r="V90" s="75">
        <f t="shared" si="155"/>
        <v>109500</v>
      </c>
      <c r="W90" s="75">
        <f t="shared" si="142"/>
        <v>124169</v>
      </c>
      <c r="X90" s="75">
        <f t="shared" si="143"/>
        <v>75486</v>
      </c>
      <c r="Y90" s="75">
        <f t="shared" si="156"/>
        <v>199655</v>
      </c>
      <c r="Z90" s="228">
        <f t="shared" si="144"/>
        <v>0</v>
      </c>
      <c r="AA90" s="228">
        <f t="shared" si="145"/>
        <v>0</v>
      </c>
      <c r="AB90" s="193">
        <f t="shared" si="146"/>
        <v>0</v>
      </c>
    </row>
    <row r="91" spans="2:29">
      <c r="B91" s="148">
        <f>COUNTA(B78:B90)</f>
        <v>13</v>
      </c>
      <c r="C91" s="86"/>
      <c r="D91" s="149"/>
      <c r="E91" s="149"/>
      <c r="F91" s="86"/>
      <c r="G91" s="86"/>
      <c r="H91" s="86"/>
      <c r="I91" s="87">
        <f>SUM(I78:I90)</f>
        <v>7156</v>
      </c>
      <c r="J91" s="87">
        <f>SUM(J78:J90)</f>
        <v>3900</v>
      </c>
      <c r="K91" s="86"/>
      <c r="L91" s="87">
        <f t="shared" ref="L91:Y91" si="157">SUM(L78:L90)</f>
        <v>2553</v>
      </c>
      <c r="M91" s="87">
        <f t="shared" si="157"/>
        <v>398</v>
      </c>
      <c r="N91" s="87">
        <f t="shared" si="157"/>
        <v>1551</v>
      </c>
      <c r="O91" s="87">
        <f t="shared" si="157"/>
        <v>243</v>
      </c>
      <c r="P91" s="87">
        <f t="shared" si="157"/>
        <v>641</v>
      </c>
      <c r="Q91" s="88">
        <f t="shared" si="157"/>
        <v>765900</v>
      </c>
      <c r="R91" s="88">
        <f t="shared" si="157"/>
        <v>465300</v>
      </c>
      <c r="S91" s="88">
        <f t="shared" si="157"/>
        <v>1231200</v>
      </c>
      <c r="T91" s="88">
        <f t="shared" si="157"/>
        <v>885300</v>
      </c>
      <c r="U91" s="88">
        <f t="shared" si="157"/>
        <v>538200</v>
      </c>
      <c r="V91" s="88">
        <f t="shared" si="157"/>
        <v>1423500</v>
      </c>
      <c r="W91" s="88">
        <f t="shared" si="157"/>
        <v>1340008</v>
      </c>
      <c r="X91" s="88">
        <f t="shared" si="157"/>
        <v>814036</v>
      </c>
      <c r="Y91" s="88">
        <f t="shared" si="157"/>
        <v>2154044</v>
      </c>
      <c r="Z91" s="223">
        <f>AVERAGE(Z78:Z90)</f>
        <v>0.13486953575059302</v>
      </c>
      <c r="AA91" s="223">
        <f>AVERAGE(AA78:AA90)</f>
        <v>0.1354515050167224</v>
      </c>
      <c r="AB91" s="223">
        <f>AVERAGE(AB78:AB90)</f>
        <v>0.1350895679662803</v>
      </c>
      <c r="AC91" s="186"/>
    </row>
    <row r="92" spans="2:29">
      <c r="B92" s="137" t="s">
        <v>284</v>
      </c>
      <c r="C92" s="138"/>
      <c r="D92" s="138"/>
      <c r="E92" s="138"/>
      <c r="F92" s="138"/>
      <c r="G92" s="84"/>
      <c r="H92" s="84"/>
      <c r="I92" s="138"/>
      <c r="J92" s="138"/>
      <c r="K92" s="138"/>
      <c r="L92" s="89"/>
      <c r="M92" s="89"/>
      <c r="N92" s="90"/>
      <c r="O92" s="90"/>
      <c r="P92" s="90"/>
      <c r="Q92" s="91"/>
      <c r="R92" s="92"/>
      <c r="S92" s="93"/>
      <c r="T92" s="93"/>
      <c r="U92" s="93"/>
      <c r="V92" s="93"/>
      <c r="W92" s="93"/>
      <c r="X92" s="93"/>
      <c r="Y92" s="93"/>
      <c r="Z92" s="93"/>
      <c r="AA92" s="93"/>
      <c r="AB92" s="192"/>
    </row>
    <row r="93" spans="2:29">
      <c r="B93" s="41" t="s">
        <v>285</v>
      </c>
      <c r="C93" s="139" t="s">
        <v>286</v>
      </c>
      <c r="D93" s="151">
        <v>43787</v>
      </c>
      <c r="E93" s="169">
        <f t="shared" ref="E93:E105" si="158">IF(LEFT(B93,2)="BO",D93+1,$AE$2)</f>
        <v>44700</v>
      </c>
      <c r="F93" s="24" t="s">
        <v>123</v>
      </c>
      <c r="G93" s="34">
        <v>7.9679887000000003</v>
      </c>
      <c r="H93" s="29">
        <v>-11.311707999999999</v>
      </c>
      <c r="I93" s="145">
        <v>773</v>
      </c>
      <c r="J93" s="145">
        <v>300</v>
      </c>
      <c r="K93" s="30" t="s">
        <v>108</v>
      </c>
      <c r="L93" s="145">
        <f t="shared" ref="L93:L105" si="159">$AE$4-$E93-M93+1</f>
        <v>227</v>
      </c>
      <c r="M93" s="170">
        <v>0</v>
      </c>
      <c r="N93" s="145">
        <f t="shared" ref="N93:N105" si="160">$AE$3-$AE$4-O93</f>
        <v>138</v>
      </c>
      <c r="O93" s="170">
        <v>0</v>
      </c>
      <c r="P93" s="170">
        <f t="shared" ref="P93:P105" si="161">M93+O93</f>
        <v>0</v>
      </c>
      <c r="Q93" s="78">
        <f t="shared" ref="Q93:Q105" si="162">L93*J93</f>
        <v>68100</v>
      </c>
      <c r="R93" s="78">
        <f t="shared" ref="R93:R105" si="163">N93*J93</f>
        <v>41400</v>
      </c>
      <c r="S93" s="78">
        <f>SUM(Q93:R93)</f>
        <v>109500</v>
      </c>
      <c r="T93" s="75">
        <f>(L93+M93)*J93</f>
        <v>68100</v>
      </c>
      <c r="U93" s="75">
        <f>(N93+O93)*J93</f>
        <v>41400</v>
      </c>
      <c r="V93" s="75">
        <f>SUM(T93:U93)</f>
        <v>109500</v>
      </c>
      <c r="W93" s="75">
        <f t="shared" ref="W93:W105" si="164">L93*I93</f>
        <v>175471</v>
      </c>
      <c r="X93" s="75">
        <f t="shared" ref="X93:X105" si="165">N93*I93</f>
        <v>106674</v>
      </c>
      <c r="Y93" s="75">
        <f>SUM(W93:X93)</f>
        <v>282145</v>
      </c>
      <c r="Z93" s="228">
        <f t="shared" ref="Z93:Z105" si="166">M93/SUM(L93:M93)</f>
        <v>0</v>
      </c>
      <c r="AA93" s="228">
        <f t="shared" ref="AA93:AA105" si="167">O93/SUM(N93:O93)</f>
        <v>0</v>
      </c>
      <c r="AB93" s="193">
        <f t="shared" ref="AB93:AB105" si="168">(M93+O93)/SUM(L93:O93)</f>
        <v>0</v>
      </c>
    </row>
    <row r="94" spans="2:29">
      <c r="B94" s="152" t="s">
        <v>287</v>
      </c>
      <c r="C94" s="2" t="s">
        <v>288</v>
      </c>
      <c r="D94" s="151">
        <v>43784</v>
      </c>
      <c r="E94" s="169">
        <f t="shared" si="158"/>
        <v>44700</v>
      </c>
      <c r="F94" s="24" t="s">
        <v>159</v>
      </c>
      <c r="G94" s="34">
        <v>8.6871550000000006</v>
      </c>
      <c r="H94" s="29">
        <v>-10.928291</v>
      </c>
      <c r="I94" s="24">
        <v>712</v>
      </c>
      <c r="J94" s="24">
        <v>300</v>
      </c>
      <c r="K94" s="30" t="s">
        <v>108</v>
      </c>
      <c r="L94" s="145">
        <f t="shared" si="159"/>
        <v>170</v>
      </c>
      <c r="M94" s="170">
        <v>57</v>
      </c>
      <c r="N94" s="145">
        <f t="shared" si="160"/>
        <v>103</v>
      </c>
      <c r="O94" s="170">
        <v>35</v>
      </c>
      <c r="P94" s="170">
        <f t="shared" si="161"/>
        <v>92</v>
      </c>
      <c r="Q94" s="78">
        <f t="shared" si="162"/>
        <v>51000</v>
      </c>
      <c r="R94" s="78">
        <f t="shared" si="163"/>
        <v>30900</v>
      </c>
      <c r="S94" s="76">
        <f t="shared" ref="S94:S105" si="169">SUM(Q94:R94)</f>
        <v>81900</v>
      </c>
      <c r="T94" s="75">
        <f t="shared" ref="T94" si="170">(L94+M94)*J94</f>
        <v>68100</v>
      </c>
      <c r="U94" s="75">
        <f t="shared" ref="U94" si="171">(N94+O94)*J94</f>
        <v>41400</v>
      </c>
      <c r="V94" s="75">
        <f t="shared" ref="V94" si="172">SUM(T94:U94)</f>
        <v>109500</v>
      </c>
      <c r="W94" s="75">
        <f t="shared" si="164"/>
        <v>121040</v>
      </c>
      <c r="X94" s="75">
        <f t="shared" si="165"/>
        <v>73336</v>
      </c>
      <c r="Y94" s="75">
        <f t="shared" ref="Y94" si="173">SUM(W94:X94)</f>
        <v>194376</v>
      </c>
      <c r="Z94" s="228">
        <f t="shared" si="166"/>
        <v>0.25110132158590309</v>
      </c>
      <c r="AA94" s="228">
        <f t="shared" si="167"/>
        <v>0.25362318840579712</v>
      </c>
      <c r="AB94" s="193">
        <f t="shared" si="168"/>
        <v>0.25205479452054796</v>
      </c>
    </row>
    <row r="95" spans="2:29">
      <c r="B95" s="41" t="s">
        <v>289</v>
      </c>
      <c r="C95" s="139" t="s">
        <v>198</v>
      </c>
      <c r="D95" s="151">
        <v>43788</v>
      </c>
      <c r="E95" s="169">
        <f t="shared" si="158"/>
        <v>44700</v>
      </c>
      <c r="F95" s="24" t="s">
        <v>123</v>
      </c>
      <c r="G95" s="34">
        <v>7.881488</v>
      </c>
      <c r="H95" s="29">
        <v>-11.345285000000001</v>
      </c>
      <c r="I95" s="24">
        <v>703</v>
      </c>
      <c r="J95" s="24">
        <v>300</v>
      </c>
      <c r="K95" s="30" t="s">
        <v>108</v>
      </c>
      <c r="L95" s="145">
        <f t="shared" si="159"/>
        <v>227</v>
      </c>
      <c r="M95" s="170">
        <v>0</v>
      </c>
      <c r="N95" s="145">
        <f t="shared" si="160"/>
        <v>138</v>
      </c>
      <c r="O95" s="170">
        <v>0</v>
      </c>
      <c r="P95" s="170">
        <f t="shared" si="161"/>
        <v>0</v>
      </c>
      <c r="Q95" s="78">
        <f t="shared" si="162"/>
        <v>68100</v>
      </c>
      <c r="R95" s="78">
        <f t="shared" si="163"/>
        <v>41400</v>
      </c>
      <c r="S95" s="78">
        <f t="shared" si="169"/>
        <v>109500</v>
      </c>
      <c r="T95" s="75">
        <f>(L95+M95)*J95</f>
        <v>68100</v>
      </c>
      <c r="U95" s="75">
        <f>(N95+O95)*J95</f>
        <v>41400</v>
      </c>
      <c r="V95" s="75">
        <f>SUM(T95:U95)</f>
        <v>109500</v>
      </c>
      <c r="W95" s="75">
        <f t="shared" si="164"/>
        <v>159581</v>
      </c>
      <c r="X95" s="75">
        <f t="shared" si="165"/>
        <v>97014</v>
      </c>
      <c r="Y95" s="75">
        <f>SUM(W95:X95)</f>
        <v>256595</v>
      </c>
      <c r="Z95" s="228">
        <f t="shared" si="166"/>
        <v>0</v>
      </c>
      <c r="AA95" s="228">
        <f t="shared" si="167"/>
        <v>0</v>
      </c>
      <c r="AB95" s="193">
        <f t="shared" si="168"/>
        <v>0</v>
      </c>
    </row>
    <row r="96" spans="2:29">
      <c r="B96" s="41" t="s">
        <v>290</v>
      </c>
      <c r="C96" s="139" t="s">
        <v>291</v>
      </c>
      <c r="D96" s="151">
        <v>43789</v>
      </c>
      <c r="E96" s="169">
        <f t="shared" si="158"/>
        <v>44700</v>
      </c>
      <c r="F96" s="24" t="s">
        <v>123</v>
      </c>
      <c r="G96" s="34">
        <v>7.8726165999999997</v>
      </c>
      <c r="H96" s="29">
        <v>-11.345789999999999</v>
      </c>
      <c r="I96" s="24">
        <v>643</v>
      </c>
      <c r="J96" s="24">
        <v>300</v>
      </c>
      <c r="K96" s="30" t="s">
        <v>108</v>
      </c>
      <c r="L96" s="145">
        <f t="shared" si="159"/>
        <v>227</v>
      </c>
      <c r="M96" s="170">
        <v>0</v>
      </c>
      <c r="N96" s="145">
        <f t="shared" si="160"/>
        <v>138</v>
      </c>
      <c r="O96" s="170">
        <v>0</v>
      </c>
      <c r="P96" s="170">
        <f t="shared" si="161"/>
        <v>0</v>
      </c>
      <c r="Q96" s="78">
        <f t="shared" si="162"/>
        <v>68100</v>
      </c>
      <c r="R96" s="78">
        <f t="shared" si="163"/>
        <v>41400</v>
      </c>
      <c r="S96" s="78">
        <f t="shared" si="169"/>
        <v>109500</v>
      </c>
      <c r="T96" s="75">
        <f t="shared" ref="T96:T97" si="174">(L96+M96)*J96</f>
        <v>68100</v>
      </c>
      <c r="U96" s="75">
        <f t="shared" ref="U96:U97" si="175">(N96+O96)*J96</f>
        <v>41400</v>
      </c>
      <c r="V96" s="75">
        <f t="shared" ref="V96:V97" si="176">SUM(T96:U96)</f>
        <v>109500</v>
      </c>
      <c r="W96" s="75">
        <f t="shared" si="164"/>
        <v>145961</v>
      </c>
      <c r="X96" s="75">
        <f t="shared" si="165"/>
        <v>88734</v>
      </c>
      <c r="Y96" s="75">
        <f t="shared" ref="Y96:Y97" si="177">SUM(W96:X96)</f>
        <v>234695</v>
      </c>
      <c r="Z96" s="228">
        <f t="shared" si="166"/>
        <v>0</v>
      </c>
      <c r="AA96" s="228">
        <f t="shared" si="167"/>
        <v>0</v>
      </c>
      <c r="AB96" s="193">
        <f t="shared" si="168"/>
        <v>0</v>
      </c>
    </row>
    <row r="97" spans="2:30">
      <c r="B97" s="152" t="s">
        <v>292</v>
      </c>
      <c r="C97" s="2" t="s">
        <v>293</v>
      </c>
      <c r="D97" s="151">
        <v>43782</v>
      </c>
      <c r="E97" s="169">
        <f t="shared" si="158"/>
        <v>44700</v>
      </c>
      <c r="F97" s="24" t="s">
        <v>107</v>
      </c>
      <c r="G97" s="34">
        <v>8.5962549999999993</v>
      </c>
      <c r="H97" s="29">
        <v>-10.590665</v>
      </c>
      <c r="I97" s="24">
        <v>634</v>
      </c>
      <c r="J97" s="24">
        <v>300</v>
      </c>
      <c r="K97" s="30" t="s">
        <v>108</v>
      </c>
      <c r="L97" s="145">
        <f t="shared" si="159"/>
        <v>170</v>
      </c>
      <c r="M97" s="170">
        <v>57</v>
      </c>
      <c r="N97" s="145">
        <f t="shared" si="160"/>
        <v>103</v>
      </c>
      <c r="O97" s="170">
        <v>35</v>
      </c>
      <c r="P97" s="170">
        <f t="shared" si="161"/>
        <v>92</v>
      </c>
      <c r="Q97" s="78">
        <f t="shared" si="162"/>
        <v>51000</v>
      </c>
      <c r="R97" s="78">
        <f t="shared" si="163"/>
        <v>30900</v>
      </c>
      <c r="S97" s="76">
        <f t="shared" si="169"/>
        <v>81900</v>
      </c>
      <c r="T97" s="75">
        <f t="shared" si="174"/>
        <v>68100</v>
      </c>
      <c r="U97" s="75">
        <f t="shared" si="175"/>
        <v>41400</v>
      </c>
      <c r="V97" s="75">
        <f t="shared" si="176"/>
        <v>109500</v>
      </c>
      <c r="W97" s="75">
        <f t="shared" si="164"/>
        <v>107780</v>
      </c>
      <c r="X97" s="75">
        <f t="shared" si="165"/>
        <v>65302</v>
      </c>
      <c r="Y97" s="75">
        <f t="shared" si="177"/>
        <v>173082</v>
      </c>
      <c r="Z97" s="228">
        <f t="shared" si="166"/>
        <v>0.25110132158590309</v>
      </c>
      <c r="AA97" s="228">
        <f t="shared" si="167"/>
        <v>0.25362318840579712</v>
      </c>
      <c r="AB97" s="193">
        <f t="shared" si="168"/>
        <v>0.25205479452054796</v>
      </c>
    </row>
    <row r="98" spans="2:30">
      <c r="B98" s="147" t="s">
        <v>294</v>
      </c>
      <c r="C98" s="147" t="s">
        <v>295</v>
      </c>
      <c r="D98" s="141">
        <v>43998</v>
      </c>
      <c r="E98" s="169">
        <f t="shared" si="158"/>
        <v>44700</v>
      </c>
      <c r="F98" s="142" t="s">
        <v>107</v>
      </c>
      <c r="G98" s="142">
        <v>8.2985950000000006</v>
      </c>
      <c r="H98" s="142">
        <v>-10.460100000000001</v>
      </c>
      <c r="I98" s="142">
        <v>525</v>
      </c>
      <c r="J98" s="145">
        <f t="shared" ref="J98:J105" si="178">IF(I98&gt;300, 300, I98)</f>
        <v>300</v>
      </c>
      <c r="K98" s="30" t="s">
        <v>108</v>
      </c>
      <c r="L98" s="145">
        <f t="shared" si="159"/>
        <v>227</v>
      </c>
      <c r="M98" s="170">
        <v>0</v>
      </c>
      <c r="N98" s="145">
        <f t="shared" si="160"/>
        <v>138</v>
      </c>
      <c r="O98" s="170">
        <v>0</v>
      </c>
      <c r="P98" s="170">
        <f t="shared" si="161"/>
        <v>0</v>
      </c>
      <c r="Q98" s="76">
        <f t="shared" si="162"/>
        <v>68100</v>
      </c>
      <c r="R98" s="76">
        <f t="shared" si="163"/>
        <v>41400</v>
      </c>
      <c r="S98" s="76">
        <f t="shared" si="169"/>
        <v>109500</v>
      </c>
      <c r="T98" s="75">
        <f>(L98+M98)*J98</f>
        <v>68100</v>
      </c>
      <c r="U98" s="75">
        <f>(N98+O98)*J98</f>
        <v>41400</v>
      </c>
      <c r="V98" s="75">
        <f>SUM(T98:U98)</f>
        <v>109500</v>
      </c>
      <c r="W98" s="75">
        <f t="shared" si="164"/>
        <v>119175</v>
      </c>
      <c r="X98" s="75">
        <f t="shared" si="165"/>
        <v>72450</v>
      </c>
      <c r="Y98" s="75">
        <f>SUM(W98:X98)</f>
        <v>191625</v>
      </c>
      <c r="Z98" s="228">
        <f t="shared" si="166"/>
        <v>0</v>
      </c>
      <c r="AA98" s="228">
        <f t="shared" si="167"/>
        <v>0</v>
      </c>
      <c r="AB98" s="193">
        <f t="shared" si="168"/>
        <v>0</v>
      </c>
    </row>
    <row r="99" spans="2:30">
      <c r="B99" s="147" t="s">
        <v>296</v>
      </c>
      <c r="C99" s="147" t="s">
        <v>297</v>
      </c>
      <c r="D99" s="141">
        <v>43998</v>
      </c>
      <c r="E99" s="169">
        <f t="shared" si="158"/>
        <v>44700</v>
      </c>
      <c r="F99" s="142" t="s">
        <v>107</v>
      </c>
      <c r="G99" s="142">
        <v>8.3004479999999994</v>
      </c>
      <c r="H99" s="142">
        <v>-10.460800000000001</v>
      </c>
      <c r="I99" s="142">
        <v>469</v>
      </c>
      <c r="J99" s="145">
        <f t="shared" si="178"/>
        <v>300</v>
      </c>
      <c r="K99" s="30" t="s">
        <v>108</v>
      </c>
      <c r="L99" s="145">
        <f t="shared" si="159"/>
        <v>227</v>
      </c>
      <c r="M99" s="170">
        <v>0</v>
      </c>
      <c r="N99" s="145">
        <f t="shared" si="160"/>
        <v>138</v>
      </c>
      <c r="O99" s="170">
        <v>0</v>
      </c>
      <c r="P99" s="170">
        <f t="shared" si="161"/>
        <v>0</v>
      </c>
      <c r="Q99" s="76">
        <f t="shared" si="162"/>
        <v>68100</v>
      </c>
      <c r="R99" s="76">
        <f t="shared" si="163"/>
        <v>41400</v>
      </c>
      <c r="S99" s="76">
        <f t="shared" si="169"/>
        <v>109500</v>
      </c>
      <c r="T99" s="75">
        <f t="shared" ref="T99:T105" si="179">(L99+M99)*J99</f>
        <v>68100</v>
      </c>
      <c r="U99" s="75">
        <f t="shared" ref="U99:U105" si="180">(N99+O99)*J99</f>
        <v>41400</v>
      </c>
      <c r="V99" s="75">
        <f t="shared" ref="V99:V105" si="181">SUM(T99:U99)</f>
        <v>109500</v>
      </c>
      <c r="W99" s="75">
        <f t="shared" si="164"/>
        <v>106463</v>
      </c>
      <c r="X99" s="75">
        <f t="shared" si="165"/>
        <v>64722</v>
      </c>
      <c r="Y99" s="75">
        <f t="shared" ref="Y99:Y105" si="182">SUM(W99:X99)</f>
        <v>171185</v>
      </c>
      <c r="Z99" s="228">
        <f t="shared" si="166"/>
        <v>0</v>
      </c>
      <c r="AA99" s="228">
        <f t="shared" si="167"/>
        <v>0</v>
      </c>
      <c r="AB99" s="193">
        <f t="shared" si="168"/>
        <v>0</v>
      </c>
    </row>
    <row r="100" spans="2:30">
      <c r="B100" s="147" t="s">
        <v>298</v>
      </c>
      <c r="C100" s="147" t="s">
        <v>299</v>
      </c>
      <c r="D100" s="141">
        <v>43990</v>
      </c>
      <c r="E100" s="169">
        <f t="shared" si="158"/>
        <v>44700</v>
      </c>
      <c r="F100" s="142" t="s">
        <v>159</v>
      </c>
      <c r="G100" s="142">
        <v>8.2818550000000002</v>
      </c>
      <c r="H100" s="142">
        <v>-10.3711</v>
      </c>
      <c r="I100" s="142">
        <v>423</v>
      </c>
      <c r="J100" s="145">
        <f t="shared" si="178"/>
        <v>300</v>
      </c>
      <c r="K100" s="30" t="s">
        <v>108</v>
      </c>
      <c r="L100" s="145">
        <f t="shared" si="159"/>
        <v>227</v>
      </c>
      <c r="M100" s="170">
        <v>0</v>
      </c>
      <c r="N100" s="145">
        <f t="shared" si="160"/>
        <v>138</v>
      </c>
      <c r="O100" s="170">
        <v>0</v>
      </c>
      <c r="P100" s="170">
        <f t="shared" si="161"/>
        <v>0</v>
      </c>
      <c r="Q100" s="76">
        <f t="shared" si="162"/>
        <v>68100</v>
      </c>
      <c r="R100" s="76">
        <f t="shared" si="163"/>
        <v>41400</v>
      </c>
      <c r="S100" s="76">
        <f t="shared" si="169"/>
        <v>109500</v>
      </c>
      <c r="T100" s="75">
        <f t="shared" si="179"/>
        <v>68100</v>
      </c>
      <c r="U100" s="75">
        <f t="shared" si="180"/>
        <v>41400</v>
      </c>
      <c r="V100" s="75">
        <f t="shared" si="181"/>
        <v>109500</v>
      </c>
      <c r="W100" s="75">
        <f t="shared" si="164"/>
        <v>96021</v>
      </c>
      <c r="X100" s="75">
        <f t="shared" si="165"/>
        <v>58374</v>
      </c>
      <c r="Y100" s="75">
        <f t="shared" si="182"/>
        <v>154395</v>
      </c>
      <c r="Z100" s="228">
        <f t="shared" si="166"/>
        <v>0</v>
      </c>
      <c r="AA100" s="228">
        <f t="shared" si="167"/>
        <v>0</v>
      </c>
      <c r="AB100" s="193">
        <f t="shared" si="168"/>
        <v>0</v>
      </c>
    </row>
    <row r="101" spans="2:30">
      <c r="B101" s="147" t="s">
        <v>300</v>
      </c>
      <c r="C101" s="147" t="s">
        <v>301</v>
      </c>
      <c r="D101" s="141">
        <v>43997</v>
      </c>
      <c r="E101" s="169">
        <f t="shared" si="158"/>
        <v>44700</v>
      </c>
      <c r="F101" s="142" t="s">
        <v>107</v>
      </c>
      <c r="G101" s="142">
        <v>8.2978660000000009</v>
      </c>
      <c r="H101" s="142">
        <v>-10.461959999999999</v>
      </c>
      <c r="I101" s="142">
        <v>514</v>
      </c>
      <c r="J101" s="145">
        <f t="shared" si="178"/>
        <v>300</v>
      </c>
      <c r="K101" s="30" t="s">
        <v>108</v>
      </c>
      <c r="L101" s="145">
        <f t="shared" si="159"/>
        <v>227</v>
      </c>
      <c r="M101" s="170">
        <v>0</v>
      </c>
      <c r="N101" s="145">
        <f t="shared" si="160"/>
        <v>138</v>
      </c>
      <c r="O101" s="170">
        <v>0</v>
      </c>
      <c r="P101" s="170">
        <f t="shared" si="161"/>
        <v>0</v>
      </c>
      <c r="Q101" s="76">
        <f t="shared" si="162"/>
        <v>68100</v>
      </c>
      <c r="R101" s="76">
        <f t="shared" si="163"/>
        <v>41400</v>
      </c>
      <c r="S101" s="76">
        <f t="shared" si="169"/>
        <v>109500</v>
      </c>
      <c r="T101" s="75">
        <f t="shared" si="179"/>
        <v>68100</v>
      </c>
      <c r="U101" s="75">
        <f t="shared" si="180"/>
        <v>41400</v>
      </c>
      <c r="V101" s="75">
        <f t="shared" si="181"/>
        <v>109500</v>
      </c>
      <c r="W101" s="75">
        <f t="shared" si="164"/>
        <v>116678</v>
      </c>
      <c r="X101" s="75">
        <f t="shared" si="165"/>
        <v>70932</v>
      </c>
      <c r="Y101" s="75">
        <f t="shared" si="182"/>
        <v>187610</v>
      </c>
      <c r="Z101" s="228">
        <f t="shared" si="166"/>
        <v>0</v>
      </c>
      <c r="AA101" s="228">
        <f t="shared" si="167"/>
        <v>0</v>
      </c>
      <c r="AB101" s="193">
        <f t="shared" si="168"/>
        <v>0</v>
      </c>
    </row>
    <row r="102" spans="2:30">
      <c r="B102" s="147" t="s">
        <v>302</v>
      </c>
      <c r="C102" s="147" t="s">
        <v>303</v>
      </c>
      <c r="D102" s="141">
        <v>43997</v>
      </c>
      <c r="E102" s="169">
        <f t="shared" si="158"/>
        <v>44700</v>
      </c>
      <c r="F102" s="142" t="s">
        <v>107</v>
      </c>
      <c r="G102" s="142">
        <v>8.2965309999999999</v>
      </c>
      <c r="H102" s="142">
        <v>-10.463900000000001</v>
      </c>
      <c r="I102" s="142">
        <v>492</v>
      </c>
      <c r="J102" s="145">
        <f t="shared" si="178"/>
        <v>300</v>
      </c>
      <c r="K102" s="30" t="s">
        <v>108</v>
      </c>
      <c r="L102" s="145">
        <f t="shared" si="159"/>
        <v>170</v>
      </c>
      <c r="M102" s="170">
        <v>57</v>
      </c>
      <c r="N102" s="145">
        <f t="shared" si="160"/>
        <v>103</v>
      </c>
      <c r="O102" s="170">
        <v>35</v>
      </c>
      <c r="P102" s="170">
        <f t="shared" si="161"/>
        <v>92</v>
      </c>
      <c r="Q102" s="76">
        <f t="shared" si="162"/>
        <v>51000</v>
      </c>
      <c r="R102" s="76">
        <f t="shared" si="163"/>
        <v>30900</v>
      </c>
      <c r="S102" s="76">
        <f t="shared" si="169"/>
        <v>81900</v>
      </c>
      <c r="T102" s="75">
        <f t="shared" si="179"/>
        <v>68100</v>
      </c>
      <c r="U102" s="75">
        <f t="shared" si="180"/>
        <v>41400</v>
      </c>
      <c r="V102" s="75">
        <f t="shared" si="181"/>
        <v>109500</v>
      </c>
      <c r="W102" s="75">
        <f t="shared" si="164"/>
        <v>83640</v>
      </c>
      <c r="X102" s="75">
        <f t="shared" si="165"/>
        <v>50676</v>
      </c>
      <c r="Y102" s="75">
        <f t="shared" si="182"/>
        <v>134316</v>
      </c>
      <c r="Z102" s="228">
        <f t="shared" si="166"/>
        <v>0.25110132158590309</v>
      </c>
      <c r="AA102" s="228">
        <f t="shared" si="167"/>
        <v>0.25362318840579712</v>
      </c>
      <c r="AB102" s="193">
        <f t="shared" si="168"/>
        <v>0.25205479452054796</v>
      </c>
      <c r="AD102" s="40"/>
    </row>
    <row r="103" spans="2:30">
      <c r="B103" s="147" t="s">
        <v>304</v>
      </c>
      <c r="C103" s="147" t="s">
        <v>305</v>
      </c>
      <c r="D103" s="141">
        <v>43996</v>
      </c>
      <c r="E103" s="169">
        <f t="shared" si="158"/>
        <v>44700</v>
      </c>
      <c r="F103" s="142" t="s">
        <v>107</v>
      </c>
      <c r="G103" s="142">
        <v>8.2517879999999995</v>
      </c>
      <c r="H103" s="142">
        <v>-10.52496</v>
      </c>
      <c r="I103" s="142">
        <v>470</v>
      </c>
      <c r="J103" s="145">
        <f t="shared" si="178"/>
        <v>300</v>
      </c>
      <c r="K103" s="30" t="s">
        <v>108</v>
      </c>
      <c r="L103" s="145">
        <f t="shared" si="159"/>
        <v>170</v>
      </c>
      <c r="M103" s="170">
        <v>57</v>
      </c>
      <c r="N103" s="145">
        <f t="shared" si="160"/>
        <v>103</v>
      </c>
      <c r="O103" s="170">
        <v>35</v>
      </c>
      <c r="P103" s="170">
        <f t="shared" si="161"/>
        <v>92</v>
      </c>
      <c r="Q103" s="76">
        <f t="shared" si="162"/>
        <v>51000</v>
      </c>
      <c r="R103" s="76">
        <f t="shared" si="163"/>
        <v>30900</v>
      </c>
      <c r="S103" s="78">
        <f t="shared" si="169"/>
        <v>81900</v>
      </c>
      <c r="T103" s="75">
        <f t="shared" si="179"/>
        <v>68100</v>
      </c>
      <c r="U103" s="75">
        <f t="shared" si="180"/>
        <v>41400</v>
      </c>
      <c r="V103" s="75">
        <f t="shared" si="181"/>
        <v>109500</v>
      </c>
      <c r="W103" s="75">
        <f t="shared" si="164"/>
        <v>79900</v>
      </c>
      <c r="X103" s="75">
        <f t="shared" si="165"/>
        <v>48410</v>
      </c>
      <c r="Y103" s="75">
        <f t="shared" si="182"/>
        <v>128310</v>
      </c>
      <c r="Z103" s="228">
        <f t="shared" si="166"/>
        <v>0.25110132158590309</v>
      </c>
      <c r="AA103" s="228">
        <f t="shared" si="167"/>
        <v>0.25362318840579712</v>
      </c>
      <c r="AB103" s="193">
        <f t="shared" si="168"/>
        <v>0.25205479452054796</v>
      </c>
      <c r="AC103" s="40"/>
    </row>
    <row r="104" spans="2:30">
      <c r="B104" s="147" t="s">
        <v>306</v>
      </c>
      <c r="C104" s="147" t="s">
        <v>307</v>
      </c>
      <c r="D104" s="141">
        <v>43996</v>
      </c>
      <c r="E104" s="169">
        <f t="shared" si="158"/>
        <v>44700</v>
      </c>
      <c r="F104" s="142" t="s">
        <v>107</v>
      </c>
      <c r="G104" s="142">
        <v>8.2768680000000003</v>
      </c>
      <c r="H104" s="142">
        <v>-10.567729999999999</v>
      </c>
      <c r="I104" s="142">
        <v>496</v>
      </c>
      <c r="J104" s="145">
        <f t="shared" si="178"/>
        <v>300</v>
      </c>
      <c r="K104" s="30" t="s">
        <v>108</v>
      </c>
      <c r="L104" s="145">
        <f t="shared" si="159"/>
        <v>170</v>
      </c>
      <c r="M104" s="170">
        <v>57</v>
      </c>
      <c r="N104" s="145">
        <f t="shared" si="160"/>
        <v>103</v>
      </c>
      <c r="O104" s="170">
        <v>35</v>
      </c>
      <c r="P104" s="170">
        <f t="shared" si="161"/>
        <v>92</v>
      </c>
      <c r="Q104" s="76">
        <f t="shared" si="162"/>
        <v>51000</v>
      </c>
      <c r="R104" s="76">
        <f t="shared" si="163"/>
        <v>30900</v>
      </c>
      <c r="S104" s="78">
        <f t="shared" si="169"/>
        <v>81900</v>
      </c>
      <c r="T104" s="75">
        <f t="shared" si="179"/>
        <v>68100</v>
      </c>
      <c r="U104" s="75">
        <f t="shared" si="180"/>
        <v>41400</v>
      </c>
      <c r="V104" s="75">
        <f t="shared" si="181"/>
        <v>109500</v>
      </c>
      <c r="W104" s="75">
        <f t="shared" si="164"/>
        <v>84320</v>
      </c>
      <c r="X104" s="75">
        <f t="shared" si="165"/>
        <v>51088</v>
      </c>
      <c r="Y104" s="75">
        <f t="shared" si="182"/>
        <v>135408</v>
      </c>
      <c r="Z104" s="228">
        <f t="shared" si="166"/>
        <v>0.25110132158590309</v>
      </c>
      <c r="AA104" s="228">
        <f t="shared" si="167"/>
        <v>0.25362318840579712</v>
      </c>
      <c r="AB104" s="193">
        <f t="shared" si="168"/>
        <v>0.25205479452054796</v>
      </c>
    </row>
    <row r="105" spans="2:30">
      <c r="B105" s="147" t="s">
        <v>308</v>
      </c>
      <c r="C105" s="147" t="s">
        <v>309</v>
      </c>
      <c r="D105" s="141">
        <v>43996</v>
      </c>
      <c r="E105" s="169">
        <f t="shared" si="158"/>
        <v>44700</v>
      </c>
      <c r="F105" s="142" t="s">
        <v>107</v>
      </c>
      <c r="G105" s="142">
        <v>8.274025</v>
      </c>
      <c r="H105" s="142">
        <v>-10.57512</v>
      </c>
      <c r="I105" s="142">
        <v>474</v>
      </c>
      <c r="J105" s="145">
        <f t="shared" si="178"/>
        <v>300</v>
      </c>
      <c r="K105" s="24" t="s">
        <v>108</v>
      </c>
      <c r="L105" s="145">
        <f t="shared" si="159"/>
        <v>170</v>
      </c>
      <c r="M105" s="170">
        <v>57</v>
      </c>
      <c r="N105" s="145">
        <f t="shared" si="160"/>
        <v>103</v>
      </c>
      <c r="O105" s="170">
        <v>35</v>
      </c>
      <c r="P105" s="170">
        <f t="shared" si="161"/>
        <v>92</v>
      </c>
      <c r="Q105" s="76">
        <f t="shared" si="162"/>
        <v>51000</v>
      </c>
      <c r="R105" s="76">
        <f t="shared" si="163"/>
        <v>30900</v>
      </c>
      <c r="S105" s="78">
        <f t="shared" si="169"/>
        <v>81900</v>
      </c>
      <c r="T105" s="75">
        <f t="shared" si="179"/>
        <v>68100</v>
      </c>
      <c r="U105" s="75">
        <f t="shared" si="180"/>
        <v>41400</v>
      </c>
      <c r="V105" s="75">
        <f t="shared" si="181"/>
        <v>109500</v>
      </c>
      <c r="W105" s="75">
        <f t="shared" si="164"/>
        <v>80580</v>
      </c>
      <c r="X105" s="75">
        <f t="shared" si="165"/>
        <v>48822</v>
      </c>
      <c r="Y105" s="75">
        <f t="shared" si="182"/>
        <v>129402</v>
      </c>
      <c r="Z105" s="228">
        <f t="shared" si="166"/>
        <v>0.25110132158590309</v>
      </c>
      <c r="AA105" s="228">
        <f t="shared" si="167"/>
        <v>0.25362318840579712</v>
      </c>
      <c r="AB105" s="193">
        <f t="shared" si="168"/>
        <v>0.25205479452054796</v>
      </c>
    </row>
    <row r="106" spans="2:30">
      <c r="B106" s="148">
        <f>COUNTA(B93:B105)</f>
        <v>13</v>
      </c>
      <c r="C106" s="149"/>
      <c r="D106" s="149"/>
      <c r="E106" s="149"/>
      <c r="F106" s="86"/>
      <c r="G106" s="86"/>
      <c r="H106" s="86"/>
      <c r="I106" s="87">
        <f>SUM(I93:I105)</f>
        <v>7328</v>
      </c>
      <c r="J106" s="87">
        <f>SUM(J93:J105)</f>
        <v>3900</v>
      </c>
      <c r="K106" s="86"/>
      <c r="L106" s="87">
        <f t="shared" ref="L106:Y106" si="183">SUM(L93:L105)</f>
        <v>2609</v>
      </c>
      <c r="M106" s="87">
        <f t="shared" si="183"/>
        <v>342</v>
      </c>
      <c r="N106" s="87">
        <f t="shared" si="183"/>
        <v>1584</v>
      </c>
      <c r="O106" s="87">
        <f t="shared" si="183"/>
        <v>210</v>
      </c>
      <c r="P106" s="87">
        <f t="shared" si="183"/>
        <v>552</v>
      </c>
      <c r="Q106" s="88">
        <f t="shared" si="183"/>
        <v>782700</v>
      </c>
      <c r="R106" s="88">
        <f t="shared" si="183"/>
        <v>475200</v>
      </c>
      <c r="S106" s="88">
        <f t="shared" si="183"/>
        <v>1257900</v>
      </c>
      <c r="T106" s="88">
        <f t="shared" si="183"/>
        <v>885300</v>
      </c>
      <c r="U106" s="88">
        <f t="shared" si="183"/>
        <v>538200</v>
      </c>
      <c r="V106" s="88">
        <f t="shared" si="183"/>
        <v>1423500</v>
      </c>
      <c r="W106" s="88">
        <f t="shared" si="183"/>
        <v>1476610</v>
      </c>
      <c r="X106" s="88">
        <f t="shared" si="183"/>
        <v>896534</v>
      </c>
      <c r="Y106" s="88">
        <f t="shared" si="183"/>
        <v>2373144</v>
      </c>
      <c r="Z106" s="223">
        <f t="shared" ref="Z106:AA106" si="184">AVERAGE(Z93:Z105)</f>
        <v>0.11589291765503219</v>
      </c>
      <c r="AA106" s="223">
        <f t="shared" si="184"/>
        <v>0.11705685618729098</v>
      </c>
      <c r="AB106" s="223">
        <f>AVERAGE(AB93:AB105)</f>
        <v>0.11633298208640676</v>
      </c>
      <c r="AC106" s="186"/>
    </row>
    <row r="107" spans="2:30">
      <c r="B107" s="137" t="s">
        <v>310</v>
      </c>
      <c r="C107" s="138"/>
      <c r="D107" s="138"/>
      <c r="E107" s="138"/>
      <c r="F107" s="138"/>
      <c r="G107" s="84"/>
      <c r="H107" s="84"/>
      <c r="I107" s="138"/>
      <c r="J107" s="138"/>
      <c r="K107" s="138"/>
      <c r="L107" s="89"/>
      <c r="M107" s="89"/>
      <c r="N107" s="90"/>
      <c r="O107" s="90"/>
      <c r="P107" s="90"/>
      <c r="Q107" s="91"/>
      <c r="R107" s="92"/>
      <c r="S107" s="93"/>
      <c r="T107" s="93"/>
      <c r="U107" s="93"/>
      <c r="V107" s="93"/>
      <c r="W107" s="93"/>
      <c r="X107" s="93"/>
      <c r="Y107" s="93"/>
      <c r="Z107" s="93"/>
      <c r="AA107" s="93"/>
      <c r="AB107" s="192"/>
    </row>
    <row r="108" spans="2:30">
      <c r="B108" s="41" t="s">
        <v>311</v>
      </c>
      <c r="C108" s="139" t="s">
        <v>312</v>
      </c>
      <c r="D108" s="151">
        <v>43797</v>
      </c>
      <c r="E108" s="169">
        <f t="shared" ref="E108:E121" si="185">IF(LEFT(B108,2)="BO",D108+1,$AE$2)</f>
        <v>44700</v>
      </c>
      <c r="F108" s="24" t="s">
        <v>123</v>
      </c>
      <c r="G108" s="34">
        <v>7.9672666999999997</v>
      </c>
      <c r="H108" s="24">
        <v>-11.310376</v>
      </c>
      <c r="I108" s="145">
        <v>597</v>
      </c>
      <c r="J108" s="145">
        <v>300</v>
      </c>
      <c r="K108" s="30" t="s">
        <v>108</v>
      </c>
      <c r="L108" s="145">
        <f t="shared" ref="L108:L121" si="186">$AE$4-$E108-M108+1</f>
        <v>227</v>
      </c>
      <c r="M108" s="170">
        <v>0</v>
      </c>
      <c r="N108" s="145">
        <f t="shared" ref="N108:N121" si="187">$AE$3-$AE$4-O108</f>
        <v>138</v>
      </c>
      <c r="O108" s="170">
        <v>0</v>
      </c>
      <c r="P108" s="170">
        <f t="shared" ref="P108:P121" si="188">M108+O108</f>
        <v>0</v>
      </c>
      <c r="Q108" s="78">
        <f t="shared" ref="Q108:Q121" si="189">L108*J108</f>
        <v>68100</v>
      </c>
      <c r="R108" s="78">
        <f t="shared" ref="R108:R121" si="190">N108*J108</f>
        <v>41400</v>
      </c>
      <c r="S108" s="78">
        <f>SUM(Q108:R108)</f>
        <v>109500</v>
      </c>
      <c r="T108" s="75">
        <f>(L108+M108)*J108</f>
        <v>68100</v>
      </c>
      <c r="U108" s="75">
        <f>(N108+O108)*J108</f>
        <v>41400</v>
      </c>
      <c r="V108" s="75">
        <f>SUM(T108:U108)</f>
        <v>109500</v>
      </c>
      <c r="W108" s="75">
        <f t="shared" ref="W108:W121" si="191">L108*I108</f>
        <v>135519</v>
      </c>
      <c r="X108" s="75">
        <f t="shared" ref="X108:X121" si="192">N108*I108</f>
        <v>82386</v>
      </c>
      <c r="Y108" s="75">
        <f>SUM(W108:X108)</f>
        <v>217905</v>
      </c>
      <c r="Z108" s="228">
        <f t="shared" ref="Z108:Z121" si="193">M108/SUM(L108:M108)</f>
        <v>0</v>
      </c>
      <c r="AA108" s="228">
        <f t="shared" ref="AA108:AA121" si="194">O108/SUM(N108:O108)</f>
        <v>0</v>
      </c>
      <c r="AB108" s="193">
        <f t="shared" ref="AB108:AB121" si="195">(M108+O108)/SUM(L108:O108)</f>
        <v>0</v>
      </c>
    </row>
    <row r="109" spans="2:30">
      <c r="B109" s="35" t="s">
        <v>313</v>
      </c>
      <c r="C109" s="139" t="s">
        <v>314</v>
      </c>
      <c r="D109" s="151">
        <v>43783</v>
      </c>
      <c r="E109" s="169">
        <f t="shared" si="185"/>
        <v>44700</v>
      </c>
      <c r="F109" s="24" t="s">
        <v>123</v>
      </c>
      <c r="G109" s="36">
        <v>7.9806609999999996</v>
      </c>
      <c r="H109" s="24">
        <v>-11.29828</v>
      </c>
      <c r="I109" s="145">
        <v>578</v>
      </c>
      <c r="J109" s="145">
        <v>300</v>
      </c>
      <c r="K109" s="30" t="s">
        <v>108</v>
      </c>
      <c r="L109" s="145">
        <f t="shared" si="186"/>
        <v>227</v>
      </c>
      <c r="M109" s="170">
        <v>0</v>
      </c>
      <c r="N109" s="145">
        <f t="shared" si="187"/>
        <v>138</v>
      </c>
      <c r="O109" s="170">
        <v>0</v>
      </c>
      <c r="P109" s="170">
        <f t="shared" si="188"/>
        <v>0</v>
      </c>
      <c r="Q109" s="78">
        <f t="shared" si="189"/>
        <v>68100</v>
      </c>
      <c r="R109" s="78">
        <f t="shared" si="190"/>
        <v>41400</v>
      </c>
      <c r="S109" s="78">
        <f t="shared" ref="S109:S121" si="196">SUM(Q109:R109)</f>
        <v>109500</v>
      </c>
      <c r="T109" s="75">
        <f t="shared" ref="T109:T111" si="197">(L109+M109)*J109</f>
        <v>68100</v>
      </c>
      <c r="U109" s="75">
        <f t="shared" ref="U109:U111" si="198">(N109+O109)*J109</f>
        <v>41400</v>
      </c>
      <c r="V109" s="75">
        <f t="shared" ref="V109:V111" si="199">SUM(T109:U109)</f>
        <v>109500</v>
      </c>
      <c r="W109" s="75">
        <f t="shared" si="191"/>
        <v>131206</v>
      </c>
      <c r="X109" s="75">
        <f t="shared" si="192"/>
        <v>79764</v>
      </c>
      <c r="Y109" s="75">
        <f t="shared" ref="Y109:Y111" si="200">SUM(W109:X109)</f>
        <v>210970</v>
      </c>
      <c r="Z109" s="228">
        <f t="shared" si="193"/>
        <v>0</v>
      </c>
      <c r="AA109" s="228">
        <f t="shared" si="194"/>
        <v>0</v>
      </c>
      <c r="AB109" s="193">
        <f t="shared" si="195"/>
        <v>0</v>
      </c>
    </row>
    <row r="110" spans="2:30">
      <c r="B110" s="41" t="s">
        <v>315</v>
      </c>
      <c r="C110" s="139" t="s">
        <v>316</v>
      </c>
      <c r="D110" s="151">
        <v>43782</v>
      </c>
      <c r="E110" s="169">
        <f t="shared" si="185"/>
        <v>44700</v>
      </c>
      <c r="F110" s="24" t="s">
        <v>123</v>
      </c>
      <c r="G110" s="34">
        <v>7.8761299999999999</v>
      </c>
      <c r="H110" s="24">
        <v>-11.347569999999999</v>
      </c>
      <c r="I110" s="24">
        <v>598</v>
      </c>
      <c r="J110" s="24">
        <v>300</v>
      </c>
      <c r="K110" s="30" t="s">
        <v>108</v>
      </c>
      <c r="L110" s="145">
        <f t="shared" si="186"/>
        <v>227</v>
      </c>
      <c r="M110" s="170">
        <v>0</v>
      </c>
      <c r="N110" s="145">
        <f t="shared" si="187"/>
        <v>138</v>
      </c>
      <c r="O110" s="170">
        <v>0</v>
      </c>
      <c r="P110" s="170">
        <f t="shared" si="188"/>
        <v>0</v>
      </c>
      <c r="Q110" s="78">
        <f t="shared" si="189"/>
        <v>68100</v>
      </c>
      <c r="R110" s="78">
        <f t="shared" si="190"/>
        <v>41400</v>
      </c>
      <c r="S110" s="78">
        <f t="shared" si="196"/>
        <v>109500</v>
      </c>
      <c r="T110" s="75">
        <f t="shared" si="197"/>
        <v>68100</v>
      </c>
      <c r="U110" s="75">
        <f t="shared" si="198"/>
        <v>41400</v>
      </c>
      <c r="V110" s="75">
        <f t="shared" si="199"/>
        <v>109500</v>
      </c>
      <c r="W110" s="75">
        <f t="shared" si="191"/>
        <v>135746</v>
      </c>
      <c r="X110" s="75">
        <f t="shared" si="192"/>
        <v>82524</v>
      </c>
      <c r="Y110" s="75">
        <f t="shared" si="200"/>
        <v>218270</v>
      </c>
      <c r="Z110" s="228">
        <f t="shared" si="193"/>
        <v>0</v>
      </c>
      <c r="AA110" s="228">
        <f t="shared" si="194"/>
        <v>0</v>
      </c>
      <c r="AB110" s="193">
        <f t="shared" si="195"/>
        <v>0</v>
      </c>
    </row>
    <row r="111" spans="2:30">
      <c r="B111" s="41" t="s">
        <v>317</v>
      </c>
      <c r="C111" s="139" t="s">
        <v>318</v>
      </c>
      <c r="D111" s="151">
        <v>43784</v>
      </c>
      <c r="E111" s="169">
        <f t="shared" si="185"/>
        <v>44700</v>
      </c>
      <c r="F111" s="24" t="s">
        <v>123</v>
      </c>
      <c r="G111" s="34">
        <v>7.996283</v>
      </c>
      <c r="H111" s="24">
        <v>-11.331149999999999</v>
      </c>
      <c r="I111" s="24">
        <v>587</v>
      </c>
      <c r="J111" s="24">
        <v>300</v>
      </c>
      <c r="K111" s="30" t="s">
        <v>108</v>
      </c>
      <c r="L111" s="145">
        <f t="shared" si="186"/>
        <v>227</v>
      </c>
      <c r="M111" s="170">
        <v>0</v>
      </c>
      <c r="N111" s="145">
        <f t="shared" si="187"/>
        <v>138</v>
      </c>
      <c r="O111" s="188">
        <v>0</v>
      </c>
      <c r="P111" s="170">
        <f t="shared" si="188"/>
        <v>0</v>
      </c>
      <c r="Q111" s="78">
        <f t="shared" si="189"/>
        <v>68100</v>
      </c>
      <c r="R111" s="78">
        <f t="shared" si="190"/>
        <v>41400</v>
      </c>
      <c r="S111" s="78">
        <f t="shared" si="196"/>
        <v>109500</v>
      </c>
      <c r="T111" s="75">
        <f t="shared" si="197"/>
        <v>68100</v>
      </c>
      <c r="U111" s="75">
        <f t="shared" si="198"/>
        <v>41400</v>
      </c>
      <c r="V111" s="75">
        <f t="shared" si="199"/>
        <v>109500</v>
      </c>
      <c r="W111" s="75">
        <f t="shared" si="191"/>
        <v>133249</v>
      </c>
      <c r="X111" s="75">
        <f t="shared" si="192"/>
        <v>81006</v>
      </c>
      <c r="Y111" s="75">
        <f t="shared" si="200"/>
        <v>214255</v>
      </c>
      <c r="Z111" s="228">
        <f t="shared" si="193"/>
        <v>0</v>
      </c>
      <c r="AA111" s="228">
        <f t="shared" si="194"/>
        <v>0</v>
      </c>
      <c r="AB111" s="193">
        <f t="shared" si="195"/>
        <v>0</v>
      </c>
    </row>
    <row r="112" spans="2:30">
      <c r="B112" s="41" t="s">
        <v>319</v>
      </c>
      <c r="C112" s="139" t="s">
        <v>320</v>
      </c>
      <c r="D112" s="151">
        <v>43783</v>
      </c>
      <c r="E112" s="169">
        <f t="shared" si="185"/>
        <v>44700</v>
      </c>
      <c r="F112" s="24" t="s">
        <v>123</v>
      </c>
      <c r="G112" s="34">
        <v>7.9361309999999996</v>
      </c>
      <c r="H112" s="24">
        <v>-11.347770000000001</v>
      </c>
      <c r="I112" s="24">
        <v>561</v>
      </c>
      <c r="J112" s="24">
        <v>300</v>
      </c>
      <c r="K112" s="30" t="s">
        <v>108</v>
      </c>
      <c r="L112" s="145">
        <f t="shared" si="186"/>
        <v>227</v>
      </c>
      <c r="M112" s="170">
        <v>0</v>
      </c>
      <c r="N112" s="145">
        <f t="shared" si="187"/>
        <v>138</v>
      </c>
      <c r="O112" s="170">
        <v>0</v>
      </c>
      <c r="P112" s="170">
        <f t="shared" si="188"/>
        <v>0</v>
      </c>
      <c r="Q112" s="78">
        <f t="shared" si="189"/>
        <v>68100</v>
      </c>
      <c r="R112" s="78">
        <f t="shared" si="190"/>
        <v>41400</v>
      </c>
      <c r="S112" s="78">
        <f t="shared" si="196"/>
        <v>109500</v>
      </c>
      <c r="T112" s="75">
        <f>(L112+M112)*J112</f>
        <v>68100</v>
      </c>
      <c r="U112" s="75">
        <f>(N112+O112)*J112</f>
        <v>41400</v>
      </c>
      <c r="V112" s="75">
        <f>SUM(T112:U112)</f>
        <v>109500</v>
      </c>
      <c r="W112" s="75">
        <f t="shared" si="191"/>
        <v>127347</v>
      </c>
      <c r="X112" s="75">
        <f t="shared" si="192"/>
        <v>77418</v>
      </c>
      <c r="Y112" s="75">
        <f>SUM(W112:X112)</f>
        <v>204765</v>
      </c>
      <c r="Z112" s="228">
        <f t="shared" si="193"/>
        <v>0</v>
      </c>
      <c r="AA112" s="228">
        <f t="shared" si="194"/>
        <v>0</v>
      </c>
      <c r="AB112" s="193">
        <f t="shared" si="195"/>
        <v>0</v>
      </c>
    </row>
    <row r="113" spans="2:29">
      <c r="B113" s="41" t="s">
        <v>321</v>
      </c>
      <c r="C113" s="139" t="s">
        <v>322</v>
      </c>
      <c r="D113" s="111">
        <v>43784</v>
      </c>
      <c r="E113" s="169">
        <f t="shared" si="185"/>
        <v>44700</v>
      </c>
      <c r="F113" s="24" t="s">
        <v>123</v>
      </c>
      <c r="G113" s="34">
        <v>7.8782399999999999</v>
      </c>
      <c r="H113" s="24">
        <v>-11.347738</v>
      </c>
      <c r="I113" s="24">
        <v>558</v>
      </c>
      <c r="J113" s="24">
        <v>300</v>
      </c>
      <c r="K113" s="24" t="s">
        <v>108</v>
      </c>
      <c r="L113" s="145">
        <f t="shared" si="186"/>
        <v>227</v>
      </c>
      <c r="M113" s="170">
        <v>0</v>
      </c>
      <c r="N113" s="145">
        <f t="shared" si="187"/>
        <v>138</v>
      </c>
      <c r="O113" s="170">
        <v>0</v>
      </c>
      <c r="P113" s="170">
        <f t="shared" si="188"/>
        <v>0</v>
      </c>
      <c r="Q113" s="78">
        <f t="shared" si="189"/>
        <v>68100</v>
      </c>
      <c r="R113" s="78">
        <f t="shared" si="190"/>
        <v>41400</v>
      </c>
      <c r="S113" s="78">
        <f t="shared" si="196"/>
        <v>109500</v>
      </c>
      <c r="T113" s="75">
        <f t="shared" ref="T113" si="201">(L113+M113)*J113</f>
        <v>68100</v>
      </c>
      <c r="U113" s="75">
        <f t="shared" ref="U113" si="202">(N113+O113)*J113</f>
        <v>41400</v>
      </c>
      <c r="V113" s="75">
        <f t="shared" ref="V113" si="203">SUM(T113:U113)</f>
        <v>109500</v>
      </c>
      <c r="W113" s="75">
        <f t="shared" si="191"/>
        <v>126666</v>
      </c>
      <c r="X113" s="75">
        <f t="shared" si="192"/>
        <v>77004</v>
      </c>
      <c r="Y113" s="75">
        <f t="shared" ref="Y113" si="204">SUM(W113:X113)</f>
        <v>203670</v>
      </c>
      <c r="Z113" s="228">
        <f t="shared" si="193"/>
        <v>0</v>
      </c>
      <c r="AA113" s="228">
        <f t="shared" si="194"/>
        <v>0</v>
      </c>
      <c r="AB113" s="193">
        <f t="shared" si="195"/>
        <v>0</v>
      </c>
    </row>
    <row r="114" spans="2:29">
      <c r="B114" s="147" t="s">
        <v>323</v>
      </c>
      <c r="C114" s="147" t="s">
        <v>324</v>
      </c>
      <c r="D114" s="141">
        <v>43994</v>
      </c>
      <c r="E114" s="169">
        <f t="shared" si="185"/>
        <v>44700</v>
      </c>
      <c r="F114" s="142" t="s">
        <v>107</v>
      </c>
      <c r="G114" s="142">
        <v>8.2783029999999993</v>
      </c>
      <c r="H114" s="142">
        <v>-10.571999999999999</v>
      </c>
      <c r="I114" s="142">
        <v>415</v>
      </c>
      <c r="J114" s="145">
        <f t="shared" ref="J114:J121" si="205">IF(I114&gt;300, 300, I114)</f>
        <v>300</v>
      </c>
      <c r="K114" s="24" t="s">
        <v>108</v>
      </c>
      <c r="L114" s="145">
        <f t="shared" si="186"/>
        <v>170</v>
      </c>
      <c r="M114" s="170">
        <v>57</v>
      </c>
      <c r="N114" s="145">
        <f t="shared" si="187"/>
        <v>103</v>
      </c>
      <c r="O114" s="170">
        <v>35</v>
      </c>
      <c r="P114" s="170">
        <f t="shared" si="188"/>
        <v>92</v>
      </c>
      <c r="Q114" s="76">
        <f t="shared" si="189"/>
        <v>51000</v>
      </c>
      <c r="R114" s="76">
        <f t="shared" si="190"/>
        <v>30900</v>
      </c>
      <c r="S114" s="78">
        <f t="shared" si="196"/>
        <v>81900</v>
      </c>
      <c r="T114" s="75">
        <f>(L114+M114)*J114</f>
        <v>68100</v>
      </c>
      <c r="U114" s="75">
        <f>(N114+O114)*J114</f>
        <v>41400</v>
      </c>
      <c r="V114" s="75">
        <f>SUM(T114:U114)</f>
        <v>109500</v>
      </c>
      <c r="W114" s="75">
        <f t="shared" si="191"/>
        <v>70550</v>
      </c>
      <c r="X114" s="75">
        <f t="shared" si="192"/>
        <v>42745</v>
      </c>
      <c r="Y114" s="75">
        <f>SUM(W114:X114)</f>
        <v>113295</v>
      </c>
      <c r="Z114" s="228">
        <f t="shared" si="193"/>
        <v>0.25110132158590309</v>
      </c>
      <c r="AA114" s="228">
        <f t="shared" si="194"/>
        <v>0.25362318840579712</v>
      </c>
      <c r="AB114" s="193">
        <f t="shared" si="195"/>
        <v>0.25205479452054796</v>
      </c>
    </row>
    <row r="115" spans="2:29">
      <c r="B115" s="147" t="s">
        <v>325</v>
      </c>
      <c r="C115" s="147" t="s">
        <v>326</v>
      </c>
      <c r="D115" s="141">
        <v>43994</v>
      </c>
      <c r="E115" s="169">
        <f t="shared" si="185"/>
        <v>44700</v>
      </c>
      <c r="F115" s="142" t="s">
        <v>107</v>
      </c>
      <c r="G115" s="142">
        <v>8.2796059999999994</v>
      </c>
      <c r="H115" s="142">
        <v>-10.5725</v>
      </c>
      <c r="I115" s="142">
        <v>429</v>
      </c>
      <c r="J115" s="145">
        <f t="shared" si="205"/>
        <v>300</v>
      </c>
      <c r="K115" s="24" t="s">
        <v>108</v>
      </c>
      <c r="L115" s="145">
        <f t="shared" si="186"/>
        <v>170</v>
      </c>
      <c r="M115" s="170">
        <v>57</v>
      </c>
      <c r="N115" s="145">
        <f t="shared" si="187"/>
        <v>103</v>
      </c>
      <c r="O115" s="170">
        <v>35</v>
      </c>
      <c r="P115" s="170">
        <f t="shared" si="188"/>
        <v>92</v>
      </c>
      <c r="Q115" s="76">
        <f t="shared" si="189"/>
        <v>51000</v>
      </c>
      <c r="R115" s="76">
        <f t="shared" si="190"/>
        <v>30900</v>
      </c>
      <c r="S115" s="78">
        <f t="shared" si="196"/>
        <v>81900</v>
      </c>
      <c r="T115" s="75">
        <f t="shared" ref="T115:T121" si="206">(L115+M115)*J115</f>
        <v>68100</v>
      </c>
      <c r="U115" s="75">
        <f t="shared" ref="U115:U121" si="207">(N115+O115)*J115</f>
        <v>41400</v>
      </c>
      <c r="V115" s="75">
        <f t="shared" ref="V115:V121" si="208">SUM(T115:U115)</f>
        <v>109500</v>
      </c>
      <c r="W115" s="75">
        <f t="shared" si="191"/>
        <v>72930</v>
      </c>
      <c r="X115" s="75">
        <f t="shared" si="192"/>
        <v>44187</v>
      </c>
      <c r="Y115" s="75">
        <f t="shared" ref="Y115:Y121" si="209">SUM(W115:X115)</f>
        <v>117117</v>
      </c>
      <c r="Z115" s="228">
        <f t="shared" si="193"/>
        <v>0.25110132158590309</v>
      </c>
      <c r="AA115" s="228">
        <f t="shared" si="194"/>
        <v>0.25362318840579712</v>
      </c>
      <c r="AB115" s="193">
        <f t="shared" si="195"/>
        <v>0.25205479452054796</v>
      </c>
    </row>
    <row r="116" spans="2:29">
      <c r="B116" s="147" t="s">
        <v>327</v>
      </c>
      <c r="C116" s="147" t="s">
        <v>328</v>
      </c>
      <c r="D116" s="141">
        <v>43995</v>
      </c>
      <c r="E116" s="169">
        <f t="shared" si="185"/>
        <v>44700</v>
      </c>
      <c r="F116" s="142" t="s">
        <v>107</v>
      </c>
      <c r="G116" s="142">
        <v>8.2767160000000004</v>
      </c>
      <c r="H116" s="142">
        <v>-10.57949</v>
      </c>
      <c r="I116" s="142">
        <v>476</v>
      </c>
      <c r="J116" s="145">
        <f t="shared" si="205"/>
        <v>300</v>
      </c>
      <c r="K116" s="24" t="s">
        <v>108</v>
      </c>
      <c r="L116" s="145">
        <f t="shared" si="186"/>
        <v>170</v>
      </c>
      <c r="M116" s="170">
        <v>57</v>
      </c>
      <c r="N116" s="145">
        <f t="shared" si="187"/>
        <v>103</v>
      </c>
      <c r="O116" s="170">
        <v>35</v>
      </c>
      <c r="P116" s="170">
        <f t="shared" si="188"/>
        <v>92</v>
      </c>
      <c r="Q116" s="76">
        <f t="shared" si="189"/>
        <v>51000</v>
      </c>
      <c r="R116" s="76">
        <f t="shared" si="190"/>
        <v>30900</v>
      </c>
      <c r="S116" s="78">
        <f t="shared" si="196"/>
        <v>81900</v>
      </c>
      <c r="T116" s="75">
        <f t="shared" si="206"/>
        <v>68100</v>
      </c>
      <c r="U116" s="75">
        <f t="shared" si="207"/>
        <v>41400</v>
      </c>
      <c r="V116" s="75">
        <f t="shared" si="208"/>
        <v>109500</v>
      </c>
      <c r="W116" s="75">
        <f t="shared" si="191"/>
        <v>80920</v>
      </c>
      <c r="X116" s="75">
        <f t="shared" si="192"/>
        <v>49028</v>
      </c>
      <c r="Y116" s="75">
        <f t="shared" si="209"/>
        <v>129948</v>
      </c>
      <c r="Z116" s="228">
        <f t="shared" si="193"/>
        <v>0.25110132158590309</v>
      </c>
      <c r="AA116" s="228">
        <f t="shared" si="194"/>
        <v>0.25362318840579712</v>
      </c>
      <c r="AB116" s="193">
        <f t="shared" si="195"/>
        <v>0.25205479452054796</v>
      </c>
    </row>
    <row r="117" spans="2:29">
      <c r="B117" s="147" t="s">
        <v>329</v>
      </c>
      <c r="C117" s="147" t="s">
        <v>330</v>
      </c>
      <c r="D117" s="141">
        <v>43995</v>
      </c>
      <c r="E117" s="169">
        <f t="shared" si="185"/>
        <v>44700</v>
      </c>
      <c r="F117" s="142" t="s">
        <v>159</v>
      </c>
      <c r="G117" s="142">
        <v>8.2804079999999995</v>
      </c>
      <c r="H117" s="142">
        <v>-10.57422</v>
      </c>
      <c r="I117" s="142">
        <v>382</v>
      </c>
      <c r="J117" s="145">
        <f t="shared" si="205"/>
        <v>300</v>
      </c>
      <c r="K117" s="24" t="s">
        <v>108</v>
      </c>
      <c r="L117" s="145">
        <f t="shared" si="186"/>
        <v>227</v>
      </c>
      <c r="M117" s="170">
        <v>0</v>
      </c>
      <c r="N117" s="145">
        <f t="shared" si="187"/>
        <v>138</v>
      </c>
      <c r="O117" s="170">
        <v>0</v>
      </c>
      <c r="P117" s="170">
        <f t="shared" si="188"/>
        <v>0</v>
      </c>
      <c r="Q117" s="76">
        <f t="shared" si="189"/>
        <v>68100</v>
      </c>
      <c r="R117" s="76">
        <f t="shared" si="190"/>
        <v>41400</v>
      </c>
      <c r="S117" s="78">
        <f t="shared" si="196"/>
        <v>109500</v>
      </c>
      <c r="T117" s="75">
        <f t="shared" si="206"/>
        <v>68100</v>
      </c>
      <c r="U117" s="75">
        <f t="shared" si="207"/>
        <v>41400</v>
      </c>
      <c r="V117" s="75">
        <f t="shared" si="208"/>
        <v>109500</v>
      </c>
      <c r="W117" s="75">
        <f t="shared" si="191"/>
        <v>86714</v>
      </c>
      <c r="X117" s="75">
        <f t="shared" si="192"/>
        <v>52716</v>
      </c>
      <c r="Y117" s="75">
        <f t="shared" si="209"/>
        <v>139430</v>
      </c>
      <c r="Z117" s="228">
        <f t="shared" si="193"/>
        <v>0</v>
      </c>
      <c r="AA117" s="228">
        <f t="shared" si="194"/>
        <v>0</v>
      </c>
      <c r="AB117" s="193">
        <f t="shared" si="195"/>
        <v>0</v>
      </c>
    </row>
    <row r="118" spans="2:29">
      <c r="B118" s="147" t="s">
        <v>331</v>
      </c>
      <c r="C118" s="147" t="s">
        <v>332</v>
      </c>
      <c r="D118" s="141">
        <v>44025</v>
      </c>
      <c r="E118" s="169">
        <f t="shared" si="185"/>
        <v>44700</v>
      </c>
      <c r="F118" s="142" t="s">
        <v>107</v>
      </c>
      <c r="G118" s="142">
        <v>8.6474679999999999</v>
      </c>
      <c r="H118" s="142">
        <v>-11.174128</v>
      </c>
      <c r="I118" s="142">
        <v>603</v>
      </c>
      <c r="J118" s="145">
        <f t="shared" si="205"/>
        <v>300</v>
      </c>
      <c r="K118" s="24" t="s">
        <v>108</v>
      </c>
      <c r="L118" s="145">
        <f t="shared" si="186"/>
        <v>227</v>
      </c>
      <c r="M118" s="170">
        <v>0</v>
      </c>
      <c r="N118" s="145">
        <f t="shared" si="187"/>
        <v>138</v>
      </c>
      <c r="O118" s="170">
        <v>0</v>
      </c>
      <c r="P118" s="170">
        <f t="shared" si="188"/>
        <v>0</v>
      </c>
      <c r="Q118" s="76">
        <f t="shared" si="189"/>
        <v>68100</v>
      </c>
      <c r="R118" s="76">
        <f t="shared" si="190"/>
        <v>41400</v>
      </c>
      <c r="S118" s="78">
        <f t="shared" si="196"/>
        <v>109500</v>
      </c>
      <c r="T118" s="75">
        <f t="shared" si="206"/>
        <v>68100</v>
      </c>
      <c r="U118" s="75">
        <f t="shared" si="207"/>
        <v>41400</v>
      </c>
      <c r="V118" s="75">
        <f t="shared" si="208"/>
        <v>109500</v>
      </c>
      <c r="W118" s="75">
        <f t="shared" si="191"/>
        <v>136881</v>
      </c>
      <c r="X118" s="75">
        <f t="shared" si="192"/>
        <v>83214</v>
      </c>
      <c r="Y118" s="75">
        <f t="shared" si="209"/>
        <v>220095</v>
      </c>
      <c r="Z118" s="228">
        <f t="shared" si="193"/>
        <v>0</v>
      </c>
      <c r="AA118" s="228">
        <f t="shared" si="194"/>
        <v>0</v>
      </c>
      <c r="AB118" s="193">
        <f t="shared" si="195"/>
        <v>0</v>
      </c>
    </row>
    <row r="119" spans="2:29">
      <c r="B119" s="147" t="s">
        <v>333</v>
      </c>
      <c r="C119" s="147" t="s">
        <v>250</v>
      </c>
      <c r="D119" s="141">
        <v>44030</v>
      </c>
      <c r="E119" s="169">
        <f t="shared" si="185"/>
        <v>44700</v>
      </c>
      <c r="F119" s="142" t="s">
        <v>159</v>
      </c>
      <c r="G119" s="142">
        <v>8.7280870000000004</v>
      </c>
      <c r="H119" s="142">
        <v>-11.095402</v>
      </c>
      <c r="I119" s="142">
        <v>504</v>
      </c>
      <c r="J119" s="145">
        <f t="shared" si="205"/>
        <v>300</v>
      </c>
      <c r="K119" s="24" t="s">
        <v>108</v>
      </c>
      <c r="L119" s="145">
        <f t="shared" si="186"/>
        <v>227</v>
      </c>
      <c r="M119" s="170">
        <v>0</v>
      </c>
      <c r="N119" s="145">
        <f t="shared" si="187"/>
        <v>138</v>
      </c>
      <c r="O119" s="170">
        <v>0</v>
      </c>
      <c r="P119" s="170">
        <f t="shared" si="188"/>
        <v>0</v>
      </c>
      <c r="Q119" s="76">
        <f t="shared" si="189"/>
        <v>68100</v>
      </c>
      <c r="R119" s="76">
        <f t="shared" si="190"/>
        <v>41400</v>
      </c>
      <c r="S119" s="78">
        <f t="shared" si="196"/>
        <v>109500</v>
      </c>
      <c r="T119" s="75">
        <f t="shared" si="206"/>
        <v>68100</v>
      </c>
      <c r="U119" s="75">
        <f t="shared" si="207"/>
        <v>41400</v>
      </c>
      <c r="V119" s="75">
        <f t="shared" si="208"/>
        <v>109500</v>
      </c>
      <c r="W119" s="75">
        <f t="shared" si="191"/>
        <v>114408</v>
      </c>
      <c r="X119" s="75">
        <f t="shared" si="192"/>
        <v>69552</v>
      </c>
      <c r="Y119" s="75">
        <f t="shared" si="209"/>
        <v>183960</v>
      </c>
      <c r="Z119" s="228">
        <f t="shared" si="193"/>
        <v>0</v>
      </c>
      <c r="AA119" s="228">
        <f t="shared" si="194"/>
        <v>0</v>
      </c>
      <c r="AB119" s="193">
        <f t="shared" si="195"/>
        <v>0</v>
      </c>
    </row>
    <row r="120" spans="2:29">
      <c r="B120" s="147" t="s">
        <v>334</v>
      </c>
      <c r="C120" s="147" t="s">
        <v>335</v>
      </c>
      <c r="D120" s="141">
        <v>44028</v>
      </c>
      <c r="E120" s="169">
        <f t="shared" si="185"/>
        <v>44700</v>
      </c>
      <c r="F120" s="142" t="s">
        <v>159</v>
      </c>
      <c r="G120" s="142">
        <v>8.6778729999999999</v>
      </c>
      <c r="H120" s="142">
        <v>-10.957117999999999</v>
      </c>
      <c r="I120" s="142">
        <v>518</v>
      </c>
      <c r="J120" s="145">
        <f t="shared" si="205"/>
        <v>300</v>
      </c>
      <c r="K120" s="24" t="s">
        <v>108</v>
      </c>
      <c r="L120" s="145">
        <f t="shared" si="186"/>
        <v>170</v>
      </c>
      <c r="M120" s="170">
        <v>57</v>
      </c>
      <c r="N120" s="145">
        <f t="shared" si="187"/>
        <v>103</v>
      </c>
      <c r="O120" s="170">
        <v>35</v>
      </c>
      <c r="P120" s="170">
        <f t="shared" si="188"/>
        <v>92</v>
      </c>
      <c r="Q120" s="76">
        <f t="shared" si="189"/>
        <v>51000</v>
      </c>
      <c r="R120" s="76">
        <f t="shared" si="190"/>
        <v>30900</v>
      </c>
      <c r="S120" s="78">
        <f t="shared" si="196"/>
        <v>81900</v>
      </c>
      <c r="T120" s="75">
        <f t="shared" si="206"/>
        <v>68100</v>
      </c>
      <c r="U120" s="75">
        <f t="shared" si="207"/>
        <v>41400</v>
      </c>
      <c r="V120" s="75">
        <f t="shared" si="208"/>
        <v>109500</v>
      </c>
      <c r="W120" s="75">
        <f t="shared" si="191"/>
        <v>88060</v>
      </c>
      <c r="X120" s="75">
        <f t="shared" si="192"/>
        <v>53354</v>
      </c>
      <c r="Y120" s="75">
        <f t="shared" si="209"/>
        <v>141414</v>
      </c>
      <c r="Z120" s="228">
        <f t="shared" si="193"/>
        <v>0.25110132158590309</v>
      </c>
      <c r="AA120" s="228">
        <f t="shared" si="194"/>
        <v>0.25362318840579712</v>
      </c>
      <c r="AB120" s="193">
        <f t="shared" si="195"/>
        <v>0.25205479452054796</v>
      </c>
    </row>
    <row r="121" spans="2:29">
      <c r="B121" s="147" t="s">
        <v>336</v>
      </c>
      <c r="C121" s="147" t="s">
        <v>337</v>
      </c>
      <c r="D121" s="141">
        <v>44024</v>
      </c>
      <c r="E121" s="169">
        <f t="shared" si="185"/>
        <v>44700</v>
      </c>
      <c r="F121" s="142" t="s">
        <v>159</v>
      </c>
      <c r="G121" s="142">
        <v>8.6979900000000008</v>
      </c>
      <c r="H121" s="142">
        <v>-10.953643</v>
      </c>
      <c r="I121" s="142">
        <v>409</v>
      </c>
      <c r="J121" s="145">
        <f t="shared" si="205"/>
        <v>300</v>
      </c>
      <c r="K121" s="24" t="s">
        <v>108</v>
      </c>
      <c r="L121" s="145">
        <f t="shared" si="186"/>
        <v>227</v>
      </c>
      <c r="M121" s="170">
        <v>0</v>
      </c>
      <c r="N121" s="145">
        <f t="shared" si="187"/>
        <v>138</v>
      </c>
      <c r="O121" s="170">
        <v>0</v>
      </c>
      <c r="P121" s="170">
        <f t="shared" si="188"/>
        <v>0</v>
      </c>
      <c r="Q121" s="76">
        <f t="shared" si="189"/>
        <v>68100</v>
      </c>
      <c r="R121" s="76">
        <f t="shared" si="190"/>
        <v>41400</v>
      </c>
      <c r="S121" s="78">
        <f t="shared" si="196"/>
        <v>109500</v>
      </c>
      <c r="T121" s="75">
        <f t="shared" si="206"/>
        <v>68100</v>
      </c>
      <c r="U121" s="75">
        <f t="shared" si="207"/>
        <v>41400</v>
      </c>
      <c r="V121" s="75">
        <f t="shared" si="208"/>
        <v>109500</v>
      </c>
      <c r="W121" s="75">
        <f t="shared" si="191"/>
        <v>92843</v>
      </c>
      <c r="X121" s="75">
        <f t="shared" si="192"/>
        <v>56442</v>
      </c>
      <c r="Y121" s="75">
        <f t="shared" si="209"/>
        <v>149285</v>
      </c>
      <c r="Z121" s="228">
        <f t="shared" si="193"/>
        <v>0</v>
      </c>
      <c r="AA121" s="228">
        <f t="shared" si="194"/>
        <v>0</v>
      </c>
      <c r="AB121" s="193">
        <f t="shared" si="195"/>
        <v>0</v>
      </c>
    </row>
    <row r="122" spans="2:29">
      <c r="B122" s="148">
        <f>COUNTA(B108:B121)</f>
        <v>14</v>
      </c>
      <c r="C122" s="86"/>
      <c r="D122" s="149"/>
      <c r="E122" s="149"/>
      <c r="F122" s="86"/>
      <c r="G122" s="86"/>
      <c r="H122" s="86"/>
      <c r="I122" s="87">
        <f>SUM(I108:I121)</f>
        <v>7215</v>
      </c>
      <c r="J122" s="87">
        <f>SUM(J108:J121)</f>
        <v>4200</v>
      </c>
      <c r="K122" s="86"/>
      <c r="L122" s="87">
        <f>SUM(L108:L121)</f>
        <v>2950</v>
      </c>
      <c r="M122" s="87">
        <f>SUM(M109:M121)</f>
        <v>228</v>
      </c>
      <c r="N122" s="87">
        <f>SUM(N108:N121)</f>
        <v>1792</v>
      </c>
      <c r="O122" s="87">
        <f>SUM(O109:O121)</f>
        <v>140</v>
      </c>
      <c r="P122" s="87">
        <f>SUM(P109:P121)</f>
        <v>368</v>
      </c>
      <c r="Q122" s="88">
        <f t="shared" ref="Q122:Y122" si="210">SUM(Q108:Q121)</f>
        <v>885000</v>
      </c>
      <c r="R122" s="88">
        <f t="shared" si="210"/>
        <v>537600</v>
      </c>
      <c r="S122" s="88">
        <f t="shared" si="210"/>
        <v>1422600</v>
      </c>
      <c r="T122" s="88">
        <f t="shared" si="210"/>
        <v>953400</v>
      </c>
      <c r="U122" s="88">
        <f t="shared" si="210"/>
        <v>579600</v>
      </c>
      <c r="V122" s="88">
        <f t="shared" si="210"/>
        <v>1533000</v>
      </c>
      <c r="W122" s="88">
        <f t="shared" si="210"/>
        <v>1533039</v>
      </c>
      <c r="X122" s="88">
        <f t="shared" si="210"/>
        <v>931340</v>
      </c>
      <c r="Y122" s="88">
        <f t="shared" si="210"/>
        <v>2464379</v>
      </c>
      <c r="Z122" s="223">
        <f t="shared" ref="Z122:AA122" si="211">AVERAGE(Z108:Z121)</f>
        <v>7.1743234738829459E-2</v>
      </c>
      <c r="AA122" s="223">
        <f t="shared" si="211"/>
        <v>7.2463768115942032E-2</v>
      </c>
      <c r="AB122" s="223">
        <f>AVERAGE(AB108:AB121)</f>
        <v>7.2015655577299414E-2</v>
      </c>
      <c r="AC122" s="186"/>
    </row>
    <row r="123" spans="2:29">
      <c r="B123" s="137" t="s">
        <v>338</v>
      </c>
      <c r="C123" s="138"/>
      <c r="D123" s="138"/>
      <c r="E123" s="138"/>
      <c r="F123" s="138"/>
      <c r="G123" s="84"/>
      <c r="H123" s="84"/>
      <c r="I123" s="138"/>
      <c r="J123" s="138"/>
      <c r="K123" s="138"/>
      <c r="L123" s="89"/>
      <c r="M123" s="89"/>
      <c r="N123" s="90"/>
      <c r="O123" s="90"/>
      <c r="P123" s="90"/>
      <c r="Q123" s="91"/>
      <c r="R123" s="92"/>
      <c r="S123" s="93"/>
      <c r="T123" s="93"/>
      <c r="U123" s="93"/>
      <c r="V123" s="93"/>
      <c r="W123" s="93"/>
      <c r="X123" s="93"/>
      <c r="Y123" s="93"/>
      <c r="Z123" s="93"/>
      <c r="AA123" s="93"/>
      <c r="AB123" s="192"/>
    </row>
    <row r="124" spans="2:29">
      <c r="B124" s="41" t="s">
        <v>339</v>
      </c>
      <c r="C124" s="139" t="s">
        <v>340</v>
      </c>
      <c r="D124" s="151">
        <v>43852</v>
      </c>
      <c r="E124" s="169">
        <f t="shared" ref="E124:E137" si="212">IF(LEFT(B124,2)="BO",D124+1,$AE$2)</f>
        <v>44700</v>
      </c>
      <c r="F124" s="24" t="s">
        <v>123</v>
      </c>
      <c r="G124" s="214">
        <v>8.1837015999999991</v>
      </c>
      <c r="H124" s="24">
        <v>-11.339378</v>
      </c>
      <c r="I124" s="145">
        <v>665</v>
      </c>
      <c r="J124" s="145">
        <v>300</v>
      </c>
      <c r="K124" s="30" t="s">
        <v>108</v>
      </c>
      <c r="L124" s="145">
        <f t="shared" ref="L124:L137" si="213">$AE$4-$E124-M124+1</f>
        <v>227</v>
      </c>
      <c r="M124" s="170">
        <v>0</v>
      </c>
      <c r="N124" s="145">
        <f t="shared" ref="N124:N137" si="214">$AE$3-$AE$4-O124</f>
        <v>138</v>
      </c>
      <c r="O124" s="170">
        <v>0</v>
      </c>
      <c r="P124" s="170">
        <f t="shared" ref="P124:P137" si="215">M124+O124</f>
        <v>0</v>
      </c>
      <c r="Q124" s="78">
        <f t="shared" ref="Q124:Q137" si="216">L124*J124</f>
        <v>68100</v>
      </c>
      <c r="R124" s="78">
        <f t="shared" ref="R124:R137" si="217">N124*J124</f>
        <v>41400</v>
      </c>
      <c r="S124" s="78">
        <f>SUM(Q124:R124)</f>
        <v>109500</v>
      </c>
      <c r="T124" s="75">
        <f>(L124+M124)*J124</f>
        <v>68100</v>
      </c>
      <c r="U124" s="75">
        <f>(N124+O124)*J124</f>
        <v>41400</v>
      </c>
      <c r="V124" s="75">
        <f>SUM(T124:U124)</f>
        <v>109500</v>
      </c>
      <c r="W124" s="75">
        <f t="shared" ref="W124:W137" si="218">L124*I124</f>
        <v>150955</v>
      </c>
      <c r="X124" s="75">
        <f t="shared" ref="X124:X137" si="219">N124*I124</f>
        <v>91770</v>
      </c>
      <c r="Y124" s="75">
        <f>SUM(W124:X124)</f>
        <v>242725</v>
      </c>
      <c r="Z124" s="228">
        <f t="shared" ref="Z124:Z137" si="220">M124/SUM(L124:M124)</f>
        <v>0</v>
      </c>
      <c r="AA124" s="228">
        <f t="shared" ref="AA124:AA137" si="221">O124/SUM(N124:O124)</f>
        <v>0</v>
      </c>
      <c r="AB124" s="193">
        <f t="shared" ref="AB124:AB137" si="222">(M124+O124)/SUM(L124:O124)</f>
        <v>0</v>
      </c>
    </row>
    <row r="125" spans="2:29">
      <c r="B125" s="41" t="s">
        <v>341</v>
      </c>
      <c r="C125" s="139" t="s">
        <v>342</v>
      </c>
      <c r="D125" s="151">
        <v>43852</v>
      </c>
      <c r="E125" s="169">
        <f t="shared" si="212"/>
        <v>44700</v>
      </c>
      <c r="F125" s="24" t="s">
        <v>123</v>
      </c>
      <c r="G125" s="215">
        <v>7.9676947</v>
      </c>
      <c r="H125" s="24">
        <v>-11.32339</v>
      </c>
      <c r="I125" s="145">
        <v>549</v>
      </c>
      <c r="J125" s="145">
        <v>300</v>
      </c>
      <c r="K125" s="30" t="s">
        <v>108</v>
      </c>
      <c r="L125" s="145">
        <f t="shared" si="213"/>
        <v>227</v>
      </c>
      <c r="M125" s="170">
        <v>0</v>
      </c>
      <c r="N125" s="145">
        <f t="shared" si="214"/>
        <v>138</v>
      </c>
      <c r="O125" s="170">
        <v>0</v>
      </c>
      <c r="P125" s="170">
        <f t="shared" si="215"/>
        <v>0</v>
      </c>
      <c r="Q125" s="78">
        <f t="shared" si="216"/>
        <v>68100</v>
      </c>
      <c r="R125" s="78">
        <f t="shared" si="217"/>
        <v>41400</v>
      </c>
      <c r="S125" s="78">
        <f t="shared" ref="S125:S137" si="223">SUM(Q125:R125)</f>
        <v>109500</v>
      </c>
      <c r="T125" s="75">
        <f t="shared" ref="T125:T126" si="224">(L125+M125)*J125</f>
        <v>68100</v>
      </c>
      <c r="U125" s="75">
        <f t="shared" ref="U125:U126" si="225">(N125+O125)*J125</f>
        <v>41400</v>
      </c>
      <c r="V125" s="75">
        <f t="shared" ref="V125:V126" si="226">SUM(T125:U125)</f>
        <v>109500</v>
      </c>
      <c r="W125" s="75">
        <f t="shared" si="218"/>
        <v>124623</v>
      </c>
      <c r="X125" s="75">
        <f t="shared" si="219"/>
        <v>75762</v>
      </c>
      <c r="Y125" s="75">
        <f t="shared" ref="Y125:Y126" si="227">SUM(W125:X125)</f>
        <v>200385</v>
      </c>
      <c r="Z125" s="228">
        <f t="shared" si="220"/>
        <v>0</v>
      </c>
      <c r="AA125" s="228">
        <f t="shared" si="221"/>
        <v>0</v>
      </c>
      <c r="AB125" s="193">
        <f t="shared" si="222"/>
        <v>0</v>
      </c>
    </row>
    <row r="126" spans="2:29">
      <c r="B126" s="41" t="s">
        <v>343</v>
      </c>
      <c r="C126" s="139" t="s">
        <v>344</v>
      </c>
      <c r="D126" s="151">
        <v>43853</v>
      </c>
      <c r="E126" s="169">
        <f t="shared" si="212"/>
        <v>44700</v>
      </c>
      <c r="F126" s="24" t="s">
        <v>123</v>
      </c>
      <c r="G126" s="215">
        <v>8.1138829999999995</v>
      </c>
      <c r="H126" s="24">
        <v>-11.314574</v>
      </c>
      <c r="I126" s="24">
        <v>529</v>
      </c>
      <c r="J126" s="24">
        <v>300</v>
      </c>
      <c r="K126" s="30" t="s">
        <v>108</v>
      </c>
      <c r="L126" s="145">
        <f t="shared" si="213"/>
        <v>227</v>
      </c>
      <c r="M126" s="170">
        <v>0</v>
      </c>
      <c r="N126" s="145">
        <f t="shared" si="214"/>
        <v>138</v>
      </c>
      <c r="O126" s="170">
        <v>0</v>
      </c>
      <c r="P126" s="170">
        <f t="shared" si="215"/>
        <v>0</v>
      </c>
      <c r="Q126" s="78">
        <f t="shared" si="216"/>
        <v>68100</v>
      </c>
      <c r="R126" s="78">
        <f t="shared" si="217"/>
        <v>41400</v>
      </c>
      <c r="S126" s="78">
        <f t="shared" si="223"/>
        <v>109500</v>
      </c>
      <c r="T126" s="75">
        <f t="shared" si="224"/>
        <v>68100</v>
      </c>
      <c r="U126" s="75">
        <f t="shared" si="225"/>
        <v>41400</v>
      </c>
      <c r="V126" s="75">
        <f t="shared" si="226"/>
        <v>109500</v>
      </c>
      <c r="W126" s="75">
        <f t="shared" si="218"/>
        <v>120083</v>
      </c>
      <c r="X126" s="75">
        <f t="shared" si="219"/>
        <v>73002</v>
      </c>
      <c r="Y126" s="75">
        <f t="shared" si="227"/>
        <v>193085</v>
      </c>
      <c r="Z126" s="228">
        <f t="shared" si="220"/>
        <v>0</v>
      </c>
      <c r="AA126" s="228">
        <f t="shared" si="221"/>
        <v>0</v>
      </c>
      <c r="AB126" s="193">
        <f t="shared" si="222"/>
        <v>0</v>
      </c>
    </row>
    <row r="127" spans="2:29">
      <c r="B127" s="41" t="s">
        <v>345</v>
      </c>
      <c r="C127" s="139" t="s">
        <v>167</v>
      </c>
      <c r="D127" s="151">
        <v>43854</v>
      </c>
      <c r="E127" s="169">
        <f t="shared" si="212"/>
        <v>44700</v>
      </c>
      <c r="F127" s="24" t="s">
        <v>123</v>
      </c>
      <c r="G127" s="215">
        <v>7.9897590000000003</v>
      </c>
      <c r="H127" s="24">
        <v>-11.271478</v>
      </c>
      <c r="I127" s="24">
        <v>676</v>
      </c>
      <c r="J127" s="24">
        <v>300</v>
      </c>
      <c r="K127" s="30" t="s">
        <v>108</v>
      </c>
      <c r="L127" s="145">
        <f t="shared" si="213"/>
        <v>227</v>
      </c>
      <c r="M127" s="170">
        <v>0</v>
      </c>
      <c r="N127" s="145">
        <f t="shared" si="214"/>
        <v>138</v>
      </c>
      <c r="O127" s="170">
        <v>0</v>
      </c>
      <c r="P127" s="170">
        <f t="shared" si="215"/>
        <v>0</v>
      </c>
      <c r="Q127" s="78">
        <f t="shared" si="216"/>
        <v>68100</v>
      </c>
      <c r="R127" s="78">
        <f t="shared" si="217"/>
        <v>41400</v>
      </c>
      <c r="S127" s="78">
        <f t="shared" si="223"/>
        <v>109500</v>
      </c>
      <c r="T127" s="75">
        <f>(L127+M127)*J127</f>
        <v>68100</v>
      </c>
      <c r="U127" s="75">
        <f>(N127+O127)*J127</f>
        <v>41400</v>
      </c>
      <c r="V127" s="75">
        <f>SUM(T127:U127)</f>
        <v>109500</v>
      </c>
      <c r="W127" s="75">
        <f t="shared" si="218"/>
        <v>153452</v>
      </c>
      <c r="X127" s="75">
        <f t="shared" si="219"/>
        <v>93288</v>
      </c>
      <c r="Y127" s="75">
        <f>SUM(W127:X127)</f>
        <v>246740</v>
      </c>
      <c r="Z127" s="228">
        <f t="shared" si="220"/>
        <v>0</v>
      </c>
      <c r="AA127" s="228">
        <f t="shared" si="221"/>
        <v>0</v>
      </c>
      <c r="AB127" s="193">
        <f t="shared" si="222"/>
        <v>0</v>
      </c>
    </row>
    <row r="128" spans="2:29">
      <c r="B128" s="41" t="s">
        <v>346</v>
      </c>
      <c r="C128" s="139" t="s">
        <v>347</v>
      </c>
      <c r="D128" s="151">
        <v>43854</v>
      </c>
      <c r="E128" s="169">
        <f t="shared" si="212"/>
        <v>44700</v>
      </c>
      <c r="F128" s="24" t="s">
        <v>123</v>
      </c>
      <c r="G128" s="214">
        <v>8.1664782999999996</v>
      </c>
      <c r="H128" s="24">
        <v>-11.334909</v>
      </c>
      <c r="I128" s="24">
        <v>856</v>
      </c>
      <c r="J128" s="24">
        <v>300</v>
      </c>
      <c r="K128" s="30" t="s">
        <v>108</v>
      </c>
      <c r="L128" s="145">
        <f t="shared" si="213"/>
        <v>227</v>
      </c>
      <c r="M128" s="170">
        <v>0</v>
      </c>
      <c r="N128" s="145">
        <f t="shared" si="214"/>
        <v>138</v>
      </c>
      <c r="O128" s="170">
        <v>0</v>
      </c>
      <c r="P128" s="170">
        <f t="shared" si="215"/>
        <v>0</v>
      </c>
      <c r="Q128" s="78">
        <f t="shared" si="216"/>
        <v>68100</v>
      </c>
      <c r="R128" s="78">
        <f t="shared" si="217"/>
        <v>41400</v>
      </c>
      <c r="S128" s="78">
        <f t="shared" si="223"/>
        <v>109500</v>
      </c>
      <c r="T128" s="75">
        <f t="shared" ref="T128:T129" si="228">(L128+M128)*J128</f>
        <v>68100</v>
      </c>
      <c r="U128" s="75">
        <f t="shared" ref="U128:U129" si="229">(N128+O128)*J128</f>
        <v>41400</v>
      </c>
      <c r="V128" s="75">
        <f t="shared" ref="V128:V129" si="230">SUM(T128:U128)</f>
        <v>109500</v>
      </c>
      <c r="W128" s="75">
        <f t="shared" si="218"/>
        <v>194312</v>
      </c>
      <c r="X128" s="75">
        <f t="shared" si="219"/>
        <v>118128</v>
      </c>
      <c r="Y128" s="75">
        <f t="shared" ref="Y128:Y129" si="231">SUM(W128:X128)</f>
        <v>312440</v>
      </c>
      <c r="Z128" s="228">
        <f t="shared" si="220"/>
        <v>0</v>
      </c>
      <c r="AA128" s="228">
        <f t="shared" si="221"/>
        <v>0</v>
      </c>
      <c r="AB128" s="193">
        <f t="shared" si="222"/>
        <v>0</v>
      </c>
    </row>
    <row r="129" spans="2:29">
      <c r="B129" s="41" t="s">
        <v>348</v>
      </c>
      <c r="C129" s="139" t="s">
        <v>349</v>
      </c>
      <c r="D129" s="151">
        <v>43857</v>
      </c>
      <c r="E129" s="169">
        <f t="shared" si="212"/>
        <v>44700</v>
      </c>
      <c r="F129" s="24" t="s">
        <v>123</v>
      </c>
      <c r="G129" s="214">
        <v>7.85025</v>
      </c>
      <c r="H129" s="24">
        <v>-11.258756</v>
      </c>
      <c r="I129" s="24">
        <v>662</v>
      </c>
      <c r="J129" s="24">
        <v>300</v>
      </c>
      <c r="K129" s="24" t="s">
        <v>108</v>
      </c>
      <c r="L129" s="145">
        <f t="shared" si="213"/>
        <v>227</v>
      </c>
      <c r="M129" s="170">
        <v>0</v>
      </c>
      <c r="N129" s="145">
        <f t="shared" si="214"/>
        <v>138</v>
      </c>
      <c r="O129" s="170">
        <v>0</v>
      </c>
      <c r="P129" s="170">
        <f t="shared" si="215"/>
        <v>0</v>
      </c>
      <c r="Q129" s="78">
        <f t="shared" si="216"/>
        <v>68100</v>
      </c>
      <c r="R129" s="78">
        <f t="shared" si="217"/>
        <v>41400</v>
      </c>
      <c r="S129" s="78">
        <f t="shared" si="223"/>
        <v>109500</v>
      </c>
      <c r="T129" s="75">
        <f t="shared" si="228"/>
        <v>68100</v>
      </c>
      <c r="U129" s="75">
        <f t="shared" si="229"/>
        <v>41400</v>
      </c>
      <c r="V129" s="75">
        <f t="shared" si="230"/>
        <v>109500</v>
      </c>
      <c r="W129" s="75">
        <f t="shared" si="218"/>
        <v>150274</v>
      </c>
      <c r="X129" s="75">
        <f t="shared" si="219"/>
        <v>91356</v>
      </c>
      <c r="Y129" s="75">
        <f t="shared" si="231"/>
        <v>241630</v>
      </c>
      <c r="Z129" s="228">
        <f t="shared" si="220"/>
        <v>0</v>
      </c>
      <c r="AA129" s="228">
        <f t="shared" si="221"/>
        <v>0</v>
      </c>
      <c r="AB129" s="193">
        <f t="shared" si="222"/>
        <v>0</v>
      </c>
    </row>
    <row r="130" spans="2:29">
      <c r="B130" s="147" t="s">
        <v>350</v>
      </c>
      <c r="C130" s="147" t="s">
        <v>351</v>
      </c>
      <c r="D130" s="141">
        <v>44026</v>
      </c>
      <c r="E130" s="169">
        <f t="shared" si="212"/>
        <v>44700</v>
      </c>
      <c r="F130" s="142" t="s">
        <v>107</v>
      </c>
      <c r="G130" s="142">
        <v>8.5866319999999998</v>
      </c>
      <c r="H130" s="142">
        <v>-10.664225</v>
      </c>
      <c r="I130" s="142">
        <v>487</v>
      </c>
      <c r="J130" s="145">
        <f t="shared" ref="J130:J137" si="232">IF(I130&gt;300, 300, I130)</f>
        <v>300</v>
      </c>
      <c r="K130" s="24" t="s">
        <v>108</v>
      </c>
      <c r="L130" s="145">
        <f t="shared" si="213"/>
        <v>227</v>
      </c>
      <c r="M130" s="170">
        <v>0</v>
      </c>
      <c r="N130" s="145">
        <f t="shared" si="214"/>
        <v>138</v>
      </c>
      <c r="O130" s="170">
        <v>0</v>
      </c>
      <c r="P130" s="170">
        <f t="shared" si="215"/>
        <v>0</v>
      </c>
      <c r="Q130" s="76">
        <f t="shared" si="216"/>
        <v>68100</v>
      </c>
      <c r="R130" s="76">
        <f t="shared" si="217"/>
        <v>41400</v>
      </c>
      <c r="S130" s="78">
        <f t="shared" si="223"/>
        <v>109500</v>
      </c>
      <c r="T130" s="75">
        <f>(L130+M130)*J130</f>
        <v>68100</v>
      </c>
      <c r="U130" s="75">
        <f>(N130+O130)*J130</f>
        <v>41400</v>
      </c>
      <c r="V130" s="75">
        <f>SUM(T130:U130)</f>
        <v>109500</v>
      </c>
      <c r="W130" s="75">
        <f t="shared" si="218"/>
        <v>110549</v>
      </c>
      <c r="X130" s="75">
        <f t="shared" si="219"/>
        <v>67206</v>
      </c>
      <c r="Y130" s="75">
        <f>SUM(W130:X130)</f>
        <v>177755</v>
      </c>
      <c r="Z130" s="228">
        <f t="shared" si="220"/>
        <v>0</v>
      </c>
      <c r="AA130" s="228">
        <f t="shared" si="221"/>
        <v>0</v>
      </c>
      <c r="AB130" s="193">
        <f t="shared" si="222"/>
        <v>0</v>
      </c>
    </row>
    <row r="131" spans="2:29">
      <c r="B131" s="147" t="s">
        <v>352</v>
      </c>
      <c r="C131" s="147" t="s">
        <v>353</v>
      </c>
      <c r="D131" s="141">
        <v>44029</v>
      </c>
      <c r="E131" s="169">
        <f t="shared" si="212"/>
        <v>44700</v>
      </c>
      <c r="F131" s="142" t="s">
        <v>107</v>
      </c>
      <c r="G131" s="142">
        <v>8.5865030000000004</v>
      </c>
      <c r="H131" s="142">
        <v>-10.65076</v>
      </c>
      <c r="I131" s="142">
        <v>602</v>
      </c>
      <c r="J131" s="145">
        <f t="shared" si="232"/>
        <v>300</v>
      </c>
      <c r="K131" s="24" t="s">
        <v>108</v>
      </c>
      <c r="L131" s="145">
        <f t="shared" si="213"/>
        <v>227</v>
      </c>
      <c r="M131" s="170">
        <v>0</v>
      </c>
      <c r="N131" s="145">
        <f t="shared" si="214"/>
        <v>138</v>
      </c>
      <c r="O131" s="170">
        <v>0</v>
      </c>
      <c r="P131" s="170">
        <f t="shared" si="215"/>
        <v>0</v>
      </c>
      <c r="Q131" s="76">
        <f t="shared" si="216"/>
        <v>68100</v>
      </c>
      <c r="R131" s="76">
        <f t="shared" si="217"/>
        <v>41400</v>
      </c>
      <c r="S131" s="78">
        <f t="shared" si="223"/>
        <v>109500</v>
      </c>
      <c r="T131" s="75">
        <f t="shared" ref="T131:T137" si="233">(L131+M131)*J131</f>
        <v>68100</v>
      </c>
      <c r="U131" s="75">
        <f t="shared" ref="U131:U137" si="234">(N131+O131)*J131</f>
        <v>41400</v>
      </c>
      <c r="V131" s="75">
        <f t="shared" ref="V131:V137" si="235">SUM(T131:U131)</f>
        <v>109500</v>
      </c>
      <c r="W131" s="75">
        <f t="shared" si="218"/>
        <v>136654</v>
      </c>
      <c r="X131" s="75">
        <f t="shared" si="219"/>
        <v>83076</v>
      </c>
      <c r="Y131" s="75">
        <f t="shared" ref="Y131:Y137" si="236">SUM(W131:X131)</f>
        <v>219730</v>
      </c>
      <c r="Z131" s="228">
        <f t="shared" si="220"/>
        <v>0</v>
      </c>
      <c r="AA131" s="228">
        <f t="shared" si="221"/>
        <v>0</v>
      </c>
      <c r="AB131" s="193">
        <f t="shared" si="222"/>
        <v>0</v>
      </c>
    </row>
    <row r="132" spans="2:29">
      <c r="B132" s="147" t="s">
        <v>354</v>
      </c>
      <c r="C132" s="147" t="s">
        <v>355</v>
      </c>
      <c r="D132" s="141">
        <v>44028</v>
      </c>
      <c r="E132" s="169">
        <f t="shared" si="212"/>
        <v>44700</v>
      </c>
      <c r="F132" s="142" t="s">
        <v>107</v>
      </c>
      <c r="G132" s="142">
        <v>8.5951730000000008</v>
      </c>
      <c r="H132" s="142">
        <v>-10.628119999999999</v>
      </c>
      <c r="I132" s="142">
        <v>532</v>
      </c>
      <c r="J132" s="145">
        <f t="shared" si="232"/>
        <v>300</v>
      </c>
      <c r="K132" s="24" t="s">
        <v>108</v>
      </c>
      <c r="L132" s="145">
        <f t="shared" si="213"/>
        <v>227</v>
      </c>
      <c r="M132" s="170">
        <v>0</v>
      </c>
      <c r="N132" s="145">
        <f t="shared" si="214"/>
        <v>138</v>
      </c>
      <c r="O132" s="170">
        <v>0</v>
      </c>
      <c r="P132" s="170">
        <f t="shared" si="215"/>
        <v>0</v>
      </c>
      <c r="Q132" s="76">
        <f t="shared" si="216"/>
        <v>68100</v>
      </c>
      <c r="R132" s="76">
        <f t="shared" si="217"/>
        <v>41400</v>
      </c>
      <c r="S132" s="78">
        <f t="shared" si="223"/>
        <v>109500</v>
      </c>
      <c r="T132" s="75">
        <f t="shared" si="233"/>
        <v>68100</v>
      </c>
      <c r="U132" s="75">
        <f t="shared" si="234"/>
        <v>41400</v>
      </c>
      <c r="V132" s="75">
        <f t="shared" si="235"/>
        <v>109500</v>
      </c>
      <c r="W132" s="75">
        <f t="shared" si="218"/>
        <v>120764</v>
      </c>
      <c r="X132" s="75">
        <f t="shared" si="219"/>
        <v>73416</v>
      </c>
      <c r="Y132" s="75">
        <f t="shared" si="236"/>
        <v>194180</v>
      </c>
      <c r="Z132" s="228">
        <f t="shared" si="220"/>
        <v>0</v>
      </c>
      <c r="AA132" s="228">
        <f t="shared" si="221"/>
        <v>0</v>
      </c>
      <c r="AB132" s="193">
        <f t="shared" si="222"/>
        <v>0</v>
      </c>
    </row>
    <row r="133" spans="2:29">
      <c r="B133" s="147" t="s">
        <v>356</v>
      </c>
      <c r="C133" s="147" t="s">
        <v>286</v>
      </c>
      <c r="D133" s="141">
        <v>44029</v>
      </c>
      <c r="E133" s="169">
        <f t="shared" si="212"/>
        <v>44700</v>
      </c>
      <c r="F133" s="142" t="s">
        <v>107</v>
      </c>
      <c r="G133" s="142">
        <v>8.614077</v>
      </c>
      <c r="H133" s="142">
        <v>-11.054088</v>
      </c>
      <c r="I133" s="142">
        <v>505</v>
      </c>
      <c r="J133" s="145">
        <f t="shared" si="232"/>
        <v>300</v>
      </c>
      <c r="K133" s="24" t="s">
        <v>108</v>
      </c>
      <c r="L133" s="145">
        <f t="shared" si="213"/>
        <v>227</v>
      </c>
      <c r="M133" s="170">
        <v>0</v>
      </c>
      <c r="N133" s="145">
        <f t="shared" si="214"/>
        <v>138</v>
      </c>
      <c r="O133" s="170">
        <v>0</v>
      </c>
      <c r="P133" s="170">
        <f t="shared" si="215"/>
        <v>0</v>
      </c>
      <c r="Q133" s="76">
        <f t="shared" si="216"/>
        <v>68100</v>
      </c>
      <c r="R133" s="76">
        <f t="shared" si="217"/>
        <v>41400</v>
      </c>
      <c r="S133" s="78">
        <f t="shared" si="223"/>
        <v>109500</v>
      </c>
      <c r="T133" s="75">
        <f t="shared" si="233"/>
        <v>68100</v>
      </c>
      <c r="U133" s="75">
        <f t="shared" si="234"/>
        <v>41400</v>
      </c>
      <c r="V133" s="75">
        <f t="shared" si="235"/>
        <v>109500</v>
      </c>
      <c r="W133" s="75">
        <f t="shared" si="218"/>
        <v>114635</v>
      </c>
      <c r="X133" s="75">
        <f t="shared" si="219"/>
        <v>69690</v>
      </c>
      <c r="Y133" s="75">
        <f t="shared" si="236"/>
        <v>184325</v>
      </c>
      <c r="Z133" s="228">
        <f t="shared" si="220"/>
        <v>0</v>
      </c>
      <c r="AA133" s="228">
        <f t="shared" si="221"/>
        <v>0</v>
      </c>
      <c r="AB133" s="193">
        <f t="shared" si="222"/>
        <v>0</v>
      </c>
    </row>
    <row r="134" spans="2:29">
      <c r="B134" s="147" t="s">
        <v>357</v>
      </c>
      <c r="C134" s="147" t="s">
        <v>358</v>
      </c>
      <c r="D134" s="141">
        <v>44025</v>
      </c>
      <c r="E134" s="169">
        <f t="shared" si="212"/>
        <v>44700</v>
      </c>
      <c r="F134" s="142" t="s">
        <v>107</v>
      </c>
      <c r="G134" s="142">
        <v>8.5770820000000008</v>
      </c>
      <c r="H134" s="142">
        <v>-10.577852</v>
      </c>
      <c r="I134" s="142">
        <v>474</v>
      </c>
      <c r="J134" s="145">
        <f t="shared" si="232"/>
        <v>300</v>
      </c>
      <c r="K134" s="24" t="s">
        <v>108</v>
      </c>
      <c r="L134" s="145">
        <f t="shared" si="213"/>
        <v>170</v>
      </c>
      <c r="M134" s="170">
        <v>57</v>
      </c>
      <c r="N134" s="145">
        <f t="shared" si="214"/>
        <v>103</v>
      </c>
      <c r="O134" s="170">
        <v>35</v>
      </c>
      <c r="P134" s="170">
        <f t="shared" si="215"/>
        <v>92</v>
      </c>
      <c r="Q134" s="76">
        <f t="shared" si="216"/>
        <v>51000</v>
      </c>
      <c r="R134" s="76">
        <f t="shared" si="217"/>
        <v>30900</v>
      </c>
      <c r="S134" s="78">
        <f t="shared" si="223"/>
        <v>81900</v>
      </c>
      <c r="T134" s="75">
        <f t="shared" si="233"/>
        <v>68100</v>
      </c>
      <c r="U134" s="75">
        <f t="shared" si="234"/>
        <v>41400</v>
      </c>
      <c r="V134" s="75">
        <f t="shared" si="235"/>
        <v>109500</v>
      </c>
      <c r="W134" s="75">
        <f t="shared" si="218"/>
        <v>80580</v>
      </c>
      <c r="X134" s="75">
        <f t="shared" si="219"/>
        <v>48822</v>
      </c>
      <c r="Y134" s="75">
        <f t="shared" si="236"/>
        <v>129402</v>
      </c>
      <c r="Z134" s="228">
        <f t="shared" si="220"/>
        <v>0.25110132158590309</v>
      </c>
      <c r="AA134" s="228">
        <f t="shared" si="221"/>
        <v>0.25362318840579712</v>
      </c>
      <c r="AB134" s="193">
        <f t="shared" si="222"/>
        <v>0.25205479452054796</v>
      </c>
    </row>
    <row r="135" spans="2:29">
      <c r="B135" s="147" t="s">
        <v>359</v>
      </c>
      <c r="C135" s="147" t="s">
        <v>360</v>
      </c>
      <c r="D135" s="141">
        <v>44023</v>
      </c>
      <c r="E135" s="169">
        <f t="shared" si="212"/>
        <v>44700</v>
      </c>
      <c r="F135" s="142" t="s">
        <v>159</v>
      </c>
      <c r="G135" s="142">
        <v>8.6786180000000002</v>
      </c>
      <c r="H135" s="142">
        <v>-10.959647</v>
      </c>
      <c r="I135" s="142">
        <v>502</v>
      </c>
      <c r="J135" s="145">
        <f t="shared" si="232"/>
        <v>300</v>
      </c>
      <c r="K135" s="24" t="s">
        <v>108</v>
      </c>
      <c r="L135" s="145">
        <f t="shared" si="213"/>
        <v>227</v>
      </c>
      <c r="M135" s="170">
        <v>0</v>
      </c>
      <c r="N135" s="145">
        <f t="shared" si="214"/>
        <v>138</v>
      </c>
      <c r="O135" s="170">
        <v>0</v>
      </c>
      <c r="P135" s="170">
        <f t="shared" si="215"/>
        <v>0</v>
      </c>
      <c r="Q135" s="76">
        <f t="shared" si="216"/>
        <v>68100</v>
      </c>
      <c r="R135" s="76">
        <f t="shared" si="217"/>
        <v>41400</v>
      </c>
      <c r="S135" s="76">
        <f t="shared" si="223"/>
        <v>109500</v>
      </c>
      <c r="T135" s="75">
        <f t="shared" si="233"/>
        <v>68100</v>
      </c>
      <c r="U135" s="75">
        <f t="shared" si="234"/>
        <v>41400</v>
      </c>
      <c r="V135" s="75">
        <f t="shared" si="235"/>
        <v>109500</v>
      </c>
      <c r="W135" s="75">
        <f t="shared" si="218"/>
        <v>113954</v>
      </c>
      <c r="X135" s="75">
        <f t="shared" si="219"/>
        <v>69276</v>
      </c>
      <c r="Y135" s="75">
        <f t="shared" si="236"/>
        <v>183230</v>
      </c>
      <c r="Z135" s="228">
        <f t="shared" si="220"/>
        <v>0</v>
      </c>
      <c r="AA135" s="228">
        <f t="shared" si="221"/>
        <v>0</v>
      </c>
      <c r="AB135" s="193">
        <f t="shared" si="222"/>
        <v>0</v>
      </c>
    </row>
    <row r="136" spans="2:29">
      <c r="B136" s="147" t="s">
        <v>361</v>
      </c>
      <c r="C136" s="147" t="s">
        <v>362</v>
      </c>
      <c r="D136" s="141">
        <v>44030</v>
      </c>
      <c r="E136" s="169">
        <f t="shared" si="212"/>
        <v>44700</v>
      </c>
      <c r="F136" s="142" t="s">
        <v>159</v>
      </c>
      <c r="G136" s="142">
        <v>8.7281230000000001</v>
      </c>
      <c r="H136" s="142">
        <v>-11.096781999999999</v>
      </c>
      <c r="I136" s="142">
        <v>526</v>
      </c>
      <c r="J136" s="145">
        <f t="shared" si="232"/>
        <v>300</v>
      </c>
      <c r="K136" s="24" t="s">
        <v>108</v>
      </c>
      <c r="L136" s="145">
        <f t="shared" si="213"/>
        <v>227</v>
      </c>
      <c r="M136" s="170">
        <v>0</v>
      </c>
      <c r="N136" s="145">
        <f t="shared" si="214"/>
        <v>138</v>
      </c>
      <c r="O136" s="170">
        <v>0</v>
      </c>
      <c r="P136" s="170">
        <f t="shared" si="215"/>
        <v>0</v>
      </c>
      <c r="Q136" s="76">
        <f t="shared" si="216"/>
        <v>68100</v>
      </c>
      <c r="R136" s="76">
        <f t="shared" si="217"/>
        <v>41400</v>
      </c>
      <c r="S136" s="76">
        <f t="shared" si="223"/>
        <v>109500</v>
      </c>
      <c r="T136" s="75">
        <f t="shared" si="233"/>
        <v>68100</v>
      </c>
      <c r="U136" s="75">
        <f t="shared" si="234"/>
        <v>41400</v>
      </c>
      <c r="V136" s="75">
        <f t="shared" si="235"/>
        <v>109500</v>
      </c>
      <c r="W136" s="75">
        <f t="shared" si="218"/>
        <v>119402</v>
      </c>
      <c r="X136" s="75">
        <f t="shared" si="219"/>
        <v>72588</v>
      </c>
      <c r="Y136" s="75">
        <f t="shared" si="236"/>
        <v>191990</v>
      </c>
      <c r="Z136" s="228">
        <f t="shared" si="220"/>
        <v>0</v>
      </c>
      <c r="AA136" s="228">
        <f t="shared" si="221"/>
        <v>0</v>
      </c>
      <c r="AB136" s="193">
        <f t="shared" si="222"/>
        <v>0</v>
      </c>
    </row>
    <row r="137" spans="2:29">
      <c r="B137" s="147" t="s">
        <v>363</v>
      </c>
      <c r="C137" s="147" t="s">
        <v>364</v>
      </c>
      <c r="D137" s="141">
        <v>44023</v>
      </c>
      <c r="E137" s="169">
        <f t="shared" si="212"/>
        <v>44700</v>
      </c>
      <c r="F137" s="142" t="s">
        <v>159</v>
      </c>
      <c r="G137" s="142">
        <v>8.7712149999999998</v>
      </c>
      <c r="H137" s="142">
        <v>-10.935428</v>
      </c>
      <c r="I137" s="142">
        <v>474</v>
      </c>
      <c r="J137" s="145">
        <f t="shared" si="232"/>
        <v>300</v>
      </c>
      <c r="K137" s="24" t="s">
        <v>108</v>
      </c>
      <c r="L137" s="145">
        <f t="shared" si="213"/>
        <v>227</v>
      </c>
      <c r="M137" s="170">
        <v>0</v>
      </c>
      <c r="N137" s="145">
        <f t="shared" si="214"/>
        <v>138</v>
      </c>
      <c r="O137" s="170">
        <v>0</v>
      </c>
      <c r="P137" s="170">
        <f t="shared" si="215"/>
        <v>0</v>
      </c>
      <c r="Q137" s="76">
        <f t="shared" si="216"/>
        <v>68100</v>
      </c>
      <c r="R137" s="76">
        <f t="shared" si="217"/>
        <v>41400</v>
      </c>
      <c r="S137" s="76">
        <f t="shared" si="223"/>
        <v>109500</v>
      </c>
      <c r="T137" s="75">
        <f t="shared" si="233"/>
        <v>68100</v>
      </c>
      <c r="U137" s="75">
        <f t="shared" si="234"/>
        <v>41400</v>
      </c>
      <c r="V137" s="75">
        <f t="shared" si="235"/>
        <v>109500</v>
      </c>
      <c r="W137" s="75">
        <f t="shared" si="218"/>
        <v>107598</v>
      </c>
      <c r="X137" s="75">
        <f t="shared" si="219"/>
        <v>65412</v>
      </c>
      <c r="Y137" s="75">
        <f t="shared" si="236"/>
        <v>173010</v>
      </c>
      <c r="Z137" s="228">
        <f t="shared" si="220"/>
        <v>0</v>
      </c>
      <c r="AA137" s="228">
        <f t="shared" si="221"/>
        <v>0</v>
      </c>
      <c r="AB137" s="193">
        <f t="shared" si="222"/>
        <v>0</v>
      </c>
    </row>
    <row r="138" spans="2:29">
      <c r="B138" s="148">
        <f>COUNTA(B124:B137)</f>
        <v>14</v>
      </c>
      <c r="C138" s="94"/>
      <c r="D138" s="149"/>
      <c r="E138" s="149"/>
      <c r="F138" s="94"/>
      <c r="G138" s="94"/>
      <c r="H138" s="94"/>
      <c r="I138" s="95">
        <f>SUM(I124:I137)</f>
        <v>8039</v>
      </c>
      <c r="J138" s="87">
        <f>SUM(J124:J137)</f>
        <v>4200</v>
      </c>
      <c r="K138" s="94"/>
      <c r="L138" s="95">
        <f>SUM(L124:L137)</f>
        <v>3121</v>
      </c>
      <c r="M138" s="87">
        <f>SUM(M125:M137)</f>
        <v>57</v>
      </c>
      <c r="N138" s="95">
        <f>SUM(N124:N137)</f>
        <v>1897</v>
      </c>
      <c r="O138" s="87">
        <f>SUM(O125:O137)</f>
        <v>35</v>
      </c>
      <c r="P138" s="87">
        <f>SUM(P125:P137)</f>
        <v>92</v>
      </c>
      <c r="Q138" s="96">
        <f t="shared" ref="Q138:Y138" si="237">SUM(Q124:Q137)</f>
        <v>936300</v>
      </c>
      <c r="R138" s="96">
        <f t="shared" si="237"/>
        <v>569100</v>
      </c>
      <c r="S138" s="96">
        <f t="shared" si="237"/>
        <v>1505400</v>
      </c>
      <c r="T138" s="96">
        <f t="shared" si="237"/>
        <v>953400</v>
      </c>
      <c r="U138" s="96">
        <f t="shared" si="237"/>
        <v>579600</v>
      </c>
      <c r="V138" s="96">
        <f t="shared" si="237"/>
        <v>1533000</v>
      </c>
      <c r="W138" s="96">
        <f t="shared" si="237"/>
        <v>1797835</v>
      </c>
      <c r="X138" s="96">
        <f t="shared" si="237"/>
        <v>1092792</v>
      </c>
      <c r="Y138" s="96">
        <f t="shared" si="237"/>
        <v>2890627</v>
      </c>
      <c r="Z138" s="223">
        <f t="shared" ref="Z138:AA138" si="238">AVERAGE(Z124:Z137)</f>
        <v>1.7935808684707365E-2</v>
      </c>
      <c r="AA138" s="223">
        <f t="shared" si="238"/>
        <v>1.8115942028985508E-2</v>
      </c>
      <c r="AB138" s="223">
        <f>AVERAGE(AB124:AB137)</f>
        <v>1.8003913894324854E-2</v>
      </c>
      <c r="AC138" s="186"/>
    </row>
    <row r="139" spans="2:29">
      <c r="B139" s="137" t="s">
        <v>365</v>
      </c>
      <c r="C139" s="138"/>
      <c r="D139" s="138"/>
      <c r="E139" s="138"/>
      <c r="F139" s="138"/>
      <c r="G139" s="84"/>
      <c r="H139" s="84"/>
      <c r="I139" s="138"/>
      <c r="J139" s="138"/>
      <c r="K139" s="138"/>
      <c r="L139" s="89"/>
      <c r="M139" s="89"/>
      <c r="N139" s="90"/>
      <c r="O139" s="90"/>
      <c r="P139" s="90"/>
      <c r="Q139" s="91"/>
      <c r="R139" s="92"/>
      <c r="S139" s="93"/>
      <c r="T139" s="93"/>
      <c r="U139" s="93"/>
      <c r="V139" s="93"/>
      <c r="W139" s="93"/>
      <c r="X139" s="93"/>
      <c r="Y139" s="93"/>
      <c r="Z139" s="93"/>
      <c r="AA139" s="93"/>
      <c r="AB139" s="192"/>
    </row>
    <row r="140" spans="2:29">
      <c r="B140" s="31" t="s">
        <v>366</v>
      </c>
      <c r="C140" s="154" t="s">
        <v>367</v>
      </c>
      <c r="D140" s="151">
        <v>43858</v>
      </c>
      <c r="E140" s="169">
        <f t="shared" ref="E140:E153" si="239">IF(LEFT(B140,2)="BO",D140+1,$AE$2)</f>
        <v>44700</v>
      </c>
      <c r="F140" s="145" t="s">
        <v>123</v>
      </c>
      <c r="G140" s="73">
        <v>8.1029149999999994</v>
      </c>
      <c r="H140" s="24">
        <v>-11.332933000000001</v>
      </c>
      <c r="I140" s="145">
        <v>528</v>
      </c>
      <c r="J140" s="145">
        <v>300</v>
      </c>
      <c r="K140" s="74" t="s">
        <v>108</v>
      </c>
      <c r="L140" s="145">
        <f t="shared" ref="L140:L153" si="240">$AE$4-$E140-M140+1</f>
        <v>227</v>
      </c>
      <c r="M140" s="170">
        <v>0</v>
      </c>
      <c r="N140" s="145">
        <f t="shared" ref="N140:N152" si="241">$AE$3-$AE$4-O140</f>
        <v>138</v>
      </c>
      <c r="O140" s="170">
        <v>0</v>
      </c>
      <c r="P140" s="170">
        <f t="shared" ref="P140:P153" si="242">M140+O140</f>
        <v>0</v>
      </c>
      <c r="Q140" s="79">
        <f t="shared" ref="Q140:Q153" si="243">L140*J140</f>
        <v>68100</v>
      </c>
      <c r="R140" s="79">
        <f t="shared" ref="R140:R153" si="244">N140*J140</f>
        <v>41400</v>
      </c>
      <c r="S140" s="79">
        <f>SUM(Q140:R140)</f>
        <v>109500</v>
      </c>
      <c r="T140" s="75">
        <f>(L140+M140)*J140</f>
        <v>68100</v>
      </c>
      <c r="U140" s="75">
        <f>(N140+O140)*J140</f>
        <v>41400</v>
      </c>
      <c r="V140" s="75">
        <f>SUM(T140:U140)</f>
        <v>109500</v>
      </c>
      <c r="W140" s="75">
        <f t="shared" ref="W140:W153" si="245">L140*I140</f>
        <v>119856</v>
      </c>
      <c r="X140" s="75">
        <f t="shared" ref="X140:X153" si="246">N140*I140</f>
        <v>72864</v>
      </c>
      <c r="Y140" s="75">
        <f>SUM(W140:X140)</f>
        <v>192720</v>
      </c>
      <c r="Z140" s="228">
        <f>M140/SUM(L140:M140)</f>
        <v>0</v>
      </c>
      <c r="AA140" s="228">
        <f t="shared" ref="AA140:AA153" si="247">O140/SUM(N140:O140)</f>
        <v>0</v>
      </c>
      <c r="AB140" s="193">
        <f t="shared" ref="AB140:AB153" si="248">(M140+O140)/SUM(L140:O140)</f>
        <v>0</v>
      </c>
    </row>
    <row r="141" spans="2:29">
      <c r="B141" s="41" t="s">
        <v>368</v>
      </c>
      <c r="C141" s="139" t="s">
        <v>369</v>
      </c>
      <c r="D141" s="151">
        <v>43859</v>
      </c>
      <c r="E141" s="169">
        <f t="shared" si="239"/>
        <v>44700</v>
      </c>
      <c r="F141" s="24" t="s">
        <v>123</v>
      </c>
      <c r="G141" s="33">
        <v>8.1924709999999994</v>
      </c>
      <c r="H141" s="24">
        <v>-11.338331</v>
      </c>
      <c r="I141" s="145">
        <v>569</v>
      </c>
      <c r="J141" s="145">
        <v>300</v>
      </c>
      <c r="K141" s="30" t="s">
        <v>108</v>
      </c>
      <c r="L141" s="145">
        <f t="shared" si="240"/>
        <v>227</v>
      </c>
      <c r="M141" s="170">
        <v>0</v>
      </c>
      <c r="N141" s="145">
        <f t="shared" si="241"/>
        <v>138</v>
      </c>
      <c r="O141" s="189">
        <v>0</v>
      </c>
      <c r="P141" s="170">
        <f t="shared" si="242"/>
        <v>0</v>
      </c>
      <c r="Q141" s="79">
        <f t="shared" si="243"/>
        <v>68100</v>
      </c>
      <c r="R141" s="79">
        <f t="shared" si="244"/>
        <v>41400</v>
      </c>
      <c r="S141" s="78">
        <f t="shared" ref="S141:S153" si="249">SUM(Q141:R141)</f>
        <v>109500</v>
      </c>
      <c r="T141" s="75">
        <f t="shared" ref="T141:T142" si="250">(L141+M141)*J141</f>
        <v>68100</v>
      </c>
      <c r="U141" s="75">
        <f t="shared" ref="U141:U142" si="251">(N141+O141)*J141</f>
        <v>41400</v>
      </c>
      <c r="V141" s="75">
        <f t="shared" ref="V141:V142" si="252">SUM(T141:U141)</f>
        <v>109500</v>
      </c>
      <c r="W141" s="75">
        <f t="shared" si="245"/>
        <v>129163</v>
      </c>
      <c r="X141" s="75">
        <f t="shared" si="246"/>
        <v>78522</v>
      </c>
      <c r="Y141" s="75">
        <f t="shared" ref="Y141:Y142" si="253">SUM(W141:X141)</f>
        <v>207685</v>
      </c>
      <c r="Z141" s="228">
        <f t="shared" ref="Z141:Z153" si="254">M141/SUM(L141:M141)</f>
        <v>0</v>
      </c>
      <c r="AA141" s="228">
        <f t="shared" si="247"/>
        <v>0</v>
      </c>
      <c r="AB141" s="193">
        <f t="shared" si="248"/>
        <v>0</v>
      </c>
    </row>
    <row r="142" spans="2:29">
      <c r="B142" s="41" t="s">
        <v>370</v>
      </c>
      <c r="C142" s="139" t="s">
        <v>371</v>
      </c>
      <c r="D142" s="151">
        <v>43860</v>
      </c>
      <c r="E142" s="169">
        <f t="shared" si="239"/>
        <v>44700</v>
      </c>
      <c r="F142" s="24" t="s">
        <v>123</v>
      </c>
      <c r="G142" s="33">
        <v>8.1181699999999992</v>
      </c>
      <c r="H142" s="24">
        <v>-11.340287999999999</v>
      </c>
      <c r="I142" s="24">
        <v>665</v>
      </c>
      <c r="J142" s="24">
        <v>300</v>
      </c>
      <c r="K142" s="30" t="s">
        <v>108</v>
      </c>
      <c r="L142" s="145">
        <f t="shared" si="240"/>
        <v>227</v>
      </c>
      <c r="M142" s="170">
        <v>0</v>
      </c>
      <c r="N142" s="145">
        <f t="shared" si="241"/>
        <v>138</v>
      </c>
      <c r="O142" s="170">
        <v>0</v>
      </c>
      <c r="P142" s="170">
        <f t="shared" si="242"/>
        <v>0</v>
      </c>
      <c r="Q142" s="79">
        <f t="shared" si="243"/>
        <v>68100</v>
      </c>
      <c r="R142" s="79">
        <f t="shared" si="244"/>
        <v>41400</v>
      </c>
      <c r="S142" s="78">
        <f t="shared" si="249"/>
        <v>109500</v>
      </c>
      <c r="T142" s="75">
        <f t="shared" si="250"/>
        <v>68100</v>
      </c>
      <c r="U142" s="75">
        <f t="shared" si="251"/>
        <v>41400</v>
      </c>
      <c r="V142" s="75">
        <f t="shared" si="252"/>
        <v>109500</v>
      </c>
      <c r="W142" s="75">
        <f t="shared" si="245"/>
        <v>150955</v>
      </c>
      <c r="X142" s="75">
        <f t="shared" si="246"/>
        <v>91770</v>
      </c>
      <c r="Y142" s="75">
        <f t="shared" si="253"/>
        <v>242725</v>
      </c>
      <c r="Z142" s="228">
        <f t="shared" si="254"/>
        <v>0</v>
      </c>
      <c r="AA142" s="228">
        <f t="shared" si="247"/>
        <v>0</v>
      </c>
      <c r="AB142" s="193">
        <f t="shared" si="248"/>
        <v>0</v>
      </c>
    </row>
    <row r="143" spans="2:29">
      <c r="B143" s="41" t="s">
        <v>372</v>
      </c>
      <c r="C143" s="139" t="s">
        <v>373</v>
      </c>
      <c r="D143" s="151">
        <v>43861</v>
      </c>
      <c r="E143" s="169">
        <f t="shared" si="239"/>
        <v>44700</v>
      </c>
      <c r="F143" s="24" t="s">
        <v>123</v>
      </c>
      <c r="G143" s="33">
        <v>7.9870489999999998</v>
      </c>
      <c r="H143" s="24">
        <v>-11.330595000000001</v>
      </c>
      <c r="I143" s="24">
        <v>560</v>
      </c>
      <c r="J143" s="24">
        <v>300</v>
      </c>
      <c r="K143" s="30" t="s">
        <v>108</v>
      </c>
      <c r="L143" s="145">
        <f t="shared" si="240"/>
        <v>227</v>
      </c>
      <c r="M143" s="170">
        <v>0</v>
      </c>
      <c r="N143" s="145">
        <f t="shared" si="241"/>
        <v>138</v>
      </c>
      <c r="O143" s="170">
        <v>0</v>
      </c>
      <c r="P143" s="170">
        <f t="shared" si="242"/>
        <v>0</v>
      </c>
      <c r="Q143" s="79">
        <f t="shared" si="243"/>
        <v>68100</v>
      </c>
      <c r="R143" s="79">
        <f t="shared" si="244"/>
        <v>41400</v>
      </c>
      <c r="S143" s="78">
        <f t="shared" si="249"/>
        <v>109500</v>
      </c>
      <c r="T143" s="75">
        <f>(L143+M143)*J143</f>
        <v>68100</v>
      </c>
      <c r="U143" s="75">
        <f>(N143+O143)*J143</f>
        <v>41400</v>
      </c>
      <c r="V143" s="75">
        <f>SUM(T143:U143)</f>
        <v>109500</v>
      </c>
      <c r="W143" s="75">
        <f t="shared" si="245"/>
        <v>127120</v>
      </c>
      <c r="X143" s="75">
        <f t="shared" si="246"/>
        <v>77280</v>
      </c>
      <c r="Y143" s="75">
        <f>SUM(W143:X143)</f>
        <v>204400</v>
      </c>
      <c r="Z143" s="228">
        <f t="shared" si="254"/>
        <v>0</v>
      </c>
      <c r="AA143" s="228">
        <f t="shared" si="247"/>
        <v>0</v>
      </c>
      <c r="AB143" s="193">
        <f t="shared" si="248"/>
        <v>0</v>
      </c>
    </row>
    <row r="144" spans="2:29">
      <c r="B144" s="41" t="s">
        <v>374</v>
      </c>
      <c r="C144" s="139" t="s">
        <v>375</v>
      </c>
      <c r="D144" s="151">
        <v>43853</v>
      </c>
      <c r="E144" s="169">
        <f t="shared" si="239"/>
        <v>44700</v>
      </c>
      <c r="F144" s="24" t="s">
        <v>123</v>
      </c>
      <c r="G144" s="33">
        <v>8.1145083000000007</v>
      </c>
      <c r="H144" s="24">
        <v>-11.335915999999999</v>
      </c>
      <c r="I144" s="24">
        <v>555</v>
      </c>
      <c r="J144" s="24">
        <v>300</v>
      </c>
      <c r="K144" s="30" t="s">
        <v>108</v>
      </c>
      <c r="L144" s="145">
        <f t="shared" si="240"/>
        <v>227</v>
      </c>
      <c r="M144" s="170">
        <v>0</v>
      </c>
      <c r="N144" s="145">
        <f t="shared" si="241"/>
        <v>138</v>
      </c>
      <c r="O144" s="170">
        <v>0</v>
      </c>
      <c r="P144" s="170">
        <f t="shared" si="242"/>
        <v>0</v>
      </c>
      <c r="Q144" s="79">
        <f>L144*J144</f>
        <v>68100</v>
      </c>
      <c r="R144" s="79">
        <f t="shared" si="244"/>
        <v>41400</v>
      </c>
      <c r="S144" s="78">
        <f>SUM(Q144:R144)</f>
        <v>109500</v>
      </c>
      <c r="T144" s="75">
        <f t="shared" ref="T144:T145" si="255">(L144+M144)*J144</f>
        <v>68100</v>
      </c>
      <c r="U144" s="75">
        <f t="shared" ref="U144:U145" si="256">(N144+O144)*J144</f>
        <v>41400</v>
      </c>
      <c r="V144" s="75">
        <f t="shared" ref="V144:V145" si="257">SUM(T144:U144)</f>
        <v>109500</v>
      </c>
      <c r="W144" s="75">
        <f t="shared" si="245"/>
        <v>125985</v>
      </c>
      <c r="X144" s="75">
        <f t="shared" si="246"/>
        <v>76590</v>
      </c>
      <c r="Y144" s="75">
        <f t="shared" ref="Y144:Y145" si="258">SUM(W144:X144)</f>
        <v>202575</v>
      </c>
      <c r="Z144" s="228">
        <f t="shared" si="254"/>
        <v>0</v>
      </c>
      <c r="AA144" s="228">
        <f t="shared" si="247"/>
        <v>0</v>
      </c>
      <c r="AB144" s="193">
        <f t="shared" si="248"/>
        <v>0</v>
      </c>
    </row>
    <row r="145" spans="2:29">
      <c r="B145" s="41" t="s">
        <v>376</v>
      </c>
      <c r="C145" s="139" t="s">
        <v>377</v>
      </c>
      <c r="D145" s="151">
        <v>43794</v>
      </c>
      <c r="E145" s="169">
        <f t="shared" si="239"/>
        <v>44700</v>
      </c>
      <c r="F145" s="24" t="s">
        <v>123</v>
      </c>
      <c r="G145" s="34">
        <v>7.9403839999999999</v>
      </c>
      <c r="H145" s="24">
        <v>-10.325519999999999</v>
      </c>
      <c r="I145" s="24">
        <v>760</v>
      </c>
      <c r="J145" s="24">
        <v>300</v>
      </c>
      <c r="K145" s="24" t="s">
        <v>108</v>
      </c>
      <c r="L145" s="145">
        <f t="shared" si="240"/>
        <v>227</v>
      </c>
      <c r="M145" s="170">
        <v>0</v>
      </c>
      <c r="N145" s="145">
        <f t="shared" si="241"/>
        <v>138</v>
      </c>
      <c r="O145" s="170">
        <v>0</v>
      </c>
      <c r="P145" s="170">
        <f t="shared" si="242"/>
        <v>0</v>
      </c>
      <c r="Q145" s="79">
        <f t="shared" si="243"/>
        <v>68100</v>
      </c>
      <c r="R145" s="79">
        <f t="shared" si="244"/>
        <v>41400</v>
      </c>
      <c r="S145" s="78">
        <f t="shared" si="249"/>
        <v>109500</v>
      </c>
      <c r="T145" s="75">
        <f t="shared" si="255"/>
        <v>68100</v>
      </c>
      <c r="U145" s="75">
        <f t="shared" si="256"/>
        <v>41400</v>
      </c>
      <c r="V145" s="75">
        <f t="shared" si="257"/>
        <v>109500</v>
      </c>
      <c r="W145" s="75">
        <f t="shared" si="245"/>
        <v>172520</v>
      </c>
      <c r="X145" s="75">
        <f t="shared" si="246"/>
        <v>104880</v>
      </c>
      <c r="Y145" s="75">
        <f t="shared" si="258"/>
        <v>277400</v>
      </c>
      <c r="Z145" s="228">
        <f t="shared" si="254"/>
        <v>0</v>
      </c>
      <c r="AA145" s="228">
        <f t="shared" si="247"/>
        <v>0</v>
      </c>
      <c r="AB145" s="193">
        <f t="shared" si="248"/>
        <v>0</v>
      </c>
    </row>
    <row r="146" spans="2:29">
      <c r="B146" s="147" t="s">
        <v>378</v>
      </c>
      <c r="C146" s="147" t="s">
        <v>379</v>
      </c>
      <c r="D146" s="141">
        <v>44024</v>
      </c>
      <c r="E146" s="169">
        <f t="shared" si="239"/>
        <v>44700</v>
      </c>
      <c r="F146" s="142" t="s">
        <v>107</v>
      </c>
      <c r="G146" s="142">
        <v>8.6237870000000001</v>
      </c>
      <c r="H146" s="142">
        <v>-11.046803000000001</v>
      </c>
      <c r="I146" s="142">
        <v>463</v>
      </c>
      <c r="J146" s="145">
        <f t="shared" ref="J146:J153" si="259">IF(I146&gt;300, 300, I146)</f>
        <v>300</v>
      </c>
      <c r="K146" s="24" t="s">
        <v>108</v>
      </c>
      <c r="L146" s="145">
        <f t="shared" si="240"/>
        <v>227</v>
      </c>
      <c r="M146" s="170">
        <v>0</v>
      </c>
      <c r="N146" s="145">
        <f t="shared" si="241"/>
        <v>138</v>
      </c>
      <c r="O146" s="170">
        <v>0</v>
      </c>
      <c r="P146" s="170">
        <f t="shared" si="242"/>
        <v>0</v>
      </c>
      <c r="Q146" s="76">
        <f t="shared" si="243"/>
        <v>68100</v>
      </c>
      <c r="R146" s="76">
        <f t="shared" si="244"/>
        <v>41400</v>
      </c>
      <c r="S146" s="76">
        <f t="shared" si="249"/>
        <v>109500</v>
      </c>
      <c r="T146" s="75">
        <f>(L146+M146)*J146</f>
        <v>68100</v>
      </c>
      <c r="U146" s="75">
        <f>(N146+O146)*J146</f>
        <v>41400</v>
      </c>
      <c r="V146" s="75">
        <f>SUM(T146:U146)</f>
        <v>109500</v>
      </c>
      <c r="W146" s="75">
        <f t="shared" si="245"/>
        <v>105101</v>
      </c>
      <c r="X146" s="75">
        <f t="shared" si="246"/>
        <v>63894</v>
      </c>
      <c r="Y146" s="75">
        <f>SUM(W146:X146)</f>
        <v>168995</v>
      </c>
      <c r="Z146" s="228">
        <f t="shared" si="254"/>
        <v>0</v>
      </c>
      <c r="AA146" s="228">
        <f t="shared" si="247"/>
        <v>0</v>
      </c>
      <c r="AB146" s="193">
        <f t="shared" si="248"/>
        <v>0</v>
      </c>
    </row>
    <row r="147" spans="2:29">
      <c r="B147" s="147" t="s">
        <v>380</v>
      </c>
      <c r="C147" s="147" t="s">
        <v>381</v>
      </c>
      <c r="D147" s="141">
        <v>44024</v>
      </c>
      <c r="E147" s="169">
        <f t="shared" si="239"/>
        <v>44700</v>
      </c>
      <c r="F147" s="142" t="s">
        <v>159</v>
      </c>
      <c r="G147" s="142">
        <v>8.7344480000000004</v>
      </c>
      <c r="H147" s="142">
        <v>-10.943497000000001</v>
      </c>
      <c r="I147" s="142">
        <v>492</v>
      </c>
      <c r="J147" s="145">
        <f t="shared" si="259"/>
        <v>300</v>
      </c>
      <c r="K147" s="24" t="s">
        <v>108</v>
      </c>
      <c r="L147" s="145">
        <f t="shared" si="240"/>
        <v>227</v>
      </c>
      <c r="M147" s="170">
        <v>0</v>
      </c>
      <c r="N147" s="145">
        <f t="shared" si="241"/>
        <v>138</v>
      </c>
      <c r="O147" s="170">
        <v>0</v>
      </c>
      <c r="P147" s="170">
        <f t="shared" si="242"/>
        <v>0</v>
      </c>
      <c r="Q147" s="76">
        <f t="shared" si="243"/>
        <v>68100</v>
      </c>
      <c r="R147" s="76">
        <f t="shared" si="244"/>
        <v>41400</v>
      </c>
      <c r="S147" s="76">
        <f t="shared" si="249"/>
        <v>109500</v>
      </c>
      <c r="T147" s="75">
        <f t="shared" ref="T147:T153" si="260">(L147+M147)*J147</f>
        <v>68100</v>
      </c>
      <c r="U147" s="75">
        <f t="shared" ref="U147:U153" si="261">(N147+O147)*J147</f>
        <v>41400</v>
      </c>
      <c r="V147" s="75">
        <f t="shared" ref="V147:V153" si="262">SUM(T147:U147)</f>
        <v>109500</v>
      </c>
      <c r="W147" s="75">
        <f t="shared" si="245"/>
        <v>111684</v>
      </c>
      <c r="X147" s="75">
        <f t="shared" si="246"/>
        <v>67896</v>
      </c>
      <c r="Y147" s="75">
        <f t="shared" ref="Y147:Y153" si="263">SUM(W147:X147)</f>
        <v>179580</v>
      </c>
      <c r="Z147" s="228">
        <f t="shared" si="254"/>
        <v>0</v>
      </c>
      <c r="AA147" s="228">
        <f t="shared" si="247"/>
        <v>0</v>
      </c>
      <c r="AB147" s="193">
        <f t="shared" si="248"/>
        <v>0</v>
      </c>
    </row>
    <row r="148" spans="2:29">
      <c r="B148" s="147" t="s">
        <v>382</v>
      </c>
      <c r="C148" s="147" t="s">
        <v>383</v>
      </c>
      <c r="D148" s="141">
        <v>44033</v>
      </c>
      <c r="E148" s="169">
        <f t="shared" si="239"/>
        <v>44700</v>
      </c>
      <c r="F148" s="142" t="s">
        <v>107</v>
      </c>
      <c r="G148" s="142">
        <v>8.0950679999999995</v>
      </c>
      <c r="H148" s="142">
        <v>-10.693065000000001</v>
      </c>
      <c r="I148" s="142">
        <v>512</v>
      </c>
      <c r="J148" s="145">
        <f t="shared" si="259"/>
        <v>300</v>
      </c>
      <c r="K148" s="24" t="s">
        <v>108</v>
      </c>
      <c r="L148" s="145">
        <f t="shared" si="240"/>
        <v>227</v>
      </c>
      <c r="M148" s="170">
        <v>0</v>
      </c>
      <c r="N148" s="145">
        <f t="shared" si="241"/>
        <v>138</v>
      </c>
      <c r="O148" s="170">
        <v>0</v>
      </c>
      <c r="P148" s="170">
        <f t="shared" si="242"/>
        <v>0</v>
      </c>
      <c r="Q148" s="76">
        <f t="shared" si="243"/>
        <v>68100</v>
      </c>
      <c r="R148" s="76">
        <f t="shared" si="244"/>
        <v>41400</v>
      </c>
      <c r="S148" s="76">
        <f t="shared" si="249"/>
        <v>109500</v>
      </c>
      <c r="T148" s="75">
        <f t="shared" si="260"/>
        <v>68100</v>
      </c>
      <c r="U148" s="75">
        <f t="shared" si="261"/>
        <v>41400</v>
      </c>
      <c r="V148" s="75">
        <f t="shared" si="262"/>
        <v>109500</v>
      </c>
      <c r="W148" s="75">
        <f t="shared" si="245"/>
        <v>116224</v>
      </c>
      <c r="X148" s="75">
        <f t="shared" si="246"/>
        <v>70656</v>
      </c>
      <c r="Y148" s="75">
        <f t="shared" si="263"/>
        <v>186880</v>
      </c>
      <c r="Z148" s="228">
        <f t="shared" si="254"/>
        <v>0</v>
      </c>
      <c r="AA148" s="228">
        <f t="shared" si="247"/>
        <v>0</v>
      </c>
      <c r="AB148" s="193">
        <f t="shared" si="248"/>
        <v>0</v>
      </c>
    </row>
    <row r="149" spans="2:29">
      <c r="B149" s="147" t="s">
        <v>384</v>
      </c>
      <c r="C149" s="147" t="s">
        <v>385</v>
      </c>
      <c r="D149" s="141">
        <v>44033</v>
      </c>
      <c r="E149" s="169">
        <f t="shared" si="239"/>
        <v>44700</v>
      </c>
      <c r="F149" s="142" t="s">
        <v>107</v>
      </c>
      <c r="G149" s="142">
        <v>8.2680710000000008</v>
      </c>
      <c r="H149" s="142">
        <v>-10.580795</v>
      </c>
      <c r="I149" s="142">
        <v>453</v>
      </c>
      <c r="J149" s="145">
        <f t="shared" si="259"/>
        <v>300</v>
      </c>
      <c r="K149" s="24" t="s">
        <v>108</v>
      </c>
      <c r="L149" s="145">
        <f t="shared" si="240"/>
        <v>227</v>
      </c>
      <c r="M149" s="170">
        <v>0</v>
      </c>
      <c r="N149" s="145">
        <f t="shared" si="241"/>
        <v>138</v>
      </c>
      <c r="O149" s="170">
        <v>0</v>
      </c>
      <c r="P149" s="170">
        <f t="shared" si="242"/>
        <v>0</v>
      </c>
      <c r="Q149" s="76">
        <f t="shared" si="243"/>
        <v>68100</v>
      </c>
      <c r="R149" s="76">
        <f t="shared" si="244"/>
        <v>41400</v>
      </c>
      <c r="S149" s="76">
        <f t="shared" si="249"/>
        <v>109500</v>
      </c>
      <c r="T149" s="75">
        <f t="shared" si="260"/>
        <v>68100</v>
      </c>
      <c r="U149" s="75">
        <f t="shared" si="261"/>
        <v>41400</v>
      </c>
      <c r="V149" s="75">
        <f t="shared" si="262"/>
        <v>109500</v>
      </c>
      <c r="W149" s="75">
        <f t="shared" si="245"/>
        <v>102831</v>
      </c>
      <c r="X149" s="75">
        <f t="shared" si="246"/>
        <v>62514</v>
      </c>
      <c r="Y149" s="75">
        <f t="shared" si="263"/>
        <v>165345</v>
      </c>
      <c r="Z149" s="228">
        <f t="shared" si="254"/>
        <v>0</v>
      </c>
      <c r="AA149" s="228">
        <f t="shared" si="247"/>
        <v>0</v>
      </c>
      <c r="AB149" s="193">
        <f t="shared" si="248"/>
        <v>0</v>
      </c>
    </row>
    <row r="150" spans="2:29">
      <c r="B150" s="147" t="s">
        <v>386</v>
      </c>
      <c r="C150" s="147" t="s">
        <v>387</v>
      </c>
      <c r="D150" s="141">
        <v>44034</v>
      </c>
      <c r="E150" s="169">
        <f t="shared" si="239"/>
        <v>44700</v>
      </c>
      <c r="F150" s="142" t="s">
        <v>107</v>
      </c>
      <c r="G150" s="142">
        <v>8.2813160000000003</v>
      </c>
      <c r="H150" s="142">
        <v>-10.569616</v>
      </c>
      <c r="I150" s="142">
        <v>584</v>
      </c>
      <c r="J150" s="145">
        <f t="shared" si="259"/>
        <v>300</v>
      </c>
      <c r="K150" s="24" t="s">
        <v>108</v>
      </c>
      <c r="L150" s="145">
        <f t="shared" si="240"/>
        <v>227</v>
      </c>
      <c r="M150" s="170">
        <v>0</v>
      </c>
      <c r="N150" s="145">
        <f t="shared" si="241"/>
        <v>138</v>
      </c>
      <c r="O150" s="170">
        <v>0</v>
      </c>
      <c r="P150" s="170">
        <f t="shared" si="242"/>
        <v>0</v>
      </c>
      <c r="Q150" s="76">
        <f t="shared" si="243"/>
        <v>68100</v>
      </c>
      <c r="R150" s="76">
        <f t="shared" si="244"/>
        <v>41400</v>
      </c>
      <c r="S150" s="76">
        <f t="shared" si="249"/>
        <v>109500</v>
      </c>
      <c r="T150" s="75">
        <f t="shared" si="260"/>
        <v>68100</v>
      </c>
      <c r="U150" s="75">
        <f t="shared" si="261"/>
        <v>41400</v>
      </c>
      <c r="V150" s="75">
        <f t="shared" si="262"/>
        <v>109500</v>
      </c>
      <c r="W150" s="75">
        <f t="shared" si="245"/>
        <v>132568</v>
      </c>
      <c r="X150" s="75">
        <f t="shared" si="246"/>
        <v>80592</v>
      </c>
      <c r="Y150" s="75">
        <f t="shared" si="263"/>
        <v>213160</v>
      </c>
      <c r="Z150" s="228">
        <f t="shared" si="254"/>
        <v>0</v>
      </c>
      <c r="AA150" s="228">
        <f t="shared" si="247"/>
        <v>0</v>
      </c>
      <c r="AB150" s="193">
        <f t="shared" si="248"/>
        <v>0</v>
      </c>
    </row>
    <row r="151" spans="2:29">
      <c r="B151" s="147" t="s">
        <v>388</v>
      </c>
      <c r="C151" s="147" t="s">
        <v>389</v>
      </c>
      <c r="D151" s="141">
        <v>44032</v>
      </c>
      <c r="E151" s="169">
        <f t="shared" si="239"/>
        <v>44700</v>
      </c>
      <c r="F151" s="142" t="s">
        <v>107</v>
      </c>
      <c r="G151" s="142">
        <v>8.2682880000000001</v>
      </c>
      <c r="H151" s="142">
        <v>-10.442919</v>
      </c>
      <c r="I151" s="142">
        <v>539</v>
      </c>
      <c r="J151" s="145">
        <f t="shared" si="259"/>
        <v>300</v>
      </c>
      <c r="K151" s="24" t="s">
        <v>108</v>
      </c>
      <c r="L151" s="145">
        <f t="shared" si="240"/>
        <v>227</v>
      </c>
      <c r="M151" s="170">
        <v>0</v>
      </c>
      <c r="N151" s="145">
        <f t="shared" si="241"/>
        <v>138</v>
      </c>
      <c r="O151" s="170">
        <v>0</v>
      </c>
      <c r="P151" s="170">
        <f t="shared" si="242"/>
        <v>0</v>
      </c>
      <c r="Q151" s="76">
        <f t="shared" si="243"/>
        <v>68100</v>
      </c>
      <c r="R151" s="76">
        <f t="shared" si="244"/>
        <v>41400</v>
      </c>
      <c r="S151" s="76">
        <f t="shared" si="249"/>
        <v>109500</v>
      </c>
      <c r="T151" s="75">
        <f t="shared" si="260"/>
        <v>68100</v>
      </c>
      <c r="U151" s="75">
        <f t="shared" si="261"/>
        <v>41400</v>
      </c>
      <c r="V151" s="75">
        <f t="shared" si="262"/>
        <v>109500</v>
      </c>
      <c r="W151" s="75">
        <f t="shared" si="245"/>
        <v>122353</v>
      </c>
      <c r="X151" s="75">
        <f t="shared" si="246"/>
        <v>74382</v>
      </c>
      <c r="Y151" s="75">
        <f t="shared" si="263"/>
        <v>196735</v>
      </c>
      <c r="Z151" s="228">
        <f t="shared" si="254"/>
        <v>0</v>
      </c>
      <c r="AA151" s="228">
        <f t="shared" si="247"/>
        <v>0</v>
      </c>
      <c r="AB151" s="193">
        <f t="shared" si="248"/>
        <v>0</v>
      </c>
    </row>
    <row r="152" spans="2:29">
      <c r="B152" s="147" t="s">
        <v>390</v>
      </c>
      <c r="C152" s="147" t="s">
        <v>391</v>
      </c>
      <c r="D152" s="141">
        <v>44032</v>
      </c>
      <c r="E152" s="169">
        <f t="shared" si="239"/>
        <v>44700</v>
      </c>
      <c r="F152" s="142" t="s">
        <v>159</v>
      </c>
      <c r="G152" s="142">
        <v>8.0985750000000003</v>
      </c>
      <c r="H152" s="142">
        <v>-10.698001</v>
      </c>
      <c r="I152" s="142">
        <v>537</v>
      </c>
      <c r="J152" s="145">
        <f t="shared" si="259"/>
        <v>300</v>
      </c>
      <c r="K152" s="24" t="s">
        <v>108</v>
      </c>
      <c r="L152" s="145">
        <f t="shared" si="240"/>
        <v>227</v>
      </c>
      <c r="M152" s="170">
        <v>0</v>
      </c>
      <c r="N152" s="145">
        <f t="shared" si="241"/>
        <v>138</v>
      </c>
      <c r="O152" s="170">
        <v>0</v>
      </c>
      <c r="P152" s="170">
        <f t="shared" si="242"/>
        <v>0</v>
      </c>
      <c r="Q152" s="76">
        <f t="shared" si="243"/>
        <v>68100</v>
      </c>
      <c r="R152" s="76">
        <f t="shared" si="244"/>
        <v>41400</v>
      </c>
      <c r="S152" s="76">
        <f t="shared" si="249"/>
        <v>109500</v>
      </c>
      <c r="T152" s="75">
        <f t="shared" si="260"/>
        <v>68100</v>
      </c>
      <c r="U152" s="75">
        <f t="shared" si="261"/>
        <v>41400</v>
      </c>
      <c r="V152" s="75">
        <f t="shared" si="262"/>
        <v>109500</v>
      </c>
      <c r="W152" s="75">
        <f t="shared" si="245"/>
        <v>121899</v>
      </c>
      <c r="X152" s="75">
        <f t="shared" si="246"/>
        <v>74106</v>
      </c>
      <c r="Y152" s="75">
        <f t="shared" si="263"/>
        <v>196005</v>
      </c>
      <c r="Z152" s="228">
        <f t="shared" si="254"/>
        <v>0</v>
      </c>
      <c r="AA152" s="228">
        <f t="shared" si="247"/>
        <v>0</v>
      </c>
      <c r="AB152" s="193">
        <f t="shared" si="248"/>
        <v>0</v>
      </c>
    </row>
    <row r="153" spans="2:29">
      <c r="B153" s="147" t="s">
        <v>392</v>
      </c>
      <c r="C153" s="147" t="s">
        <v>393</v>
      </c>
      <c r="D153" s="141">
        <v>44071</v>
      </c>
      <c r="E153" s="169">
        <f t="shared" si="239"/>
        <v>44700</v>
      </c>
      <c r="F153" s="142" t="s">
        <v>107</v>
      </c>
      <c r="G153" s="142">
        <v>8.1004179999999995</v>
      </c>
      <c r="H153" s="142">
        <v>-10.694077999999999</v>
      </c>
      <c r="I153" s="142">
        <v>494</v>
      </c>
      <c r="J153" s="145">
        <f t="shared" si="259"/>
        <v>300</v>
      </c>
      <c r="K153" s="24" t="s">
        <v>108</v>
      </c>
      <c r="L153" s="145">
        <f t="shared" si="240"/>
        <v>170</v>
      </c>
      <c r="M153" s="170">
        <v>57</v>
      </c>
      <c r="N153" s="145">
        <f>$AE$4-$E153-O153+1</f>
        <v>192</v>
      </c>
      <c r="O153" s="170">
        <v>35</v>
      </c>
      <c r="P153" s="170">
        <f t="shared" si="242"/>
        <v>92</v>
      </c>
      <c r="Q153" s="76">
        <f t="shared" si="243"/>
        <v>51000</v>
      </c>
      <c r="R153" s="76">
        <f t="shared" si="244"/>
        <v>57600</v>
      </c>
      <c r="S153" s="76">
        <f t="shared" si="249"/>
        <v>108600</v>
      </c>
      <c r="T153" s="75">
        <f t="shared" si="260"/>
        <v>68100</v>
      </c>
      <c r="U153" s="75">
        <f t="shared" si="261"/>
        <v>68100</v>
      </c>
      <c r="V153" s="75">
        <f t="shared" si="262"/>
        <v>136200</v>
      </c>
      <c r="W153" s="75">
        <f t="shared" si="245"/>
        <v>83980</v>
      </c>
      <c r="X153" s="75">
        <f t="shared" si="246"/>
        <v>94848</v>
      </c>
      <c r="Y153" s="75">
        <f t="shared" si="263"/>
        <v>178828</v>
      </c>
      <c r="Z153" s="228">
        <f t="shared" si="254"/>
        <v>0.25110132158590309</v>
      </c>
      <c r="AA153" s="228">
        <f t="shared" si="247"/>
        <v>0.15418502202643172</v>
      </c>
      <c r="AB153" s="193">
        <f t="shared" si="248"/>
        <v>0.20264317180616739</v>
      </c>
    </row>
    <row r="154" spans="2:29">
      <c r="B154" s="148">
        <f>COUNTA(B140:B153)</f>
        <v>14</v>
      </c>
      <c r="C154" s="86"/>
      <c r="D154" s="86"/>
      <c r="E154" s="86"/>
      <c r="F154" s="86"/>
      <c r="G154" s="86"/>
      <c r="H154" s="86"/>
      <c r="I154" s="87">
        <f>SUM(I140:I153)</f>
        <v>7711</v>
      </c>
      <c r="J154" s="87">
        <f>SUM(J140:J153)</f>
        <v>4200</v>
      </c>
      <c r="K154" s="86"/>
      <c r="L154" s="87">
        <f>SUM(L140:L153)</f>
        <v>3121</v>
      </c>
      <c r="M154" s="87">
        <f>SUM(M141:M153)</f>
        <v>57</v>
      </c>
      <c r="N154" s="87">
        <f>SUM(N140:N153)</f>
        <v>1986</v>
      </c>
      <c r="O154" s="87">
        <f>SUM(O141:O153)</f>
        <v>35</v>
      </c>
      <c r="P154" s="87">
        <f>SUM(P141:P153)</f>
        <v>92</v>
      </c>
      <c r="Q154" s="155">
        <f t="shared" ref="Q154:Y154" si="264">SUM(Q140:Q153)</f>
        <v>936300</v>
      </c>
      <c r="R154" s="155">
        <f t="shared" si="264"/>
        <v>595800</v>
      </c>
      <c r="S154" s="155">
        <f t="shared" si="264"/>
        <v>1532100</v>
      </c>
      <c r="T154" s="155">
        <f t="shared" si="264"/>
        <v>953400</v>
      </c>
      <c r="U154" s="155">
        <f t="shared" si="264"/>
        <v>606300</v>
      </c>
      <c r="V154" s="155">
        <f t="shared" si="264"/>
        <v>1559700</v>
      </c>
      <c r="W154" s="155">
        <f t="shared" si="264"/>
        <v>1722239</v>
      </c>
      <c r="X154" s="155">
        <f t="shared" si="264"/>
        <v>1090794</v>
      </c>
      <c r="Y154" s="155">
        <f t="shared" si="264"/>
        <v>2813033</v>
      </c>
      <c r="Z154" s="223">
        <f t="shared" ref="Z154:AA154" si="265">AVERAGE(Z140:Z153)</f>
        <v>1.7935808684707365E-2</v>
      </c>
      <c r="AA154" s="223">
        <f t="shared" si="265"/>
        <v>1.1013215859030838E-2</v>
      </c>
      <c r="AB154" s="223">
        <f>AVERAGE(AB140:AB153)</f>
        <v>1.44745122718691E-2</v>
      </c>
      <c r="AC154" s="186"/>
    </row>
    <row r="155" spans="2:29">
      <c r="B155" s="137" t="s">
        <v>394</v>
      </c>
      <c r="C155" s="138"/>
      <c r="D155" s="138"/>
      <c r="E155" s="138"/>
      <c r="F155" s="138"/>
      <c r="G155" s="84"/>
      <c r="H155" s="84"/>
      <c r="I155" s="138"/>
      <c r="J155" s="138"/>
      <c r="K155" s="138"/>
      <c r="L155" s="89"/>
      <c r="M155" s="89"/>
      <c r="N155" s="90"/>
      <c r="O155" s="90"/>
      <c r="P155" s="90"/>
      <c r="Q155" s="91"/>
      <c r="R155" s="92"/>
      <c r="S155" s="93"/>
      <c r="T155" s="93"/>
      <c r="U155" s="93"/>
      <c r="V155" s="93"/>
      <c r="W155" s="93"/>
      <c r="X155" s="93"/>
      <c r="Y155" s="93"/>
      <c r="Z155" s="93"/>
      <c r="AA155" s="93"/>
      <c r="AB155" s="192"/>
    </row>
    <row r="156" spans="2:29">
      <c r="B156" s="147" t="s">
        <v>395</v>
      </c>
      <c r="C156" s="147" t="s">
        <v>396</v>
      </c>
      <c r="D156" s="141">
        <v>44671</v>
      </c>
      <c r="E156" s="169">
        <f t="shared" ref="E156:E175" si="266">IF(LEFT(B156,2)="BO",D156+1,$AE$2)</f>
        <v>44672</v>
      </c>
      <c r="F156" s="142" t="s">
        <v>123</v>
      </c>
      <c r="G156" s="142">
        <v>7.7789849999999996</v>
      </c>
      <c r="H156" s="142">
        <v>-11.7261655</v>
      </c>
      <c r="I156" s="142">
        <v>319</v>
      </c>
      <c r="J156" s="145">
        <f t="shared" ref="J156:J161" si="267">IF(I156&gt;300, 300, I156)</f>
        <v>300</v>
      </c>
      <c r="K156" s="24" t="s">
        <v>108</v>
      </c>
      <c r="L156" s="145">
        <f t="shared" ref="L156:L175" si="268">$AE$4-$E156-M156+1</f>
        <v>255</v>
      </c>
      <c r="M156" s="170">
        <v>0</v>
      </c>
      <c r="N156" s="145">
        <f t="shared" ref="N156:N175" si="269">$AE$10-$AE$11-O156+1</f>
        <v>139</v>
      </c>
      <c r="O156" s="187">
        <v>0</v>
      </c>
      <c r="P156" s="170">
        <f t="shared" ref="P156:P175" si="270">M156+O156</f>
        <v>0</v>
      </c>
      <c r="Q156" s="75">
        <f>L156*J156</f>
        <v>76500</v>
      </c>
      <c r="R156" s="75">
        <f t="shared" ref="R156:R175" si="271">N156*J156</f>
        <v>41700</v>
      </c>
      <c r="S156" s="76">
        <f>SUM(Q156:R156)</f>
        <v>118200</v>
      </c>
      <c r="T156" s="75">
        <f>(L156+M156)*J156</f>
        <v>76500</v>
      </c>
      <c r="U156" s="75">
        <f>(N156+O156)*J156</f>
        <v>41700</v>
      </c>
      <c r="V156" s="75">
        <f>SUM(T156:U156)</f>
        <v>118200</v>
      </c>
      <c r="W156" s="75">
        <f t="shared" ref="W156:W175" si="272">L156*I156</f>
        <v>81345</v>
      </c>
      <c r="X156" s="75">
        <f t="shared" ref="X156:X175" si="273">N156*I156</f>
        <v>44341</v>
      </c>
      <c r="Y156" s="75">
        <f>SUM(W156:X156)</f>
        <v>125686</v>
      </c>
      <c r="Z156" s="228">
        <f t="shared" ref="Z156:Z175" si="274">M156/SUM(L156:M156)</f>
        <v>0</v>
      </c>
      <c r="AA156" s="228">
        <f t="shared" ref="AA156:AA175" si="275">O156/SUM(N156:O156)</f>
        <v>0</v>
      </c>
      <c r="AB156" s="193">
        <f t="shared" ref="AB156:AB175" si="276">(M156+O156)/SUM(L156:O156)</f>
        <v>0</v>
      </c>
    </row>
    <row r="157" spans="2:29">
      <c r="B157" s="147" t="s">
        <v>397</v>
      </c>
      <c r="C157" s="147" t="s">
        <v>398</v>
      </c>
      <c r="D157" s="141">
        <v>44696</v>
      </c>
      <c r="E157" s="169">
        <f t="shared" si="266"/>
        <v>44697</v>
      </c>
      <c r="F157" s="142" t="s">
        <v>159</v>
      </c>
      <c r="G157" s="142">
        <v>7.7765955</v>
      </c>
      <c r="H157" s="142">
        <v>-11.7250508</v>
      </c>
      <c r="I157" s="142">
        <v>313</v>
      </c>
      <c r="J157" s="145">
        <f t="shared" si="267"/>
        <v>300</v>
      </c>
      <c r="K157" s="24" t="s">
        <v>108</v>
      </c>
      <c r="L157" s="145">
        <f t="shared" si="268"/>
        <v>230</v>
      </c>
      <c r="M157" s="170">
        <v>0</v>
      </c>
      <c r="N157" s="145">
        <f t="shared" si="269"/>
        <v>139</v>
      </c>
      <c r="O157" s="187">
        <v>0</v>
      </c>
      <c r="P157" s="170">
        <f t="shared" si="270"/>
        <v>0</v>
      </c>
      <c r="Q157" s="75">
        <f t="shared" ref="Q157:Q161" si="277">L157*J157</f>
        <v>69000</v>
      </c>
      <c r="R157" s="75">
        <f t="shared" si="271"/>
        <v>41700</v>
      </c>
      <c r="S157" s="76">
        <f t="shared" ref="S157:S161" si="278">SUM(Q157:R157)</f>
        <v>110700</v>
      </c>
      <c r="T157" s="75">
        <f t="shared" ref="T157:T163" si="279">(L157+M157)*J157</f>
        <v>69000</v>
      </c>
      <c r="U157" s="75">
        <f t="shared" ref="U157:U163" si="280">(N157+O157)*J157</f>
        <v>41700</v>
      </c>
      <c r="V157" s="75">
        <f t="shared" ref="V157:V163" si="281">SUM(T157:U157)</f>
        <v>110700</v>
      </c>
      <c r="W157" s="75">
        <f t="shared" si="272"/>
        <v>71990</v>
      </c>
      <c r="X157" s="75">
        <f t="shared" si="273"/>
        <v>43507</v>
      </c>
      <c r="Y157" s="75">
        <f t="shared" ref="Y157:Y163" si="282">SUM(W157:X157)</f>
        <v>115497</v>
      </c>
      <c r="Z157" s="228">
        <f t="shared" si="274"/>
        <v>0</v>
      </c>
      <c r="AA157" s="228">
        <f t="shared" si="275"/>
        <v>0</v>
      </c>
      <c r="AB157" s="193">
        <f t="shared" si="276"/>
        <v>0</v>
      </c>
    </row>
    <row r="158" spans="2:29">
      <c r="B158" s="147" t="s">
        <v>399</v>
      </c>
      <c r="C158" s="147" t="s">
        <v>400</v>
      </c>
      <c r="D158" s="141">
        <v>44668</v>
      </c>
      <c r="E158" s="169">
        <f t="shared" si="266"/>
        <v>44669</v>
      </c>
      <c r="F158" s="142" t="s">
        <v>123</v>
      </c>
      <c r="G158" s="142">
        <v>7.7720741999999996</v>
      </c>
      <c r="H158" s="142">
        <v>-11.726259600000001</v>
      </c>
      <c r="I158" s="142">
        <v>292</v>
      </c>
      <c r="J158" s="145">
        <f t="shared" si="267"/>
        <v>292</v>
      </c>
      <c r="K158" s="24" t="s">
        <v>108</v>
      </c>
      <c r="L158" s="145">
        <f t="shared" si="268"/>
        <v>258</v>
      </c>
      <c r="M158" s="170">
        <v>0</v>
      </c>
      <c r="N158" s="145">
        <f t="shared" si="269"/>
        <v>139</v>
      </c>
      <c r="O158" s="187">
        <v>0</v>
      </c>
      <c r="P158" s="170">
        <f t="shared" si="270"/>
        <v>0</v>
      </c>
      <c r="Q158" s="75">
        <f t="shared" si="277"/>
        <v>75336</v>
      </c>
      <c r="R158" s="75">
        <f t="shared" si="271"/>
        <v>40588</v>
      </c>
      <c r="S158" s="76">
        <f t="shared" si="278"/>
        <v>115924</v>
      </c>
      <c r="T158" s="75">
        <f t="shared" si="279"/>
        <v>75336</v>
      </c>
      <c r="U158" s="75">
        <f t="shared" si="280"/>
        <v>40588</v>
      </c>
      <c r="V158" s="75">
        <f t="shared" si="281"/>
        <v>115924</v>
      </c>
      <c r="W158" s="75">
        <f t="shared" si="272"/>
        <v>75336</v>
      </c>
      <c r="X158" s="75">
        <f t="shared" si="273"/>
        <v>40588</v>
      </c>
      <c r="Y158" s="75">
        <f t="shared" si="282"/>
        <v>115924</v>
      </c>
      <c r="Z158" s="228">
        <f t="shared" si="274"/>
        <v>0</v>
      </c>
      <c r="AA158" s="228">
        <f t="shared" si="275"/>
        <v>0</v>
      </c>
      <c r="AB158" s="193">
        <f t="shared" si="276"/>
        <v>0</v>
      </c>
    </row>
    <row r="159" spans="2:29">
      <c r="B159" s="147" t="s">
        <v>401</v>
      </c>
      <c r="C159" s="147" t="s">
        <v>402</v>
      </c>
      <c r="D159" s="141">
        <v>44693</v>
      </c>
      <c r="E159" s="169">
        <f t="shared" si="266"/>
        <v>44694</v>
      </c>
      <c r="F159" s="142" t="s">
        <v>159</v>
      </c>
      <c r="G159" s="142">
        <v>7.8734016000000002</v>
      </c>
      <c r="H159" s="142">
        <v>-11.7091294</v>
      </c>
      <c r="I159" s="142">
        <v>302</v>
      </c>
      <c r="J159" s="145">
        <f t="shared" si="267"/>
        <v>300</v>
      </c>
      <c r="K159" s="24" t="s">
        <v>108</v>
      </c>
      <c r="L159" s="145">
        <f t="shared" si="268"/>
        <v>233</v>
      </c>
      <c r="M159" s="170">
        <v>0</v>
      </c>
      <c r="N159" s="145">
        <f t="shared" si="269"/>
        <v>139</v>
      </c>
      <c r="O159" s="187">
        <v>0</v>
      </c>
      <c r="P159" s="170">
        <f t="shared" si="270"/>
        <v>0</v>
      </c>
      <c r="Q159" s="75">
        <f t="shared" si="277"/>
        <v>69900</v>
      </c>
      <c r="R159" s="75">
        <f t="shared" si="271"/>
        <v>41700</v>
      </c>
      <c r="S159" s="76">
        <f t="shared" si="278"/>
        <v>111600</v>
      </c>
      <c r="T159" s="75">
        <f t="shared" si="279"/>
        <v>69900</v>
      </c>
      <c r="U159" s="75">
        <f t="shared" si="280"/>
        <v>41700</v>
      </c>
      <c r="V159" s="75">
        <f t="shared" si="281"/>
        <v>111600</v>
      </c>
      <c r="W159" s="75">
        <f t="shared" si="272"/>
        <v>70366</v>
      </c>
      <c r="X159" s="75">
        <f t="shared" si="273"/>
        <v>41978</v>
      </c>
      <c r="Y159" s="75">
        <f t="shared" si="282"/>
        <v>112344</v>
      </c>
      <c r="Z159" s="228">
        <f t="shared" si="274"/>
        <v>0</v>
      </c>
      <c r="AA159" s="228">
        <f t="shared" si="275"/>
        <v>0</v>
      </c>
      <c r="AB159" s="193">
        <f t="shared" si="276"/>
        <v>0</v>
      </c>
    </row>
    <row r="160" spans="2:29">
      <c r="B160" s="147" t="s">
        <v>403</v>
      </c>
      <c r="C160" s="147" t="s">
        <v>404</v>
      </c>
      <c r="D160" s="141">
        <v>44842</v>
      </c>
      <c r="E160" s="169">
        <f t="shared" si="266"/>
        <v>44843</v>
      </c>
      <c r="F160" s="142" t="s">
        <v>159</v>
      </c>
      <c r="G160" s="142">
        <v>7.8669377999999996</v>
      </c>
      <c r="H160" s="142">
        <v>-11.712547300000001</v>
      </c>
      <c r="I160" s="142">
        <v>498</v>
      </c>
      <c r="J160" s="145">
        <f t="shared" si="267"/>
        <v>300</v>
      </c>
      <c r="K160" s="24" t="s">
        <v>108</v>
      </c>
      <c r="L160" s="145">
        <f t="shared" si="268"/>
        <v>84</v>
      </c>
      <c r="M160" s="170">
        <v>0</v>
      </c>
      <c r="N160" s="145">
        <f t="shared" si="269"/>
        <v>139</v>
      </c>
      <c r="O160" s="187">
        <v>0</v>
      </c>
      <c r="P160" s="170">
        <f t="shared" si="270"/>
        <v>0</v>
      </c>
      <c r="Q160" s="75">
        <f t="shared" si="277"/>
        <v>25200</v>
      </c>
      <c r="R160" s="75">
        <f t="shared" si="271"/>
        <v>41700</v>
      </c>
      <c r="S160" s="76">
        <f t="shared" si="278"/>
        <v>66900</v>
      </c>
      <c r="T160" s="75">
        <f t="shared" si="279"/>
        <v>25200</v>
      </c>
      <c r="U160" s="75">
        <f t="shared" si="280"/>
        <v>41700</v>
      </c>
      <c r="V160" s="75">
        <f t="shared" si="281"/>
        <v>66900</v>
      </c>
      <c r="W160" s="75">
        <f t="shared" si="272"/>
        <v>41832</v>
      </c>
      <c r="X160" s="75">
        <f t="shared" si="273"/>
        <v>69222</v>
      </c>
      <c r="Y160" s="75">
        <f t="shared" si="282"/>
        <v>111054</v>
      </c>
      <c r="Z160" s="228">
        <f t="shared" si="274"/>
        <v>0</v>
      </c>
      <c r="AA160" s="228">
        <f t="shared" si="275"/>
        <v>0</v>
      </c>
      <c r="AB160" s="193">
        <f t="shared" si="276"/>
        <v>0</v>
      </c>
    </row>
    <row r="161" spans="2:29">
      <c r="B161" s="147" t="s">
        <v>405</v>
      </c>
      <c r="C161" s="147" t="s">
        <v>406</v>
      </c>
      <c r="D161" s="141">
        <v>44696</v>
      </c>
      <c r="E161" s="169">
        <f t="shared" si="266"/>
        <v>44697</v>
      </c>
      <c r="F161" s="142" t="s">
        <v>123</v>
      </c>
      <c r="G161" s="142">
        <v>7.8066002000000001</v>
      </c>
      <c r="H161" s="142">
        <v>-11.733196400000001</v>
      </c>
      <c r="I161" s="142">
        <v>362</v>
      </c>
      <c r="J161" s="145">
        <f t="shared" si="267"/>
        <v>300</v>
      </c>
      <c r="K161" s="24" t="s">
        <v>108</v>
      </c>
      <c r="L161" s="145">
        <f t="shared" si="268"/>
        <v>230</v>
      </c>
      <c r="M161" s="170">
        <v>0</v>
      </c>
      <c r="N161" s="145">
        <f t="shared" si="269"/>
        <v>139</v>
      </c>
      <c r="O161" s="187">
        <v>0</v>
      </c>
      <c r="P161" s="170">
        <f t="shared" si="270"/>
        <v>0</v>
      </c>
      <c r="Q161" s="75">
        <f t="shared" si="277"/>
        <v>69000</v>
      </c>
      <c r="R161" s="75">
        <f t="shared" si="271"/>
        <v>41700</v>
      </c>
      <c r="S161" s="76">
        <f t="shared" si="278"/>
        <v>110700</v>
      </c>
      <c r="T161" s="75">
        <f t="shared" si="279"/>
        <v>69000</v>
      </c>
      <c r="U161" s="75">
        <f t="shared" si="280"/>
        <v>41700</v>
      </c>
      <c r="V161" s="75">
        <f t="shared" si="281"/>
        <v>110700</v>
      </c>
      <c r="W161" s="75">
        <f t="shared" si="272"/>
        <v>83260</v>
      </c>
      <c r="X161" s="75">
        <f t="shared" si="273"/>
        <v>50318</v>
      </c>
      <c r="Y161" s="75">
        <f t="shared" si="282"/>
        <v>133578</v>
      </c>
      <c r="Z161" s="228">
        <f t="shared" si="274"/>
        <v>0</v>
      </c>
      <c r="AA161" s="228">
        <f t="shared" si="275"/>
        <v>0</v>
      </c>
      <c r="AB161" s="193">
        <f t="shared" si="276"/>
        <v>0</v>
      </c>
    </row>
    <row r="162" spans="2:29">
      <c r="B162" s="147" t="s">
        <v>407</v>
      </c>
      <c r="C162" s="147" t="s">
        <v>408</v>
      </c>
      <c r="D162" s="141">
        <v>44692</v>
      </c>
      <c r="E162" s="169">
        <f t="shared" si="266"/>
        <v>44693</v>
      </c>
      <c r="F162" s="142" t="s">
        <v>159</v>
      </c>
      <c r="G162" s="142">
        <v>7.6941192999999997</v>
      </c>
      <c r="H162" s="142">
        <v>-11.738548700000001</v>
      </c>
      <c r="I162" s="142">
        <v>468</v>
      </c>
      <c r="J162" s="145">
        <v>300</v>
      </c>
      <c r="K162" s="24" t="s">
        <v>108</v>
      </c>
      <c r="L162" s="145">
        <f t="shared" si="268"/>
        <v>234</v>
      </c>
      <c r="M162" s="170">
        <v>0</v>
      </c>
      <c r="N162" s="145">
        <f t="shared" si="269"/>
        <v>139</v>
      </c>
      <c r="O162" s="187">
        <v>0</v>
      </c>
      <c r="P162" s="170">
        <f t="shared" si="270"/>
        <v>0</v>
      </c>
      <c r="Q162" s="75">
        <f>L162*J162</f>
        <v>70200</v>
      </c>
      <c r="R162" s="75">
        <f t="shared" si="271"/>
        <v>41700</v>
      </c>
      <c r="S162" s="76">
        <f t="shared" ref="S162:S167" si="283">SUM(Q162:R162)</f>
        <v>111900</v>
      </c>
      <c r="T162" s="75">
        <f t="shared" si="279"/>
        <v>70200</v>
      </c>
      <c r="U162" s="75">
        <f t="shared" si="280"/>
        <v>41700</v>
      </c>
      <c r="V162" s="75">
        <f t="shared" si="281"/>
        <v>111900</v>
      </c>
      <c r="W162" s="75">
        <f t="shared" si="272"/>
        <v>109512</v>
      </c>
      <c r="X162" s="75">
        <f t="shared" si="273"/>
        <v>65052</v>
      </c>
      <c r="Y162" s="75">
        <f t="shared" si="282"/>
        <v>174564</v>
      </c>
      <c r="Z162" s="228">
        <f t="shared" si="274"/>
        <v>0</v>
      </c>
      <c r="AA162" s="228">
        <f t="shared" si="275"/>
        <v>0</v>
      </c>
      <c r="AB162" s="193">
        <f t="shared" si="276"/>
        <v>0</v>
      </c>
    </row>
    <row r="163" spans="2:29">
      <c r="B163" s="147" t="s">
        <v>409</v>
      </c>
      <c r="C163" s="147" t="s">
        <v>410</v>
      </c>
      <c r="D163" s="141">
        <v>44692</v>
      </c>
      <c r="E163" s="169">
        <f t="shared" si="266"/>
        <v>44693</v>
      </c>
      <c r="F163" s="142" t="s">
        <v>159</v>
      </c>
      <c r="G163" s="142">
        <v>7.8072492000000002</v>
      </c>
      <c r="H163" s="142">
        <v>-11.733302999999999</v>
      </c>
      <c r="I163" s="142">
        <v>374</v>
      </c>
      <c r="J163" s="145">
        <v>300</v>
      </c>
      <c r="K163" s="24" t="s">
        <v>108</v>
      </c>
      <c r="L163" s="145">
        <f t="shared" si="268"/>
        <v>234</v>
      </c>
      <c r="M163" s="170">
        <v>0</v>
      </c>
      <c r="N163" s="145">
        <f t="shared" si="269"/>
        <v>139</v>
      </c>
      <c r="O163" s="187">
        <v>0</v>
      </c>
      <c r="P163" s="170">
        <f t="shared" si="270"/>
        <v>0</v>
      </c>
      <c r="Q163" s="75">
        <f t="shared" ref="Q163:Q167" si="284">L163*J163</f>
        <v>70200</v>
      </c>
      <c r="R163" s="75">
        <f t="shared" si="271"/>
        <v>41700</v>
      </c>
      <c r="S163" s="76">
        <f t="shared" si="283"/>
        <v>111900</v>
      </c>
      <c r="T163" s="75">
        <f t="shared" si="279"/>
        <v>70200</v>
      </c>
      <c r="U163" s="75">
        <f t="shared" si="280"/>
        <v>41700</v>
      </c>
      <c r="V163" s="75">
        <f t="shared" si="281"/>
        <v>111900</v>
      </c>
      <c r="W163" s="75">
        <f t="shared" si="272"/>
        <v>87516</v>
      </c>
      <c r="X163" s="75">
        <f t="shared" si="273"/>
        <v>51986</v>
      </c>
      <c r="Y163" s="75">
        <f t="shared" si="282"/>
        <v>139502</v>
      </c>
      <c r="Z163" s="228">
        <f t="shared" si="274"/>
        <v>0</v>
      </c>
      <c r="AA163" s="228">
        <f t="shared" si="275"/>
        <v>0</v>
      </c>
      <c r="AB163" s="193">
        <f t="shared" si="276"/>
        <v>0</v>
      </c>
    </row>
    <row r="164" spans="2:29">
      <c r="B164" s="147" t="s">
        <v>411</v>
      </c>
      <c r="C164" s="147" t="s">
        <v>412</v>
      </c>
      <c r="D164" s="141">
        <v>44669</v>
      </c>
      <c r="E164" s="169">
        <f t="shared" si="266"/>
        <v>44670</v>
      </c>
      <c r="F164" s="142" t="s">
        <v>123</v>
      </c>
      <c r="G164" s="142">
        <v>7.7093948000000001</v>
      </c>
      <c r="H164" s="142">
        <v>-11.694132400000001</v>
      </c>
      <c r="I164" s="142">
        <v>403</v>
      </c>
      <c r="J164" s="145">
        <v>300</v>
      </c>
      <c r="K164" s="24" t="s">
        <v>108</v>
      </c>
      <c r="L164" s="145">
        <f t="shared" si="268"/>
        <v>257</v>
      </c>
      <c r="M164" s="170">
        <v>0</v>
      </c>
      <c r="N164" s="145">
        <f t="shared" si="269"/>
        <v>139</v>
      </c>
      <c r="O164" s="187">
        <v>0</v>
      </c>
      <c r="P164" s="170">
        <f t="shared" si="270"/>
        <v>0</v>
      </c>
      <c r="Q164" s="75">
        <f t="shared" si="284"/>
        <v>77100</v>
      </c>
      <c r="R164" s="75">
        <f t="shared" si="271"/>
        <v>41700</v>
      </c>
      <c r="S164" s="76">
        <f t="shared" si="283"/>
        <v>118800</v>
      </c>
      <c r="T164" s="75">
        <f>(L164+M164)*J164</f>
        <v>77100</v>
      </c>
      <c r="U164" s="75">
        <f>(N164+O164)*J164</f>
        <v>41700</v>
      </c>
      <c r="V164" s="75">
        <f>SUM(T164:U164)</f>
        <v>118800</v>
      </c>
      <c r="W164" s="75">
        <f t="shared" si="272"/>
        <v>103571</v>
      </c>
      <c r="X164" s="75">
        <f t="shared" si="273"/>
        <v>56017</v>
      </c>
      <c r="Y164" s="75">
        <f>SUM(W164:X164)</f>
        <v>159588</v>
      </c>
      <c r="Z164" s="228">
        <f t="shared" si="274"/>
        <v>0</v>
      </c>
      <c r="AA164" s="228">
        <f t="shared" si="275"/>
        <v>0</v>
      </c>
      <c r="AB164" s="193">
        <f t="shared" si="276"/>
        <v>0</v>
      </c>
    </row>
    <row r="165" spans="2:29">
      <c r="B165" s="147" t="s">
        <v>413</v>
      </c>
      <c r="C165" s="147" t="s">
        <v>414</v>
      </c>
      <c r="D165" s="141">
        <v>44670</v>
      </c>
      <c r="E165" s="169">
        <f t="shared" si="266"/>
        <v>44671</v>
      </c>
      <c r="F165" s="142" t="s">
        <v>123</v>
      </c>
      <c r="G165" s="142">
        <v>7.709905</v>
      </c>
      <c r="H165" s="142">
        <v>-11.694831900000001</v>
      </c>
      <c r="I165" s="142">
        <v>386</v>
      </c>
      <c r="J165" s="145">
        <v>300</v>
      </c>
      <c r="K165" s="24" t="s">
        <v>108</v>
      </c>
      <c r="L165" s="145">
        <f t="shared" si="268"/>
        <v>256</v>
      </c>
      <c r="M165" s="170">
        <v>0</v>
      </c>
      <c r="N165" s="145">
        <f t="shared" si="269"/>
        <v>139</v>
      </c>
      <c r="O165" s="187">
        <v>0</v>
      </c>
      <c r="P165" s="170">
        <f t="shared" si="270"/>
        <v>0</v>
      </c>
      <c r="Q165" s="75">
        <f t="shared" si="284"/>
        <v>76800</v>
      </c>
      <c r="R165" s="75">
        <f t="shared" si="271"/>
        <v>41700</v>
      </c>
      <c r="S165" s="76">
        <f t="shared" si="283"/>
        <v>118500</v>
      </c>
      <c r="T165" s="75">
        <f t="shared" ref="T165" si="285">(L165+M165)*J165</f>
        <v>76800</v>
      </c>
      <c r="U165" s="75">
        <f t="shared" ref="U165" si="286">(N165+O165)*J165</f>
        <v>41700</v>
      </c>
      <c r="V165" s="75">
        <f t="shared" ref="V165" si="287">SUM(T165:U165)</f>
        <v>118500</v>
      </c>
      <c r="W165" s="75">
        <f t="shared" si="272"/>
        <v>98816</v>
      </c>
      <c r="X165" s="75">
        <f t="shared" si="273"/>
        <v>53654</v>
      </c>
      <c r="Y165" s="75">
        <f t="shared" ref="Y165" si="288">SUM(W165:X165)</f>
        <v>152470</v>
      </c>
      <c r="Z165" s="228">
        <f t="shared" si="274"/>
        <v>0</v>
      </c>
      <c r="AA165" s="228">
        <f t="shared" si="275"/>
        <v>0</v>
      </c>
      <c r="AB165" s="193">
        <f t="shared" si="276"/>
        <v>0</v>
      </c>
    </row>
    <row r="166" spans="2:29">
      <c r="B166" s="147" t="s">
        <v>415</v>
      </c>
      <c r="C166" s="147" t="s">
        <v>416</v>
      </c>
      <c r="D166" s="141">
        <v>44671</v>
      </c>
      <c r="E166" s="169">
        <f t="shared" si="266"/>
        <v>44672</v>
      </c>
      <c r="F166" s="142" t="s">
        <v>159</v>
      </c>
      <c r="G166" s="142">
        <v>7.7083012000000002</v>
      </c>
      <c r="H166" s="142">
        <v>-11.693993000000001</v>
      </c>
      <c r="I166" s="142">
        <v>357</v>
      </c>
      <c r="J166" s="145">
        <v>300</v>
      </c>
      <c r="K166" s="24" t="s">
        <v>108</v>
      </c>
      <c r="L166" s="145">
        <f t="shared" si="268"/>
        <v>255</v>
      </c>
      <c r="M166" s="170">
        <v>0</v>
      </c>
      <c r="N166" s="145">
        <f t="shared" si="269"/>
        <v>139</v>
      </c>
      <c r="O166" s="187">
        <v>0</v>
      </c>
      <c r="P166" s="170">
        <f t="shared" si="270"/>
        <v>0</v>
      </c>
      <c r="Q166" s="75">
        <f t="shared" si="284"/>
        <v>76500</v>
      </c>
      <c r="R166" s="75">
        <f t="shared" si="271"/>
        <v>41700</v>
      </c>
      <c r="S166" s="76">
        <f t="shared" si="283"/>
        <v>118200</v>
      </c>
      <c r="T166" s="75">
        <f>(L166+M166)*J166</f>
        <v>76500</v>
      </c>
      <c r="U166" s="75">
        <f>(N166+O166)*J166</f>
        <v>41700</v>
      </c>
      <c r="V166" s="75">
        <f>SUM(T166:U166)</f>
        <v>118200</v>
      </c>
      <c r="W166" s="75">
        <f t="shared" si="272"/>
        <v>91035</v>
      </c>
      <c r="X166" s="75">
        <f t="shared" si="273"/>
        <v>49623</v>
      </c>
      <c r="Y166" s="75">
        <f>SUM(W166:X166)</f>
        <v>140658</v>
      </c>
      <c r="Z166" s="228">
        <f t="shared" si="274"/>
        <v>0</v>
      </c>
      <c r="AA166" s="228">
        <f t="shared" si="275"/>
        <v>0</v>
      </c>
      <c r="AB166" s="193">
        <f t="shared" si="276"/>
        <v>0</v>
      </c>
    </row>
    <row r="167" spans="2:29">
      <c r="B167" s="147" t="s">
        <v>417</v>
      </c>
      <c r="C167" s="147" t="s">
        <v>418</v>
      </c>
      <c r="D167" s="141">
        <v>44671</v>
      </c>
      <c r="E167" s="169">
        <f t="shared" si="266"/>
        <v>44672</v>
      </c>
      <c r="F167" s="142" t="s">
        <v>123</v>
      </c>
      <c r="G167" s="142">
        <v>7.7053285000000002</v>
      </c>
      <c r="H167" s="142">
        <v>-11.6914131</v>
      </c>
      <c r="I167" s="142">
        <v>345</v>
      </c>
      <c r="J167" s="145">
        <v>300</v>
      </c>
      <c r="K167" s="24" t="s">
        <v>108</v>
      </c>
      <c r="L167" s="145">
        <f t="shared" si="268"/>
        <v>255</v>
      </c>
      <c r="M167" s="170">
        <v>0</v>
      </c>
      <c r="N167" s="145">
        <f t="shared" si="269"/>
        <v>139</v>
      </c>
      <c r="O167" s="187">
        <v>0</v>
      </c>
      <c r="P167" s="170">
        <f t="shared" si="270"/>
        <v>0</v>
      </c>
      <c r="Q167" s="75">
        <f t="shared" si="284"/>
        <v>76500</v>
      </c>
      <c r="R167" s="75">
        <f t="shared" si="271"/>
        <v>41700</v>
      </c>
      <c r="S167" s="76">
        <f t="shared" si="283"/>
        <v>118200</v>
      </c>
      <c r="T167" s="75">
        <f t="shared" ref="T167" si="289">(L167+M167)*J167</f>
        <v>76500</v>
      </c>
      <c r="U167" s="75">
        <f t="shared" ref="U167" si="290">(N167+O167)*J167</f>
        <v>41700</v>
      </c>
      <c r="V167" s="75">
        <f t="shared" ref="V167" si="291">SUM(T167:U167)</f>
        <v>118200</v>
      </c>
      <c r="W167" s="75">
        <f t="shared" si="272"/>
        <v>87975</v>
      </c>
      <c r="X167" s="75">
        <f t="shared" si="273"/>
        <v>47955</v>
      </c>
      <c r="Y167" s="75">
        <f t="shared" ref="Y167" si="292">SUM(W167:X167)</f>
        <v>135930</v>
      </c>
      <c r="Z167" s="228">
        <f t="shared" si="274"/>
        <v>0</v>
      </c>
      <c r="AA167" s="228">
        <f t="shared" si="275"/>
        <v>0</v>
      </c>
      <c r="AB167" s="193">
        <f t="shared" si="276"/>
        <v>0</v>
      </c>
    </row>
    <row r="168" spans="2:29">
      <c r="B168" s="147" t="s">
        <v>419</v>
      </c>
      <c r="C168" s="147" t="s">
        <v>420</v>
      </c>
      <c r="D168" s="141">
        <v>44689</v>
      </c>
      <c r="E168" s="169">
        <f t="shared" si="266"/>
        <v>44690</v>
      </c>
      <c r="F168" s="142" t="s">
        <v>159</v>
      </c>
      <c r="G168" s="142">
        <v>7.7985322999999998</v>
      </c>
      <c r="H168" s="142">
        <v>-11.6072098</v>
      </c>
      <c r="I168" s="142">
        <v>435</v>
      </c>
      <c r="J168" s="145">
        <f t="shared" ref="J168:J175" si="293">IF(I168&gt;300, 300, I168)</f>
        <v>300</v>
      </c>
      <c r="K168" s="24" t="s">
        <v>108</v>
      </c>
      <c r="L168" s="145">
        <f t="shared" si="268"/>
        <v>237</v>
      </c>
      <c r="M168" s="170">
        <v>0</v>
      </c>
      <c r="N168" s="145">
        <f t="shared" si="269"/>
        <v>139</v>
      </c>
      <c r="O168" s="187">
        <v>0</v>
      </c>
      <c r="P168" s="170">
        <f t="shared" si="270"/>
        <v>0</v>
      </c>
      <c r="Q168" s="75">
        <f>L168*J168</f>
        <v>71100</v>
      </c>
      <c r="R168" s="75">
        <f t="shared" si="271"/>
        <v>41700</v>
      </c>
      <c r="S168" s="76">
        <f t="shared" ref="S168:S173" si="294">SUM(Q168:R168)</f>
        <v>112800</v>
      </c>
      <c r="T168" s="75">
        <f>(L168+M168)*J168</f>
        <v>71100</v>
      </c>
      <c r="U168" s="75">
        <f>(N168+O168)*J168</f>
        <v>41700</v>
      </c>
      <c r="V168" s="75">
        <f>SUM(T168:U168)</f>
        <v>112800</v>
      </c>
      <c r="W168" s="75">
        <f t="shared" si="272"/>
        <v>103095</v>
      </c>
      <c r="X168" s="75">
        <f t="shared" si="273"/>
        <v>60465</v>
      </c>
      <c r="Y168" s="75">
        <f>SUM(W168:X168)</f>
        <v>163560</v>
      </c>
      <c r="Z168" s="228">
        <f t="shared" si="274"/>
        <v>0</v>
      </c>
      <c r="AA168" s="228">
        <f t="shared" si="275"/>
        <v>0</v>
      </c>
      <c r="AB168" s="193">
        <f t="shared" si="276"/>
        <v>0</v>
      </c>
    </row>
    <row r="169" spans="2:29">
      <c r="B169" s="147" t="s">
        <v>421</v>
      </c>
      <c r="C169" s="147" t="s">
        <v>422</v>
      </c>
      <c r="D169" s="141">
        <v>44689</v>
      </c>
      <c r="E169" s="169">
        <f t="shared" si="266"/>
        <v>44690</v>
      </c>
      <c r="F169" s="142" t="s">
        <v>159</v>
      </c>
      <c r="G169" s="142">
        <v>7.8020335000000003</v>
      </c>
      <c r="H169" s="142">
        <v>-11.579389900000001</v>
      </c>
      <c r="I169" s="142">
        <v>410</v>
      </c>
      <c r="J169" s="145">
        <f t="shared" si="293"/>
        <v>300</v>
      </c>
      <c r="K169" s="24" t="s">
        <v>108</v>
      </c>
      <c r="L169" s="145">
        <f t="shared" si="268"/>
        <v>237</v>
      </c>
      <c r="M169" s="170">
        <v>0</v>
      </c>
      <c r="N169" s="145">
        <f t="shared" si="269"/>
        <v>139</v>
      </c>
      <c r="O169" s="187">
        <v>0</v>
      </c>
      <c r="P169" s="170">
        <f t="shared" si="270"/>
        <v>0</v>
      </c>
      <c r="Q169" s="75">
        <f t="shared" ref="Q169:Q173" si="295">L169*J169</f>
        <v>71100</v>
      </c>
      <c r="R169" s="75">
        <f t="shared" si="271"/>
        <v>41700</v>
      </c>
      <c r="S169" s="76">
        <f t="shared" si="294"/>
        <v>112800</v>
      </c>
      <c r="T169" s="75">
        <f t="shared" ref="T169:T175" si="296">(L169+M169)*J169</f>
        <v>71100</v>
      </c>
      <c r="U169" s="75">
        <f t="shared" ref="U169:U175" si="297">(N169+O169)*J169</f>
        <v>41700</v>
      </c>
      <c r="V169" s="75">
        <f t="shared" ref="V169:V175" si="298">SUM(T169:U169)</f>
        <v>112800</v>
      </c>
      <c r="W169" s="75">
        <f t="shared" si="272"/>
        <v>97170</v>
      </c>
      <c r="X169" s="75">
        <f t="shared" si="273"/>
        <v>56990</v>
      </c>
      <c r="Y169" s="75">
        <f t="shared" ref="Y169:Y175" si="299">SUM(W169:X169)</f>
        <v>154160</v>
      </c>
      <c r="Z169" s="228">
        <f t="shared" si="274"/>
        <v>0</v>
      </c>
      <c r="AA169" s="228">
        <f t="shared" si="275"/>
        <v>0</v>
      </c>
      <c r="AB169" s="193">
        <f t="shared" si="276"/>
        <v>0</v>
      </c>
    </row>
    <row r="170" spans="2:29">
      <c r="B170" s="147" t="s">
        <v>423</v>
      </c>
      <c r="C170" s="147" t="s">
        <v>424</v>
      </c>
      <c r="D170" s="141">
        <v>44688</v>
      </c>
      <c r="E170" s="169">
        <f t="shared" si="266"/>
        <v>44689</v>
      </c>
      <c r="F170" s="142" t="s">
        <v>159</v>
      </c>
      <c r="G170" s="142">
        <v>7.8098530000000004</v>
      </c>
      <c r="H170" s="142">
        <v>-11.5501468</v>
      </c>
      <c r="I170" s="142">
        <v>398</v>
      </c>
      <c r="J170" s="145">
        <f t="shared" si="293"/>
        <v>300</v>
      </c>
      <c r="K170" s="24" t="s">
        <v>108</v>
      </c>
      <c r="L170" s="145">
        <f t="shared" si="268"/>
        <v>238</v>
      </c>
      <c r="M170" s="170">
        <v>0</v>
      </c>
      <c r="N170" s="145">
        <f t="shared" si="269"/>
        <v>139</v>
      </c>
      <c r="O170" s="187">
        <v>0</v>
      </c>
      <c r="P170" s="170">
        <f t="shared" si="270"/>
        <v>0</v>
      </c>
      <c r="Q170" s="75">
        <f t="shared" si="295"/>
        <v>71400</v>
      </c>
      <c r="R170" s="75">
        <f t="shared" si="271"/>
        <v>41700</v>
      </c>
      <c r="S170" s="76">
        <f t="shared" si="294"/>
        <v>113100</v>
      </c>
      <c r="T170" s="75">
        <f t="shared" si="296"/>
        <v>71400</v>
      </c>
      <c r="U170" s="75">
        <f t="shared" si="297"/>
        <v>41700</v>
      </c>
      <c r="V170" s="75">
        <f t="shared" si="298"/>
        <v>113100</v>
      </c>
      <c r="W170" s="75">
        <f t="shared" si="272"/>
        <v>94724</v>
      </c>
      <c r="X170" s="75">
        <f t="shared" si="273"/>
        <v>55322</v>
      </c>
      <c r="Y170" s="75">
        <f t="shared" si="299"/>
        <v>150046</v>
      </c>
      <c r="Z170" s="228">
        <f t="shared" si="274"/>
        <v>0</v>
      </c>
      <c r="AA170" s="228">
        <f t="shared" si="275"/>
        <v>0</v>
      </c>
      <c r="AB170" s="193">
        <f t="shared" si="276"/>
        <v>0</v>
      </c>
    </row>
    <row r="171" spans="2:29">
      <c r="B171" s="147" t="s">
        <v>425</v>
      </c>
      <c r="C171" s="147" t="s">
        <v>426</v>
      </c>
      <c r="D171" s="141">
        <v>44690</v>
      </c>
      <c r="E171" s="169">
        <f t="shared" si="266"/>
        <v>44691</v>
      </c>
      <c r="F171" s="142" t="s">
        <v>159</v>
      </c>
      <c r="G171" s="142">
        <v>7.8043560999999997</v>
      </c>
      <c r="H171" s="142">
        <v>-11.6380763</v>
      </c>
      <c r="I171" s="142">
        <v>406</v>
      </c>
      <c r="J171" s="145">
        <f t="shared" si="293"/>
        <v>300</v>
      </c>
      <c r="K171" s="24" t="s">
        <v>108</v>
      </c>
      <c r="L171" s="145">
        <f t="shared" si="268"/>
        <v>236</v>
      </c>
      <c r="M171" s="170">
        <v>0</v>
      </c>
      <c r="N171" s="145">
        <f t="shared" si="269"/>
        <v>139</v>
      </c>
      <c r="O171" s="187">
        <v>0</v>
      </c>
      <c r="P171" s="170">
        <f t="shared" si="270"/>
        <v>0</v>
      </c>
      <c r="Q171" s="75">
        <f t="shared" si="295"/>
        <v>70800</v>
      </c>
      <c r="R171" s="75">
        <f t="shared" si="271"/>
        <v>41700</v>
      </c>
      <c r="S171" s="76">
        <f t="shared" si="294"/>
        <v>112500</v>
      </c>
      <c r="T171" s="75">
        <f t="shared" si="296"/>
        <v>70800</v>
      </c>
      <c r="U171" s="75">
        <f t="shared" si="297"/>
        <v>41700</v>
      </c>
      <c r="V171" s="75">
        <f t="shared" si="298"/>
        <v>112500</v>
      </c>
      <c r="W171" s="75">
        <f t="shared" si="272"/>
        <v>95816</v>
      </c>
      <c r="X171" s="75">
        <f t="shared" si="273"/>
        <v>56434</v>
      </c>
      <c r="Y171" s="75">
        <f t="shared" si="299"/>
        <v>152250</v>
      </c>
      <c r="Z171" s="228">
        <f t="shared" si="274"/>
        <v>0</v>
      </c>
      <c r="AA171" s="228">
        <f t="shared" si="275"/>
        <v>0</v>
      </c>
      <c r="AB171" s="193">
        <f t="shared" si="276"/>
        <v>0</v>
      </c>
    </row>
    <row r="172" spans="2:29">
      <c r="B172" s="147" t="s">
        <v>427</v>
      </c>
      <c r="C172" s="147" t="s">
        <v>428</v>
      </c>
      <c r="D172" s="141">
        <v>44691</v>
      </c>
      <c r="E172" s="169">
        <f t="shared" si="266"/>
        <v>44692</v>
      </c>
      <c r="F172" s="142" t="s">
        <v>159</v>
      </c>
      <c r="G172" s="142">
        <v>7.8411146</v>
      </c>
      <c r="H172" s="142">
        <v>-11.6612697</v>
      </c>
      <c r="I172" s="142">
        <v>430</v>
      </c>
      <c r="J172" s="145">
        <f t="shared" si="293"/>
        <v>300</v>
      </c>
      <c r="K172" s="24" t="s">
        <v>108</v>
      </c>
      <c r="L172" s="145">
        <f t="shared" si="268"/>
        <v>235</v>
      </c>
      <c r="M172" s="170">
        <v>0</v>
      </c>
      <c r="N172" s="145">
        <f t="shared" si="269"/>
        <v>139</v>
      </c>
      <c r="O172" s="187">
        <v>0</v>
      </c>
      <c r="P172" s="170">
        <f t="shared" si="270"/>
        <v>0</v>
      </c>
      <c r="Q172" s="75">
        <f t="shared" si="295"/>
        <v>70500</v>
      </c>
      <c r="R172" s="75">
        <f t="shared" si="271"/>
        <v>41700</v>
      </c>
      <c r="S172" s="76">
        <f t="shared" si="294"/>
        <v>112200</v>
      </c>
      <c r="T172" s="75">
        <f t="shared" si="296"/>
        <v>70500</v>
      </c>
      <c r="U172" s="75">
        <f t="shared" si="297"/>
        <v>41700</v>
      </c>
      <c r="V172" s="75">
        <f t="shared" si="298"/>
        <v>112200</v>
      </c>
      <c r="W172" s="75">
        <f t="shared" si="272"/>
        <v>101050</v>
      </c>
      <c r="X172" s="75">
        <f t="shared" si="273"/>
        <v>59770</v>
      </c>
      <c r="Y172" s="75">
        <f t="shared" si="299"/>
        <v>160820</v>
      </c>
      <c r="Z172" s="228">
        <f t="shared" si="274"/>
        <v>0</v>
      </c>
      <c r="AA172" s="228">
        <f t="shared" si="275"/>
        <v>0</v>
      </c>
      <c r="AB172" s="193">
        <f t="shared" si="276"/>
        <v>0</v>
      </c>
    </row>
    <row r="173" spans="2:29">
      <c r="B173" s="147" t="s">
        <v>429</v>
      </c>
      <c r="C173" s="147" t="s">
        <v>404</v>
      </c>
      <c r="D173" s="141">
        <v>44697</v>
      </c>
      <c r="E173" s="169">
        <f t="shared" si="266"/>
        <v>44698</v>
      </c>
      <c r="F173" s="142" t="s">
        <v>159</v>
      </c>
      <c r="G173" s="142">
        <v>7.8397965999999997</v>
      </c>
      <c r="H173" s="142">
        <v>-11.657531199999999</v>
      </c>
      <c r="I173" s="142">
        <v>410</v>
      </c>
      <c r="J173" s="145">
        <f t="shared" si="293"/>
        <v>300</v>
      </c>
      <c r="K173" s="24" t="s">
        <v>108</v>
      </c>
      <c r="L173" s="145">
        <f t="shared" si="268"/>
        <v>229</v>
      </c>
      <c r="M173" s="170">
        <v>0</v>
      </c>
      <c r="N173" s="145">
        <f t="shared" si="269"/>
        <v>139</v>
      </c>
      <c r="O173" s="187">
        <v>0</v>
      </c>
      <c r="P173" s="170">
        <f t="shared" si="270"/>
        <v>0</v>
      </c>
      <c r="Q173" s="75">
        <f t="shared" si="295"/>
        <v>68700</v>
      </c>
      <c r="R173" s="75">
        <f t="shared" si="271"/>
        <v>41700</v>
      </c>
      <c r="S173" s="76">
        <f t="shared" si="294"/>
        <v>110400</v>
      </c>
      <c r="T173" s="75">
        <f t="shared" si="296"/>
        <v>68700</v>
      </c>
      <c r="U173" s="75">
        <f t="shared" si="297"/>
        <v>41700</v>
      </c>
      <c r="V173" s="75">
        <f t="shared" si="298"/>
        <v>110400</v>
      </c>
      <c r="W173" s="75">
        <f t="shared" si="272"/>
        <v>93890</v>
      </c>
      <c r="X173" s="75">
        <f t="shared" si="273"/>
        <v>56990</v>
      </c>
      <c r="Y173" s="75">
        <f t="shared" si="299"/>
        <v>150880</v>
      </c>
      <c r="Z173" s="228">
        <f t="shared" si="274"/>
        <v>0</v>
      </c>
      <c r="AA173" s="228">
        <f t="shared" si="275"/>
        <v>0</v>
      </c>
      <c r="AB173" s="193">
        <f t="shared" si="276"/>
        <v>0</v>
      </c>
    </row>
    <row r="174" spans="2:29">
      <c r="B174" s="147" t="s">
        <v>430</v>
      </c>
      <c r="C174" s="147" t="s">
        <v>431</v>
      </c>
      <c r="D174" s="141">
        <v>44697</v>
      </c>
      <c r="E174" s="169">
        <f t="shared" si="266"/>
        <v>44698</v>
      </c>
      <c r="F174" s="142" t="s">
        <v>159</v>
      </c>
      <c r="G174" s="142">
        <v>7.8412310999999999</v>
      </c>
      <c r="H174" s="142">
        <v>-11.6571169</v>
      </c>
      <c r="I174" s="142">
        <v>388</v>
      </c>
      <c r="J174" s="145">
        <f t="shared" si="293"/>
        <v>300</v>
      </c>
      <c r="K174" s="24" t="s">
        <v>108</v>
      </c>
      <c r="L174" s="145">
        <f t="shared" si="268"/>
        <v>229</v>
      </c>
      <c r="M174" s="170">
        <v>0</v>
      </c>
      <c r="N174" s="145">
        <f t="shared" si="269"/>
        <v>139</v>
      </c>
      <c r="O174" s="187">
        <v>0</v>
      </c>
      <c r="P174" s="170">
        <f t="shared" si="270"/>
        <v>0</v>
      </c>
      <c r="Q174" s="75">
        <f>L174*J174</f>
        <v>68700</v>
      </c>
      <c r="R174" s="75">
        <f t="shared" si="271"/>
        <v>41700</v>
      </c>
      <c r="S174" s="76">
        <f t="shared" ref="S174:S175" si="300">SUM(Q174:R174)</f>
        <v>110400</v>
      </c>
      <c r="T174" s="75">
        <f t="shared" si="296"/>
        <v>68700</v>
      </c>
      <c r="U174" s="75">
        <f t="shared" si="297"/>
        <v>41700</v>
      </c>
      <c r="V174" s="75">
        <f t="shared" si="298"/>
        <v>110400</v>
      </c>
      <c r="W174" s="75">
        <f t="shared" si="272"/>
        <v>88852</v>
      </c>
      <c r="X174" s="75">
        <f t="shared" si="273"/>
        <v>53932</v>
      </c>
      <c r="Y174" s="75">
        <f t="shared" si="299"/>
        <v>142784</v>
      </c>
      <c r="Z174" s="228">
        <f t="shared" si="274"/>
        <v>0</v>
      </c>
      <c r="AA174" s="228">
        <f t="shared" si="275"/>
        <v>0</v>
      </c>
      <c r="AB174" s="193">
        <f t="shared" si="276"/>
        <v>0</v>
      </c>
    </row>
    <row r="175" spans="2:29">
      <c r="B175" s="147" t="s">
        <v>432</v>
      </c>
      <c r="C175" s="147" t="s">
        <v>433</v>
      </c>
      <c r="D175" s="141">
        <v>44671</v>
      </c>
      <c r="E175" s="169">
        <f t="shared" si="266"/>
        <v>44672</v>
      </c>
      <c r="F175" s="142" t="s">
        <v>159</v>
      </c>
      <c r="G175" s="142">
        <v>7.5674536999999997</v>
      </c>
      <c r="H175" s="142">
        <v>-11.908686400000001</v>
      </c>
      <c r="I175" s="142">
        <v>382</v>
      </c>
      <c r="J175" s="145">
        <f t="shared" si="293"/>
        <v>300</v>
      </c>
      <c r="K175" s="24" t="s">
        <v>108</v>
      </c>
      <c r="L175" s="145">
        <f t="shared" si="268"/>
        <v>255</v>
      </c>
      <c r="M175" s="170">
        <v>0</v>
      </c>
      <c r="N175" s="145">
        <f t="shared" si="269"/>
        <v>139</v>
      </c>
      <c r="O175" s="187">
        <v>0</v>
      </c>
      <c r="P175" s="170">
        <f t="shared" si="270"/>
        <v>0</v>
      </c>
      <c r="Q175" s="75">
        <f t="shared" ref="Q175" si="301">L175*J175</f>
        <v>76500</v>
      </c>
      <c r="R175" s="75">
        <f t="shared" si="271"/>
        <v>41700</v>
      </c>
      <c r="S175" s="76">
        <f t="shared" si="300"/>
        <v>118200</v>
      </c>
      <c r="T175" s="75">
        <f t="shared" si="296"/>
        <v>76500</v>
      </c>
      <c r="U175" s="75">
        <f t="shared" si="297"/>
        <v>41700</v>
      </c>
      <c r="V175" s="75">
        <f t="shared" si="298"/>
        <v>118200</v>
      </c>
      <c r="W175" s="75">
        <f t="shared" si="272"/>
        <v>97410</v>
      </c>
      <c r="X175" s="75">
        <f t="shared" si="273"/>
        <v>53098</v>
      </c>
      <c r="Y175" s="75">
        <f t="shared" si="299"/>
        <v>150508</v>
      </c>
      <c r="Z175" s="228">
        <f t="shared" si="274"/>
        <v>0</v>
      </c>
      <c r="AA175" s="228">
        <f t="shared" si="275"/>
        <v>0</v>
      </c>
      <c r="AB175" s="193">
        <f t="shared" si="276"/>
        <v>0</v>
      </c>
    </row>
    <row r="176" spans="2:29">
      <c r="B176" s="148">
        <f>COUNTA(B156:B175)</f>
        <v>20</v>
      </c>
      <c r="C176" s="149"/>
      <c r="D176" s="149"/>
      <c r="E176" s="149"/>
      <c r="F176" s="86"/>
      <c r="G176" s="86"/>
      <c r="H176" s="86"/>
      <c r="I176" s="87">
        <f>SUM(I156:I175)</f>
        <v>7678</v>
      </c>
      <c r="J176" s="87">
        <f>SUM(J156:J175)</f>
        <v>5992</v>
      </c>
      <c r="K176" s="86"/>
      <c r="L176" s="87">
        <f>SUM(L156:L175)</f>
        <v>4677</v>
      </c>
      <c r="M176" s="87">
        <f t="shared" ref="M176:P176" si="302">SUM(M156:M168)</f>
        <v>0</v>
      </c>
      <c r="N176" s="87">
        <f>SUM(N156:N175)</f>
        <v>2780</v>
      </c>
      <c r="O176" s="87">
        <f t="shared" si="302"/>
        <v>0</v>
      </c>
      <c r="P176" s="87">
        <f t="shared" si="302"/>
        <v>0</v>
      </c>
      <c r="Q176" s="88">
        <f>SUM(Q156:Q175)</f>
        <v>1401036</v>
      </c>
      <c r="R176" s="88">
        <f>SUM(R156:R175)</f>
        <v>832888</v>
      </c>
      <c r="S176" s="88">
        <f t="shared" ref="S176:Y176" si="303">SUM(S156:S175)</f>
        <v>2233924</v>
      </c>
      <c r="T176" s="88">
        <f t="shared" si="303"/>
        <v>1401036</v>
      </c>
      <c r="U176" s="88">
        <f t="shared" si="303"/>
        <v>832888</v>
      </c>
      <c r="V176" s="88">
        <f t="shared" si="303"/>
        <v>2233924</v>
      </c>
      <c r="W176" s="88">
        <f t="shared" si="303"/>
        <v>1774561</v>
      </c>
      <c r="X176" s="88">
        <f t="shared" si="303"/>
        <v>1067242</v>
      </c>
      <c r="Y176" s="88">
        <f t="shared" si="303"/>
        <v>2841803</v>
      </c>
      <c r="Z176" s="223">
        <f t="shared" ref="Z176:AA176" si="304">AVERAGE(Z156:Z175)</f>
        <v>0</v>
      </c>
      <c r="AA176" s="223">
        <f t="shared" si="304"/>
        <v>0</v>
      </c>
      <c r="AB176" s="223">
        <f>AVERAGE(AB156:AB175)</f>
        <v>0</v>
      </c>
      <c r="AC176" s="186"/>
    </row>
    <row r="177" spans="2:28">
      <c r="B177" s="137" t="s">
        <v>434</v>
      </c>
      <c r="C177" s="138"/>
      <c r="D177" s="138"/>
      <c r="E177" s="138"/>
      <c r="F177" s="138"/>
      <c r="G177" s="84"/>
      <c r="H177" s="84"/>
      <c r="I177" s="138"/>
      <c r="J177" s="138"/>
      <c r="K177" s="138"/>
      <c r="L177" s="89"/>
      <c r="M177" s="89"/>
      <c r="N177" s="213"/>
      <c r="O177" s="90"/>
      <c r="P177" s="90"/>
      <c r="Q177" s="91"/>
      <c r="R177" s="92"/>
      <c r="S177" s="93"/>
      <c r="T177" s="93"/>
      <c r="U177" s="93"/>
      <c r="V177" s="93"/>
      <c r="W177" s="93"/>
      <c r="X177" s="93"/>
      <c r="Y177" s="93"/>
      <c r="Z177" s="93"/>
      <c r="AA177" s="93"/>
      <c r="AB177" s="192"/>
    </row>
    <row r="178" spans="2:28">
      <c r="B178" s="147" t="s">
        <v>435</v>
      </c>
      <c r="C178" s="147" t="s">
        <v>436</v>
      </c>
      <c r="D178" s="141">
        <v>44669</v>
      </c>
      <c r="E178" s="169">
        <f t="shared" ref="E178:E197" si="305">IF(LEFT(B178,2)="BO",D178+1,$AE$2)</f>
        <v>44670</v>
      </c>
      <c r="F178" s="142" t="s">
        <v>159</v>
      </c>
      <c r="G178" s="142">
        <v>7.6117023000000001</v>
      </c>
      <c r="H178" s="142">
        <v>-11.869221700000001</v>
      </c>
      <c r="I178" s="142">
        <v>324</v>
      </c>
      <c r="J178" s="145">
        <f t="shared" ref="J178:J197" si="306">IF(I178&gt;300, 300, I178)</f>
        <v>300</v>
      </c>
      <c r="K178" s="24" t="s">
        <v>108</v>
      </c>
      <c r="L178" s="145">
        <f t="shared" ref="L178:L197" si="307">$AE$4-$E178-M178+1</f>
        <v>257</v>
      </c>
      <c r="M178" s="170">
        <v>0</v>
      </c>
      <c r="N178" s="145">
        <f t="shared" ref="N178:N197" si="308">$AE$10-$AE$11-O178+1</f>
        <v>139</v>
      </c>
      <c r="O178" s="187">
        <v>0</v>
      </c>
      <c r="P178" s="170">
        <f t="shared" ref="P178:P197" si="309">M178+O178</f>
        <v>0</v>
      </c>
      <c r="Q178" s="75">
        <f t="shared" ref="Q178:Q181" si="310">L178*J178</f>
        <v>77100</v>
      </c>
      <c r="R178" s="75">
        <f t="shared" ref="R178:R197" si="311">N178*J178</f>
        <v>41700</v>
      </c>
      <c r="S178" s="76">
        <f t="shared" ref="S178:S181" si="312">SUM(Q178:R178)</f>
        <v>118800</v>
      </c>
      <c r="T178" s="75">
        <f>(L178+M178)*J178</f>
        <v>77100</v>
      </c>
      <c r="U178" s="75">
        <f>(N178+O178)*J178</f>
        <v>41700</v>
      </c>
      <c r="V178" s="75">
        <f>SUM(T178:U178)</f>
        <v>118800</v>
      </c>
      <c r="W178" s="75">
        <f t="shared" ref="W178:W197" si="313">L178*I178</f>
        <v>83268</v>
      </c>
      <c r="X178" s="75">
        <f t="shared" ref="X178:X197" si="314">N178*I178</f>
        <v>45036</v>
      </c>
      <c r="Y178" s="75">
        <f>SUM(W178:X178)</f>
        <v>128304</v>
      </c>
      <c r="Z178" s="228">
        <f t="shared" ref="Z178:Z197" si="315">M178/SUM(L178:M178)</f>
        <v>0</v>
      </c>
      <c r="AA178" s="228">
        <f t="shared" ref="AA178:AA197" si="316">O178/SUM(N178:O178)</f>
        <v>0</v>
      </c>
      <c r="AB178" s="193">
        <f t="shared" ref="AB178:AB197" si="317">(M178+O178)/SUM(L178:O178)</f>
        <v>0</v>
      </c>
    </row>
    <row r="179" spans="2:28">
      <c r="B179" s="147" t="s">
        <v>437</v>
      </c>
      <c r="C179" s="147" t="s">
        <v>438</v>
      </c>
      <c r="D179" s="141">
        <v>44669</v>
      </c>
      <c r="E179" s="169">
        <f t="shared" si="305"/>
        <v>44670</v>
      </c>
      <c r="F179" s="142" t="s">
        <v>159</v>
      </c>
      <c r="G179" s="142">
        <v>7.6118142999999998</v>
      </c>
      <c r="H179" s="142">
        <v>-11.867975400000001</v>
      </c>
      <c r="I179" s="142">
        <v>307</v>
      </c>
      <c r="J179" s="145">
        <f t="shared" si="306"/>
        <v>300</v>
      </c>
      <c r="K179" s="24" t="s">
        <v>108</v>
      </c>
      <c r="L179" s="145">
        <f t="shared" si="307"/>
        <v>257</v>
      </c>
      <c r="M179" s="170">
        <v>0</v>
      </c>
      <c r="N179" s="145">
        <f t="shared" si="308"/>
        <v>139</v>
      </c>
      <c r="O179" s="187">
        <v>0</v>
      </c>
      <c r="P179" s="170">
        <f t="shared" si="309"/>
        <v>0</v>
      </c>
      <c r="Q179" s="75">
        <f t="shared" si="310"/>
        <v>77100</v>
      </c>
      <c r="R179" s="75">
        <f t="shared" si="311"/>
        <v>41700</v>
      </c>
      <c r="S179" s="76">
        <f t="shared" si="312"/>
        <v>118800</v>
      </c>
      <c r="T179" s="75">
        <f t="shared" ref="T179:T180" si="318">(L179+M179)*J179</f>
        <v>77100</v>
      </c>
      <c r="U179" s="75">
        <f t="shared" ref="U179:U180" si="319">(N179+O179)*J179</f>
        <v>41700</v>
      </c>
      <c r="V179" s="75">
        <f t="shared" ref="V179:V180" si="320">SUM(T179:U179)</f>
        <v>118800</v>
      </c>
      <c r="W179" s="75">
        <f t="shared" si="313"/>
        <v>78899</v>
      </c>
      <c r="X179" s="75">
        <f t="shared" si="314"/>
        <v>42673</v>
      </c>
      <c r="Y179" s="75">
        <f t="shared" ref="Y179:Y180" si="321">SUM(W179:X179)</f>
        <v>121572</v>
      </c>
      <c r="Z179" s="228">
        <f t="shared" si="315"/>
        <v>0</v>
      </c>
      <c r="AA179" s="228">
        <f t="shared" si="316"/>
        <v>0</v>
      </c>
      <c r="AB179" s="193">
        <f t="shared" si="317"/>
        <v>0</v>
      </c>
    </row>
    <row r="180" spans="2:28">
      <c r="B180" s="147" t="s">
        <v>439</v>
      </c>
      <c r="C180" s="147" t="s">
        <v>440</v>
      </c>
      <c r="D180" s="141">
        <v>44718</v>
      </c>
      <c r="E180" s="169">
        <f t="shared" si="305"/>
        <v>44719</v>
      </c>
      <c r="F180" s="142" t="s">
        <v>123</v>
      </c>
      <c r="G180" s="142">
        <v>7.6370167000000002</v>
      </c>
      <c r="H180" s="142">
        <v>-11.8225026</v>
      </c>
      <c r="I180" s="142">
        <v>441</v>
      </c>
      <c r="J180" s="145">
        <f t="shared" si="306"/>
        <v>300</v>
      </c>
      <c r="K180" s="24" t="s">
        <v>108</v>
      </c>
      <c r="L180" s="145">
        <f t="shared" si="307"/>
        <v>208</v>
      </c>
      <c r="M180" s="170">
        <v>0</v>
      </c>
      <c r="N180" s="145">
        <f t="shared" si="308"/>
        <v>139</v>
      </c>
      <c r="O180" s="187">
        <v>0</v>
      </c>
      <c r="P180" s="170">
        <f t="shared" si="309"/>
        <v>0</v>
      </c>
      <c r="Q180" s="75">
        <f t="shared" si="310"/>
        <v>62400</v>
      </c>
      <c r="R180" s="75">
        <f t="shared" si="311"/>
        <v>41700</v>
      </c>
      <c r="S180" s="76">
        <f t="shared" si="312"/>
        <v>104100</v>
      </c>
      <c r="T180" s="75">
        <f t="shared" si="318"/>
        <v>62400</v>
      </c>
      <c r="U180" s="75">
        <f t="shared" si="319"/>
        <v>41700</v>
      </c>
      <c r="V180" s="75">
        <f t="shared" si="320"/>
        <v>104100</v>
      </c>
      <c r="W180" s="75">
        <f t="shared" si="313"/>
        <v>91728</v>
      </c>
      <c r="X180" s="75">
        <f t="shared" si="314"/>
        <v>61299</v>
      </c>
      <c r="Y180" s="75">
        <f t="shared" si="321"/>
        <v>153027</v>
      </c>
      <c r="Z180" s="228">
        <f t="shared" si="315"/>
        <v>0</v>
      </c>
      <c r="AA180" s="228">
        <f t="shared" si="316"/>
        <v>0</v>
      </c>
      <c r="AB180" s="193">
        <f t="shared" si="317"/>
        <v>0</v>
      </c>
    </row>
    <row r="181" spans="2:28">
      <c r="B181" s="147" t="s">
        <v>441</v>
      </c>
      <c r="C181" s="147" t="s">
        <v>442</v>
      </c>
      <c r="D181" s="141">
        <v>44670</v>
      </c>
      <c r="E181" s="169">
        <f t="shared" si="305"/>
        <v>44671</v>
      </c>
      <c r="F181" s="142" t="s">
        <v>159</v>
      </c>
      <c r="G181" s="142">
        <v>7.6506530000000001</v>
      </c>
      <c r="H181" s="142">
        <v>-11.810112500000001</v>
      </c>
      <c r="I181" s="142">
        <v>478</v>
      </c>
      <c r="J181" s="145">
        <f t="shared" si="306"/>
        <v>300</v>
      </c>
      <c r="K181" s="24" t="s">
        <v>108</v>
      </c>
      <c r="L181" s="145">
        <f t="shared" si="307"/>
        <v>256</v>
      </c>
      <c r="M181" s="170">
        <v>0</v>
      </c>
      <c r="N181" s="145">
        <f t="shared" si="308"/>
        <v>139</v>
      </c>
      <c r="O181" s="187">
        <v>0</v>
      </c>
      <c r="P181" s="170">
        <f t="shared" si="309"/>
        <v>0</v>
      </c>
      <c r="Q181" s="75">
        <f t="shared" si="310"/>
        <v>76800</v>
      </c>
      <c r="R181" s="75">
        <f t="shared" si="311"/>
        <v>41700</v>
      </c>
      <c r="S181" s="76">
        <f t="shared" si="312"/>
        <v>118500</v>
      </c>
      <c r="T181" s="75">
        <f>(L181+M181)*J181</f>
        <v>76800</v>
      </c>
      <c r="U181" s="75">
        <f>(N181+O181)*J181</f>
        <v>41700</v>
      </c>
      <c r="V181" s="75">
        <f>SUM(T181:U181)</f>
        <v>118500</v>
      </c>
      <c r="W181" s="75">
        <f t="shared" si="313"/>
        <v>122368</v>
      </c>
      <c r="X181" s="75">
        <f t="shared" si="314"/>
        <v>66442</v>
      </c>
      <c r="Y181" s="75">
        <f>SUM(W181:X181)</f>
        <v>188810</v>
      </c>
      <c r="Z181" s="228">
        <f t="shared" si="315"/>
        <v>0</v>
      </c>
      <c r="AA181" s="228">
        <f t="shared" si="316"/>
        <v>0</v>
      </c>
      <c r="AB181" s="193">
        <f t="shared" si="317"/>
        <v>0</v>
      </c>
    </row>
    <row r="182" spans="2:28">
      <c r="B182" s="147" t="s">
        <v>443</v>
      </c>
      <c r="C182" s="147" t="s">
        <v>444</v>
      </c>
      <c r="D182" s="141">
        <v>44670</v>
      </c>
      <c r="E182" s="169">
        <f t="shared" si="305"/>
        <v>44671</v>
      </c>
      <c r="F182" s="142" t="s">
        <v>159</v>
      </c>
      <c r="G182" s="142">
        <v>7.6335464999999996</v>
      </c>
      <c r="H182" s="142">
        <v>-11.760816</v>
      </c>
      <c r="I182" s="142">
        <v>381</v>
      </c>
      <c r="J182" s="145">
        <f t="shared" si="306"/>
        <v>300</v>
      </c>
      <c r="K182" s="24" t="s">
        <v>108</v>
      </c>
      <c r="L182" s="145">
        <f t="shared" si="307"/>
        <v>256</v>
      </c>
      <c r="M182" s="170">
        <v>0</v>
      </c>
      <c r="N182" s="145">
        <f t="shared" si="308"/>
        <v>139</v>
      </c>
      <c r="O182" s="187">
        <v>0</v>
      </c>
      <c r="P182" s="170">
        <f t="shared" si="309"/>
        <v>0</v>
      </c>
      <c r="Q182" s="75">
        <f>L182*J182</f>
        <v>76800</v>
      </c>
      <c r="R182" s="75">
        <f t="shared" si="311"/>
        <v>41700</v>
      </c>
      <c r="S182" s="76">
        <f t="shared" ref="S182:S187" si="322">SUM(Q182:R182)</f>
        <v>118500</v>
      </c>
      <c r="T182" s="75">
        <f t="shared" ref="T182:T186" si="323">(L182+M182)*J182</f>
        <v>76800</v>
      </c>
      <c r="U182" s="75">
        <f t="shared" ref="U182:U186" si="324">(N182+O182)*J182</f>
        <v>41700</v>
      </c>
      <c r="V182" s="75">
        <f t="shared" ref="V182:V186" si="325">SUM(T182:U182)</f>
        <v>118500</v>
      </c>
      <c r="W182" s="75">
        <f t="shared" si="313"/>
        <v>97536</v>
      </c>
      <c r="X182" s="75">
        <f t="shared" si="314"/>
        <v>52959</v>
      </c>
      <c r="Y182" s="75">
        <f t="shared" ref="Y182:Y186" si="326">SUM(W182:X182)</f>
        <v>150495</v>
      </c>
      <c r="Z182" s="228">
        <f t="shared" si="315"/>
        <v>0</v>
      </c>
      <c r="AA182" s="228">
        <f t="shared" si="316"/>
        <v>0</v>
      </c>
      <c r="AB182" s="193">
        <f t="shared" si="317"/>
        <v>0</v>
      </c>
    </row>
    <row r="183" spans="2:28">
      <c r="B183" s="147" t="s">
        <v>445</v>
      </c>
      <c r="C183" s="147" t="s">
        <v>398</v>
      </c>
      <c r="D183" s="141">
        <v>44668</v>
      </c>
      <c r="E183" s="169">
        <f t="shared" si="305"/>
        <v>44669</v>
      </c>
      <c r="F183" s="142" t="s">
        <v>159</v>
      </c>
      <c r="G183" s="142">
        <v>7.6435335999999996</v>
      </c>
      <c r="H183" s="142">
        <v>-11.7923609</v>
      </c>
      <c r="I183" s="142">
        <v>284</v>
      </c>
      <c r="J183" s="145">
        <f t="shared" si="306"/>
        <v>284</v>
      </c>
      <c r="K183" s="24" t="s">
        <v>108</v>
      </c>
      <c r="L183" s="145">
        <f t="shared" si="307"/>
        <v>258</v>
      </c>
      <c r="M183" s="170">
        <v>0</v>
      </c>
      <c r="N183" s="145">
        <f t="shared" si="308"/>
        <v>139</v>
      </c>
      <c r="O183" s="187">
        <v>0</v>
      </c>
      <c r="P183" s="170">
        <f t="shared" si="309"/>
        <v>0</v>
      </c>
      <c r="Q183" s="75">
        <f t="shared" ref="Q183:Q187" si="327">L183*J183</f>
        <v>73272</v>
      </c>
      <c r="R183" s="75">
        <f t="shared" si="311"/>
        <v>39476</v>
      </c>
      <c r="S183" s="76">
        <f t="shared" si="322"/>
        <v>112748</v>
      </c>
      <c r="T183" s="75">
        <f t="shared" si="323"/>
        <v>73272</v>
      </c>
      <c r="U183" s="75">
        <f t="shared" si="324"/>
        <v>39476</v>
      </c>
      <c r="V183" s="75">
        <f t="shared" si="325"/>
        <v>112748</v>
      </c>
      <c r="W183" s="75">
        <f t="shared" si="313"/>
        <v>73272</v>
      </c>
      <c r="X183" s="75">
        <f t="shared" si="314"/>
        <v>39476</v>
      </c>
      <c r="Y183" s="75">
        <f t="shared" si="326"/>
        <v>112748</v>
      </c>
      <c r="Z183" s="228">
        <f t="shared" si="315"/>
        <v>0</v>
      </c>
      <c r="AA183" s="228">
        <f t="shared" si="316"/>
        <v>0</v>
      </c>
      <c r="AB183" s="193">
        <f t="shared" si="317"/>
        <v>0</v>
      </c>
    </row>
    <row r="184" spans="2:28">
      <c r="B184" s="147" t="s">
        <v>446</v>
      </c>
      <c r="C184" s="147" t="s">
        <v>447</v>
      </c>
      <c r="D184" s="141">
        <v>44696</v>
      </c>
      <c r="E184" s="169">
        <f t="shared" si="305"/>
        <v>44697</v>
      </c>
      <c r="F184" s="142" t="s">
        <v>159</v>
      </c>
      <c r="G184" s="142">
        <v>7.6860610999999999</v>
      </c>
      <c r="H184" s="142">
        <v>-11.765630099999999</v>
      </c>
      <c r="I184" s="142">
        <v>488</v>
      </c>
      <c r="J184" s="145">
        <f t="shared" si="306"/>
        <v>300</v>
      </c>
      <c r="K184" s="24" t="s">
        <v>108</v>
      </c>
      <c r="L184" s="145">
        <f t="shared" si="307"/>
        <v>230</v>
      </c>
      <c r="M184" s="170">
        <v>0</v>
      </c>
      <c r="N184" s="145">
        <f t="shared" si="308"/>
        <v>139</v>
      </c>
      <c r="O184" s="187">
        <v>0</v>
      </c>
      <c r="P184" s="170">
        <f t="shared" si="309"/>
        <v>0</v>
      </c>
      <c r="Q184" s="75">
        <f t="shared" si="327"/>
        <v>69000</v>
      </c>
      <c r="R184" s="75">
        <f t="shared" si="311"/>
        <v>41700</v>
      </c>
      <c r="S184" s="76">
        <f t="shared" si="322"/>
        <v>110700</v>
      </c>
      <c r="T184" s="75">
        <f t="shared" si="323"/>
        <v>69000</v>
      </c>
      <c r="U184" s="75">
        <f t="shared" si="324"/>
        <v>41700</v>
      </c>
      <c r="V184" s="75">
        <f t="shared" si="325"/>
        <v>110700</v>
      </c>
      <c r="W184" s="75">
        <f t="shared" si="313"/>
        <v>112240</v>
      </c>
      <c r="X184" s="75">
        <f t="shared" si="314"/>
        <v>67832</v>
      </c>
      <c r="Y184" s="75">
        <f t="shared" si="326"/>
        <v>180072</v>
      </c>
      <c r="Z184" s="228">
        <f t="shared" si="315"/>
        <v>0</v>
      </c>
      <c r="AA184" s="228">
        <f t="shared" si="316"/>
        <v>0</v>
      </c>
      <c r="AB184" s="193">
        <f t="shared" si="317"/>
        <v>0</v>
      </c>
    </row>
    <row r="185" spans="2:28">
      <c r="B185" s="147" t="s">
        <v>448</v>
      </c>
      <c r="C185" s="147" t="s">
        <v>449</v>
      </c>
      <c r="D185" s="141">
        <v>44668</v>
      </c>
      <c r="E185" s="169">
        <f t="shared" si="305"/>
        <v>44669</v>
      </c>
      <c r="F185" s="142" t="s">
        <v>159</v>
      </c>
      <c r="G185" s="142">
        <v>7.5347844999999998</v>
      </c>
      <c r="H185" s="142">
        <v>-11.929202800000001</v>
      </c>
      <c r="I185" s="142">
        <v>429</v>
      </c>
      <c r="J185" s="145">
        <f t="shared" si="306"/>
        <v>300</v>
      </c>
      <c r="K185" s="24" t="s">
        <v>108</v>
      </c>
      <c r="L185" s="145">
        <f t="shared" si="307"/>
        <v>258</v>
      </c>
      <c r="M185" s="170">
        <v>0</v>
      </c>
      <c r="N185" s="145">
        <f t="shared" si="308"/>
        <v>139</v>
      </c>
      <c r="O185" s="187">
        <v>0</v>
      </c>
      <c r="P185" s="170">
        <f t="shared" si="309"/>
        <v>0</v>
      </c>
      <c r="Q185" s="75">
        <f t="shared" si="327"/>
        <v>77400</v>
      </c>
      <c r="R185" s="75">
        <f t="shared" si="311"/>
        <v>41700</v>
      </c>
      <c r="S185" s="76">
        <f t="shared" si="322"/>
        <v>119100</v>
      </c>
      <c r="T185" s="75">
        <f t="shared" si="323"/>
        <v>77400</v>
      </c>
      <c r="U185" s="75">
        <f t="shared" si="324"/>
        <v>41700</v>
      </c>
      <c r="V185" s="75">
        <f t="shared" si="325"/>
        <v>119100</v>
      </c>
      <c r="W185" s="75">
        <f t="shared" si="313"/>
        <v>110682</v>
      </c>
      <c r="X185" s="75">
        <f t="shared" si="314"/>
        <v>59631</v>
      </c>
      <c r="Y185" s="75">
        <f t="shared" si="326"/>
        <v>170313</v>
      </c>
      <c r="Z185" s="228">
        <f t="shared" si="315"/>
        <v>0</v>
      </c>
      <c r="AA185" s="228">
        <f t="shared" si="316"/>
        <v>0</v>
      </c>
      <c r="AB185" s="193">
        <f t="shared" si="317"/>
        <v>0</v>
      </c>
    </row>
    <row r="186" spans="2:28">
      <c r="B186" s="147" t="s">
        <v>450</v>
      </c>
      <c r="C186" s="147" t="s">
        <v>451</v>
      </c>
      <c r="D186" s="141">
        <v>44691</v>
      </c>
      <c r="E186" s="169">
        <f t="shared" si="305"/>
        <v>44692</v>
      </c>
      <c r="F186" s="142" t="s">
        <v>159</v>
      </c>
      <c r="G186" s="142">
        <v>7.5378873000000004</v>
      </c>
      <c r="H186" s="142">
        <v>-11.9194865</v>
      </c>
      <c r="I186" s="142">
        <v>345</v>
      </c>
      <c r="J186" s="145">
        <f t="shared" si="306"/>
        <v>300</v>
      </c>
      <c r="K186" s="24" t="s">
        <v>108</v>
      </c>
      <c r="L186" s="145">
        <f t="shared" si="307"/>
        <v>235</v>
      </c>
      <c r="M186" s="170">
        <v>0</v>
      </c>
      <c r="N186" s="145">
        <f t="shared" si="308"/>
        <v>139</v>
      </c>
      <c r="O186" s="187">
        <v>0</v>
      </c>
      <c r="P186" s="170">
        <f t="shared" si="309"/>
        <v>0</v>
      </c>
      <c r="Q186" s="75">
        <f t="shared" si="327"/>
        <v>70500</v>
      </c>
      <c r="R186" s="75">
        <f t="shared" si="311"/>
        <v>41700</v>
      </c>
      <c r="S186" s="76">
        <f t="shared" si="322"/>
        <v>112200</v>
      </c>
      <c r="T186" s="75">
        <f t="shared" si="323"/>
        <v>70500</v>
      </c>
      <c r="U186" s="75">
        <f t="shared" si="324"/>
        <v>41700</v>
      </c>
      <c r="V186" s="75">
        <f t="shared" si="325"/>
        <v>112200</v>
      </c>
      <c r="W186" s="75">
        <f t="shared" si="313"/>
        <v>81075</v>
      </c>
      <c r="X186" s="75">
        <f t="shared" si="314"/>
        <v>47955</v>
      </c>
      <c r="Y186" s="75">
        <f t="shared" si="326"/>
        <v>129030</v>
      </c>
      <c r="Z186" s="228">
        <f t="shared" si="315"/>
        <v>0</v>
      </c>
      <c r="AA186" s="228">
        <f t="shared" si="316"/>
        <v>0</v>
      </c>
      <c r="AB186" s="193">
        <f t="shared" si="317"/>
        <v>0</v>
      </c>
    </row>
    <row r="187" spans="2:28">
      <c r="B187" s="147" t="s">
        <v>452</v>
      </c>
      <c r="C187" s="147" t="s">
        <v>453</v>
      </c>
      <c r="D187" s="141">
        <v>44669</v>
      </c>
      <c r="E187" s="169">
        <f t="shared" si="305"/>
        <v>44670</v>
      </c>
      <c r="F187" s="142" t="s">
        <v>159</v>
      </c>
      <c r="G187" s="142">
        <v>7.5502862000000004</v>
      </c>
      <c r="H187" s="142">
        <v>-11.9238392</v>
      </c>
      <c r="I187" s="142">
        <v>309</v>
      </c>
      <c r="J187" s="145">
        <f t="shared" si="306"/>
        <v>300</v>
      </c>
      <c r="K187" s="24" t="s">
        <v>108</v>
      </c>
      <c r="L187" s="145">
        <f t="shared" si="307"/>
        <v>257</v>
      </c>
      <c r="M187" s="170">
        <v>0</v>
      </c>
      <c r="N187" s="145">
        <f t="shared" si="308"/>
        <v>139</v>
      </c>
      <c r="O187" s="187">
        <v>0</v>
      </c>
      <c r="P187" s="170">
        <f t="shared" si="309"/>
        <v>0</v>
      </c>
      <c r="Q187" s="75">
        <f t="shared" si="327"/>
        <v>77100</v>
      </c>
      <c r="R187" s="75">
        <f t="shared" si="311"/>
        <v>41700</v>
      </c>
      <c r="S187" s="76">
        <f t="shared" si="322"/>
        <v>118800</v>
      </c>
      <c r="T187" s="75">
        <f>(L187+M187)*J187</f>
        <v>77100</v>
      </c>
      <c r="U187" s="75">
        <f>(N187+O187)*J187</f>
        <v>41700</v>
      </c>
      <c r="V187" s="75">
        <f>SUM(T187:U187)</f>
        <v>118800</v>
      </c>
      <c r="W187" s="75">
        <f t="shared" si="313"/>
        <v>79413</v>
      </c>
      <c r="X187" s="75">
        <f t="shared" si="314"/>
        <v>42951</v>
      </c>
      <c r="Y187" s="75">
        <f>SUM(W187:X187)</f>
        <v>122364</v>
      </c>
      <c r="Z187" s="228">
        <f t="shared" si="315"/>
        <v>0</v>
      </c>
      <c r="AA187" s="228">
        <f t="shared" si="316"/>
        <v>0</v>
      </c>
      <c r="AB187" s="193">
        <f t="shared" si="317"/>
        <v>0</v>
      </c>
    </row>
    <row r="188" spans="2:28">
      <c r="B188" s="147" t="s">
        <v>454</v>
      </c>
      <c r="C188" s="147" t="s">
        <v>455</v>
      </c>
      <c r="D188" s="141">
        <v>44808</v>
      </c>
      <c r="E188" s="169">
        <f t="shared" si="305"/>
        <v>44809</v>
      </c>
      <c r="F188" s="142" t="s">
        <v>159</v>
      </c>
      <c r="G188" s="142">
        <v>7.7456832000000002</v>
      </c>
      <c r="H188" s="142">
        <v>-11.504639299999999</v>
      </c>
      <c r="I188" s="142">
        <v>402</v>
      </c>
      <c r="J188" s="145">
        <f t="shared" si="306"/>
        <v>300</v>
      </c>
      <c r="K188" s="24" t="s">
        <v>108</v>
      </c>
      <c r="L188" s="145">
        <f t="shared" si="307"/>
        <v>118</v>
      </c>
      <c r="M188" s="170">
        <v>0</v>
      </c>
      <c r="N188" s="145">
        <f t="shared" si="308"/>
        <v>139</v>
      </c>
      <c r="O188" s="187">
        <v>0</v>
      </c>
      <c r="P188" s="170">
        <f t="shared" si="309"/>
        <v>0</v>
      </c>
      <c r="Q188" s="75">
        <f>L188*J188</f>
        <v>35400</v>
      </c>
      <c r="R188" s="75">
        <f t="shared" si="311"/>
        <v>41700</v>
      </c>
      <c r="S188" s="76">
        <f t="shared" ref="S188:S197" si="328">SUM(Q188:R188)</f>
        <v>77100</v>
      </c>
      <c r="T188" s="75">
        <f t="shared" ref="T188" si="329">(L188+M188)*J188</f>
        <v>35400</v>
      </c>
      <c r="U188" s="75">
        <f t="shared" ref="U188" si="330">(N188+O188)*J188</f>
        <v>41700</v>
      </c>
      <c r="V188" s="75">
        <f t="shared" ref="V188" si="331">SUM(T188:U188)</f>
        <v>77100</v>
      </c>
      <c r="W188" s="75">
        <f t="shared" si="313"/>
        <v>47436</v>
      </c>
      <c r="X188" s="75">
        <f t="shared" si="314"/>
        <v>55878</v>
      </c>
      <c r="Y188" s="75">
        <f t="shared" ref="Y188" si="332">SUM(W188:X188)</f>
        <v>103314</v>
      </c>
      <c r="Z188" s="228">
        <f t="shared" si="315"/>
        <v>0</v>
      </c>
      <c r="AA188" s="228">
        <f t="shared" si="316"/>
        <v>0</v>
      </c>
      <c r="AB188" s="193">
        <f t="shared" si="317"/>
        <v>0</v>
      </c>
    </row>
    <row r="189" spans="2:28">
      <c r="B189" s="147" t="s">
        <v>456</v>
      </c>
      <c r="C189" s="147" t="s">
        <v>457</v>
      </c>
      <c r="D189" s="141">
        <v>44807</v>
      </c>
      <c r="E189" s="169">
        <f t="shared" si="305"/>
        <v>44808</v>
      </c>
      <c r="F189" s="142" t="s">
        <v>159</v>
      </c>
      <c r="G189" s="142">
        <v>7.7013372000000002</v>
      </c>
      <c r="H189" s="142">
        <v>-11.5282362</v>
      </c>
      <c r="I189" s="142">
        <v>399</v>
      </c>
      <c r="J189" s="145">
        <f t="shared" si="306"/>
        <v>300</v>
      </c>
      <c r="K189" s="24" t="s">
        <v>108</v>
      </c>
      <c r="L189" s="145">
        <f t="shared" si="307"/>
        <v>0</v>
      </c>
      <c r="M189" s="170">
        <v>119</v>
      </c>
      <c r="N189" s="145">
        <f t="shared" si="308"/>
        <v>0</v>
      </c>
      <c r="O189" s="187">
        <v>139</v>
      </c>
      <c r="P189" s="170">
        <f t="shared" si="309"/>
        <v>258</v>
      </c>
      <c r="Q189" s="75">
        <f t="shared" ref="Q189:Q193" si="333">L189*J189</f>
        <v>0</v>
      </c>
      <c r="R189" s="75">
        <f t="shared" si="311"/>
        <v>0</v>
      </c>
      <c r="S189" s="76">
        <f t="shared" si="328"/>
        <v>0</v>
      </c>
      <c r="T189" s="75">
        <f>(L189+M189)*J189</f>
        <v>35700</v>
      </c>
      <c r="U189" s="75">
        <f>(N189+O189)*J189</f>
        <v>41700</v>
      </c>
      <c r="V189" s="75">
        <f>SUM(T189:U189)</f>
        <v>77400</v>
      </c>
      <c r="W189" s="75">
        <f t="shared" si="313"/>
        <v>0</v>
      </c>
      <c r="X189" s="75">
        <f t="shared" si="314"/>
        <v>0</v>
      </c>
      <c r="Y189" s="75">
        <f>SUM(W189:X189)</f>
        <v>0</v>
      </c>
      <c r="Z189" s="228">
        <f t="shared" si="315"/>
        <v>1</v>
      </c>
      <c r="AA189" s="228">
        <f t="shared" si="316"/>
        <v>1</v>
      </c>
      <c r="AB189" s="193">
        <f t="shared" si="317"/>
        <v>1</v>
      </c>
    </row>
    <row r="190" spans="2:28">
      <c r="B190" s="147" t="s">
        <v>458</v>
      </c>
      <c r="C190" s="147" t="s">
        <v>459</v>
      </c>
      <c r="D190" s="141">
        <v>44807</v>
      </c>
      <c r="E190" s="169">
        <f t="shared" si="305"/>
        <v>44808</v>
      </c>
      <c r="F190" s="142" t="s">
        <v>159</v>
      </c>
      <c r="G190" s="142">
        <v>7.7003975999999996</v>
      </c>
      <c r="H190" s="142">
        <v>-11.529294800000001</v>
      </c>
      <c r="I190" s="142">
        <v>390</v>
      </c>
      <c r="J190" s="145">
        <f t="shared" si="306"/>
        <v>300</v>
      </c>
      <c r="K190" s="24" t="s">
        <v>108</v>
      </c>
      <c r="L190" s="145">
        <f t="shared" si="307"/>
        <v>119</v>
      </c>
      <c r="M190" s="170">
        <v>0</v>
      </c>
      <c r="N190" s="145">
        <f t="shared" si="308"/>
        <v>139</v>
      </c>
      <c r="O190" s="187">
        <v>0</v>
      </c>
      <c r="P190" s="170">
        <f t="shared" si="309"/>
        <v>0</v>
      </c>
      <c r="Q190" s="75">
        <f t="shared" si="333"/>
        <v>35700</v>
      </c>
      <c r="R190" s="75">
        <f t="shared" si="311"/>
        <v>41700</v>
      </c>
      <c r="S190" s="76">
        <f t="shared" si="328"/>
        <v>77400</v>
      </c>
      <c r="T190" s="75">
        <f>(L190+M190)*J190</f>
        <v>35700</v>
      </c>
      <c r="U190" s="75">
        <f>(N190+O190)*J190</f>
        <v>41700</v>
      </c>
      <c r="V190" s="75">
        <f>SUM(T190:U190)</f>
        <v>77400</v>
      </c>
      <c r="W190" s="75">
        <f t="shared" si="313"/>
        <v>46410</v>
      </c>
      <c r="X190" s="75">
        <f t="shared" si="314"/>
        <v>54210</v>
      </c>
      <c r="Y190" s="75">
        <f>SUM(W190:X190)</f>
        <v>100620</v>
      </c>
      <c r="Z190" s="228">
        <f t="shared" si="315"/>
        <v>0</v>
      </c>
      <c r="AA190" s="228">
        <f t="shared" si="316"/>
        <v>0</v>
      </c>
      <c r="AB190" s="193">
        <f t="shared" si="317"/>
        <v>0</v>
      </c>
    </row>
    <row r="191" spans="2:28">
      <c r="B191" s="147" t="s">
        <v>460</v>
      </c>
      <c r="C191" s="147" t="s">
        <v>461</v>
      </c>
      <c r="D191" s="141">
        <v>44807</v>
      </c>
      <c r="E191" s="169">
        <f t="shared" si="305"/>
        <v>44808</v>
      </c>
      <c r="F191" s="142" t="s">
        <v>159</v>
      </c>
      <c r="G191" s="142">
        <v>7.6473028000000003</v>
      </c>
      <c r="H191" s="142">
        <v>-11.6351403</v>
      </c>
      <c r="I191" s="142">
        <v>324</v>
      </c>
      <c r="J191" s="145">
        <f t="shared" si="306"/>
        <v>300</v>
      </c>
      <c r="K191" s="24" t="s">
        <v>108</v>
      </c>
      <c r="L191" s="145">
        <f t="shared" si="307"/>
        <v>119</v>
      </c>
      <c r="M191" s="170">
        <v>0</v>
      </c>
      <c r="N191" s="145">
        <f t="shared" si="308"/>
        <v>139</v>
      </c>
      <c r="O191" s="187">
        <v>0</v>
      </c>
      <c r="P191" s="170">
        <f t="shared" si="309"/>
        <v>0</v>
      </c>
      <c r="Q191" s="75">
        <f t="shared" si="333"/>
        <v>35700</v>
      </c>
      <c r="R191" s="75">
        <f t="shared" si="311"/>
        <v>41700</v>
      </c>
      <c r="S191" s="76">
        <f t="shared" si="328"/>
        <v>77400</v>
      </c>
      <c r="T191" s="75">
        <f t="shared" ref="T191:T197" si="334">(L191+M191)*J191</f>
        <v>35700</v>
      </c>
      <c r="U191" s="75">
        <f t="shared" ref="U191:U197" si="335">(N191+O191)*J191</f>
        <v>41700</v>
      </c>
      <c r="V191" s="75">
        <f t="shared" ref="V191:V197" si="336">SUM(T191:U191)</f>
        <v>77400</v>
      </c>
      <c r="W191" s="75">
        <f t="shared" si="313"/>
        <v>38556</v>
      </c>
      <c r="X191" s="75">
        <f t="shared" si="314"/>
        <v>45036</v>
      </c>
      <c r="Y191" s="75">
        <f t="shared" ref="Y191:Y197" si="337">SUM(W191:X191)</f>
        <v>83592</v>
      </c>
      <c r="Z191" s="228">
        <f t="shared" si="315"/>
        <v>0</v>
      </c>
      <c r="AA191" s="228">
        <f t="shared" si="316"/>
        <v>0</v>
      </c>
      <c r="AB191" s="193">
        <f t="shared" si="317"/>
        <v>0</v>
      </c>
    </row>
    <row r="192" spans="2:28">
      <c r="B192" s="147" t="s">
        <v>462</v>
      </c>
      <c r="C192" s="147" t="s">
        <v>463</v>
      </c>
      <c r="D192" s="141">
        <v>44807</v>
      </c>
      <c r="E192" s="169">
        <f t="shared" si="305"/>
        <v>44808</v>
      </c>
      <c r="F192" s="142" t="s">
        <v>123</v>
      </c>
      <c r="G192" s="142">
        <v>7.6340861999999996</v>
      </c>
      <c r="H192" s="142">
        <v>-11.673075000000001</v>
      </c>
      <c r="I192" s="142">
        <v>378</v>
      </c>
      <c r="J192" s="145">
        <f t="shared" si="306"/>
        <v>300</v>
      </c>
      <c r="K192" s="24" t="s">
        <v>108</v>
      </c>
      <c r="L192" s="145">
        <f t="shared" si="307"/>
        <v>119</v>
      </c>
      <c r="M192" s="170">
        <v>0</v>
      </c>
      <c r="N192" s="145">
        <f t="shared" si="308"/>
        <v>139</v>
      </c>
      <c r="O192" s="187">
        <v>0</v>
      </c>
      <c r="P192" s="170">
        <f t="shared" si="309"/>
        <v>0</v>
      </c>
      <c r="Q192" s="75">
        <f t="shared" si="333"/>
        <v>35700</v>
      </c>
      <c r="R192" s="75">
        <f t="shared" si="311"/>
        <v>41700</v>
      </c>
      <c r="S192" s="76">
        <f t="shared" si="328"/>
        <v>77400</v>
      </c>
      <c r="T192" s="75">
        <f>(L192+M192)*J192</f>
        <v>35700</v>
      </c>
      <c r="U192" s="75">
        <f t="shared" si="335"/>
        <v>41700</v>
      </c>
      <c r="V192" s="75">
        <f t="shared" si="336"/>
        <v>77400</v>
      </c>
      <c r="W192" s="75">
        <f t="shared" si="313"/>
        <v>44982</v>
      </c>
      <c r="X192" s="75">
        <f t="shared" si="314"/>
        <v>52542</v>
      </c>
      <c r="Y192" s="75">
        <f t="shared" si="337"/>
        <v>97524</v>
      </c>
      <c r="Z192" s="228">
        <f t="shared" si="315"/>
        <v>0</v>
      </c>
      <c r="AA192" s="228">
        <f t="shared" si="316"/>
        <v>0</v>
      </c>
      <c r="AB192" s="193">
        <f t="shared" si="317"/>
        <v>0</v>
      </c>
    </row>
    <row r="193" spans="2:29">
      <c r="B193" s="147" t="s">
        <v>464</v>
      </c>
      <c r="C193" s="147" t="s">
        <v>465</v>
      </c>
      <c r="D193" s="141">
        <v>44822</v>
      </c>
      <c r="E193" s="169">
        <f t="shared" si="305"/>
        <v>44823</v>
      </c>
      <c r="F193" s="142" t="s">
        <v>123</v>
      </c>
      <c r="G193" s="142">
        <v>7.9362352999999999</v>
      </c>
      <c r="H193" s="142">
        <v>-11.615523899999999</v>
      </c>
      <c r="I193" s="142">
        <v>475</v>
      </c>
      <c r="J193" s="145">
        <f t="shared" si="306"/>
        <v>300</v>
      </c>
      <c r="K193" s="24" t="s">
        <v>108</v>
      </c>
      <c r="L193" s="145">
        <f t="shared" si="307"/>
        <v>104</v>
      </c>
      <c r="M193" s="170">
        <v>0</v>
      </c>
      <c r="N193" s="145">
        <f t="shared" si="308"/>
        <v>139</v>
      </c>
      <c r="O193" s="187">
        <v>0</v>
      </c>
      <c r="P193" s="170">
        <f t="shared" si="309"/>
        <v>0</v>
      </c>
      <c r="Q193" s="75">
        <f t="shared" si="333"/>
        <v>31200</v>
      </c>
      <c r="R193" s="75">
        <f t="shared" si="311"/>
        <v>41700</v>
      </c>
      <c r="S193" s="76">
        <f t="shared" si="328"/>
        <v>72900</v>
      </c>
      <c r="T193" s="75">
        <f t="shared" si="334"/>
        <v>31200</v>
      </c>
      <c r="U193" s="75">
        <f t="shared" si="335"/>
        <v>41700</v>
      </c>
      <c r="V193" s="75">
        <f t="shared" si="336"/>
        <v>72900</v>
      </c>
      <c r="W193" s="75">
        <f t="shared" si="313"/>
        <v>49400</v>
      </c>
      <c r="X193" s="75">
        <f t="shared" si="314"/>
        <v>66025</v>
      </c>
      <c r="Y193" s="75">
        <f t="shared" si="337"/>
        <v>115425</v>
      </c>
      <c r="Z193" s="228">
        <f t="shared" si="315"/>
        <v>0</v>
      </c>
      <c r="AA193" s="228">
        <f t="shared" si="316"/>
        <v>0</v>
      </c>
      <c r="AB193" s="193">
        <f t="shared" si="317"/>
        <v>0</v>
      </c>
    </row>
    <row r="194" spans="2:29">
      <c r="B194" s="147" t="s">
        <v>466</v>
      </c>
      <c r="C194" s="147" t="s">
        <v>467</v>
      </c>
      <c r="D194" s="141">
        <v>44810</v>
      </c>
      <c r="E194" s="169">
        <f t="shared" si="305"/>
        <v>44811</v>
      </c>
      <c r="F194" s="142" t="s">
        <v>159</v>
      </c>
      <c r="G194" s="142">
        <v>7.9133239</v>
      </c>
      <c r="H194" s="142">
        <v>-11.4291903</v>
      </c>
      <c r="I194" s="142">
        <v>325</v>
      </c>
      <c r="J194" s="145">
        <f t="shared" si="306"/>
        <v>300</v>
      </c>
      <c r="K194" s="24" t="s">
        <v>108</v>
      </c>
      <c r="L194" s="145">
        <f t="shared" si="307"/>
        <v>116</v>
      </c>
      <c r="M194" s="170">
        <v>0</v>
      </c>
      <c r="N194" s="145">
        <f t="shared" si="308"/>
        <v>139</v>
      </c>
      <c r="O194" s="187">
        <v>0</v>
      </c>
      <c r="P194" s="170">
        <f t="shared" si="309"/>
        <v>0</v>
      </c>
      <c r="Q194" s="75">
        <f>L194*J194</f>
        <v>34800</v>
      </c>
      <c r="R194" s="75">
        <f t="shared" si="311"/>
        <v>41700</v>
      </c>
      <c r="S194" s="76">
        <f t="shared" si="328"/>
        <v>76500</v>
      </c>
      <c r="T194" s="75">
        <f t="shared" si="334"/>
        <v>34800</v>
      </c>
      <c r="U194" s="75">
        <f t="shared" si="335"/>
        <v>41700</v>
      </c>
      <c r="V194" s="75">
        <f t="shared" si="336"/>
        <v>76500</v>
      </c>
      <c r="W194" s="75">
        <f t="shared" si="313"/>
        <v>37700</v>
      </c>
      <c r="X194" s="75">
        <f t="shared" si="314"/>
        <v>45175</v>
      </c>
      <c r="Y194" s="75">
        <f t="shared" si="337"/>
        <v>82875</v>
      </c>
      <c r="Z194" s="228">
        <f t="shared" si="315"/>
        <v>0</v>
      </c>
      <c r="AA194" s="228">
        <f t="shared" si="316"/>
        <v>0</v>
      </c>
      <c r="AB194" s="193">
        <f t="shared" si="317"/>
        <v>0</v>
      </c>
    </row>
    <row r="195" spans="2:29">
      <c r="B195" s="147" t="s">
        <v>468</v>
      </c>
      <c r="C195" s="147" t="s">
        <v>469</v>
      </c>
      <c r="D195" s="141">
        <v>44811</v>
      </c>
      <c r="E195" s="169">
        <f t="shared" si="305"/>
        <v>44812</v>
      </c>
      <c r="F195" s="142" t="s">
        <v>159</v>
      </c>
      <c r="G195" s="142">
        <v>7.9056685</v>
      </c>
      <c r="H195" s="142">
        <v>-11.446562999999999</v>
      </c>
      <c r="I195" s="142">
        <v>362</v>
      </c>
      <c r="J195" s="145">
        <f t="shared" si="306"/>
        <v>300</v>
      </c>
      <c r="K195" s="24" t="s">
        <v>108</v>
      </c>
      <c r="L195" s="145">
        <f t="shared" si="307"/>
        <v>115</v>
      </c>
      <c r="M195" s="170">
        <v>0</v>
      </c>
      <c r="N195" s="145">
        <f t="shared" si="308"/>
        <v>139</v>
      </c>
      <c r="O195" s="187">
        <v>0</v>
      </c>
      <c r="P195" s="170">
        <f t="shared" si="309"/>
        <v>0</v>
      </c>
      <c r="Q195" s="75">
        <f t="shared" ref="Q195:Q197" si="338">L195*J195</f>
        <v>34500</v>
      </c>
      <c r="R195" s="75">
        <f t="shared" si="311"/>
        <v>41700</v>
      </c>
      <c r="S195" s="76">
        <f t="shared" si="328"/>
        <v>76200</v>
      </c>
      <c r="T195" s="75">
        <f t="shared" si="334"/>
        <v>34500</v>
      </c>
      <c r="U195" s="75">
        <f t="shared" si="335"/>
        <v>41700</v>
      </c>
      <c r="V195" s="75">
        <f t="shared" si="336"/>
        <v>76200</v>
      </c>
      <c r="W195" s="75">
        <f t="shared" si="313"/>
        <v>41630</v>
      </c>
      <c r="X195" s="75">
        <f t="shared" si="314"/>
        <v>50318</v>
      </c>
      <c r="Y195" s="75">
        <f t="shared" si="337"/>
        <v>91948</v>
      </c>
      <c r="Z195" s="228">
        <f t="shared" si="315"/>
        <v>0</v>
      </c>
      <c r="AA195" s="228">
        <f t="shared" si="316"/>
        <v>0</v>
      </c>
      <c r="AB195" s="193">
        <f t="shared" si="317"/>
        <v>0</v>
      </c>
    </row>
    <row r="196" spans="2:29">
      <c r="B196" s="147" t="s">
        <v>470</v>
      </c>
      <c r="C196" s="147" t="s">
        <v>471</v>
      </c>
      <c r="D196" s="141">
        <v>44811</v>
      </c>
      <c r="E196" s="169">
        <f t="shared" si="305"/>
        <v>44812</v>
      </c>
      <c r="F196" s="142" t="s">
        <v>159</v>
      </c>
      <c r="G196" s="142">
        <v>7.8865959999999999</v>
      </c>
      <c r="H196" s="142">
        <v>-11.456147100000001</v>
      </c>
      <c r="I196" s="142">
        <v>403</v>
      </c>
      <c r="J196" s="145">
        <f t="shared" si="306"/>
        <v>300</v>
      </c>
      <c r="K196" s="24" t="s">
        <v>108</v>
      </c>
      <c r="L196" s="145">
        <f t="shared" si="307"/>
        <v>115</v>
      </c>
      <c r="M196" s="170">
        <v>0</v>
      </c>
      <c r="N196" s="145">
        <f t="shared" si="308"/>
        <v>139</v>
      </c>
      <c r="O196" s="187">
        <v>0</v>
      </c>
      <c r="P196" s="170">
        <f t="shared" si="309"/>
        <v>0</v>
      </c>
      <c r="Q196" s="75">
        <f t="shared" si="338"/>
        <v>34500</v>
      </c>
      <c r="R196" s="75">
        <f t="shared" si="311"/>
        <v>41700</v>
      </c>
      <c r="S196" s="76">
        <f t="shared" si="328"/>
        <v>76200</v>
      </c>
      <c r="T196" s="75">
        <f t="shared" si="334"/>
        <v>34500</v>
      </c>
      <c r="U196" s="75">
        <f t="shared" si="335"/>
        <v>41700</v>
      </c>
      <c r="V196" s="75">
        <f t="shared" si="336"/>
        <v>76200</v>
      </c>
      <c r="W196" s="75">
        <f t="shared" si="313"/>
        <v>46345</v>
      </c>
      <c r="X196" s="75">
        <f t="shared" si="314"/>
        <v>56017</v>
      </c>
      <c r="Y196" s="75">
        <f t="shared" si="337"/>
        <v>102362</v>
      </c>
      <c r="Z196" s="228">
        <f t="shared" si="315"/>
        <v>0</v>
      </c>
      <c r="AA196" s="228">
        <f t="shared" si="316"/>
        <v>0</v>
      </c>
      <c r="AB196" s="193">
        <f t="shared" si="317"/>
        <v>0</v>
      </c>
    </row>
    <row r="197" spans="2:29">
      <c r="B197" s="147" t="s">
        <v>472</v>
      </c>
      <c r="C197" s="147" t="s">
        <v>473</v>
      </c>
      <c r="D197" s="141">
        <v>44811</v>
      </c>
      <c r="E197" s="169">
        <f t="shared" si="305"/>
        <v>44812</v>
      </c>
      <c r="F197" s="142" t="s">
        <v>159</v>
      </c>
      <c r="G197" s="142">
        <v>7.8786949999999996</v>
      </c>
      <c r="H197" s="142">
        <v>-11.4862494</v>
      </c>
      <c r="I197" s="142">
        <v>388</v>
      </c>
      <c r="J197" s="145">
        <f t="shared" si="306"/>
        <v>300</v>
      </c>
      <c r="K197" s="24" t="s">
        <v>108</v>
      </c>
      <c r="L197" s="145">
        <f t="shared" si="307"/>
        <v>115</v>
      </c>
      <c r="M197" s="170">
        <v>0</v>
      </c>
      <c r="N197" s="145">
        <f t="shared" si="308"/>
        <v>139</v>
      </c>
      <c r="O197" s="187">
        <v>0</v>
      </c>
      <c r="P197" s="170">
        <f t="shared" si="309"/>
        <v>0</v>
      </c>
      <c r="Q197" s="75">
        <f t="shared" si="338"/>
        <v>34500</v>
      </c>
      <c r="R197" s="75">
        <f t="shared" si="311"/>
        <v>41700</v>
      </c>
      <c r="S197" s="76">
        <f t="shared" si="328"/>
        <v>76200</v>
      </c>
      <c r="T197" s="75">
        <f t="shared" si="334"/>
        <v>34500</v>
      </c>
      <c r="U197" s="75">
        <f t="shared" si="335"/>
        <v>41700</v>
      </c>
      <c r="V197" s="75">
        <f t="shared" si="336"/>
        <v>76200</v>
      </c>
      <c r="W197" s="75">
        <f t="shared" si="313"/>
        <v>44620</v>
      </c>
      <c r="X197" s="75">
        <f t="shared" si="314"/>
        <v>53932</v>
      </c>
      <c r="Y197" s="75">
        <f t="shared" si="337"/>
        <v>98552</v>
      </c>
      <c r="Z197" s="228">
        <f t="shared" si="315"/>
        <v>0</v>
      </c>
      <c r="AA197" s="228">
        <f t="shared" si="316"/>
        <v>0</v>
      </c>
      <c r="AB197" s="193">
        <f t="shared" si="317"/>
        <v>0</v>
      </c>
    </row>
    <row r="198" spans="2:29">
      <c r="B198" s="148">
        <f>COUNTA(B178:B197)</f>
        <v>20</v>
      </c>
      <c r="C198" s="86"/>
      <c r="D198" s="86"/>
      <c r="E198" s="86"/>
      <c r="F198" s="86"/>
      <c r="G198" s="86"/>
      <c r="H198" s="86"/>
      <c r="I198" s="87">
        <f>SUM(I178:I197)</f>
        <v>7632</v>
      </c>
      <c r="J198" s="87">
        <f>SUM(J178:J197)</f>
        <v>5984</v>
      </c>
      <c r="K198" s="86"/>
      <c r="L198" s="87">
        <f>SUM(L178:L197)</f>
        <v>3512</v>
      </c>
      <c r="M198" s="87">
        <f>SUM(M179:M191)</f>
        <v>119</v>
      </c>
      <c r="N198" s="87">
        <f>SUM(N178:N197)</f>
        <v>2641</v>
      </c>
      <c r="O198" s="87">
        <f>SUM(O179:O191)</f>
        <v>139</v>
      </c>
      <c r="P198" s="87">
        <f>SUM(P179:P191)</f>
        <v>258</v>
      </c>
      <c r="Q198" s="155">
        <f>SUM(Q178:Q197)</f>
        <v>1049472</v>
      </c>
      <c r="R198" s="155">
        <f t="shared" ref="R198:Y198" si="339">SUM(R178:R197)</f>
        <v>790076</v>
      </c>
      <c r="S198" s="155">
        <f t="shared" si="339"/>
        <v>1839548</v>
      </c>
      <c r="T198" s="155">
        <f t="shared" si="339"/>
        <v>1085172</v>
      </c>
      <c r="U198" s="155">
        <f t="shared" si="339"/>
        <v>831776</v>
      </c>
      <c r="V198" s="155">
        <f t="shared" si="339"/>
        <v>1916948</v>
      </c>
      <c r="W198" s="155">
        <f t="shared" si="339"/>
        <v>1327560</v>
      </c>
      <c r="X198" s="155">
        <f t="shared" si="339"/>
        <v>1005387</v>
      </c>
      <c r="Y198" s="155">
        <f t="shared" si="339"/>
        <v>2332947</v>
      </c>
      <c r="Z198" s="223">
        <f t="shared" ref="Z198:AA198" si="340">AVERAGE(Z178:Z197)</f>
        <v>0.05</v>
      </c>
      <c r="AA198" s="223">
        <f t="shared" si="340"/>
        <v>0.05</v>
      </c>
      <c r="AB198" s="223">
        <f>AVERAGE(AB178:AB197)</f>
        <v>0.05</v>
      </c>
      <c r="AC198" s="186"/>
    </row>
    <row r="199" spans="2:29">
      <c r="B199" s="137" t="s">
        <v>474</v>
      </c>
      <c r="C199" s="138"/>
      <c r="D199" s="138"/>
      <c r="E199" s="138"/>
      <c r="F199" s="138"/>
      <c r="G199" s="84"/>
      <c r="H199" s="84"/>
      <c r="I199" s="138"/>
      <c r="J199" s="138"/>
      <c r="K199" s="138"/>
      <c r="L199" s="89"/>
      <c r="M199" s="89"/>
      <c r="N199" s="90"/>
      <c r="O199" s="90"/>
      <c r="P199" s="90"/>
      <c r="Q199" s="91"/>
      <c r="R199" s="92"/>
      <c r="S199" s="93"/>
      <c r="T199" s="93"/>
      <c r="U199" s="93"/>
      <c r="V199" s="93"/>
      <c r="W199" s="93"/>
      <c r="X199" s="93"/>
      <c r="Y199" s="93"/>
      <c r="Z199" s="93"/>
      <c r="AA199" s="93"/>
      <c r="AB199" s="192"/>
    </row>
    <row r="200" spans="2:29">
      <c r="B200" s="147" t="s">
        <v>475</v>
      </c>
      <c r="C200" s="147" t="s">
        <v>476</v>
      </c>
      <c r="D200" s="141">
        <v>44821</v>
      </c>
      <c r="E200" s="169">
        <f t="shared" ref="E200:E219" si="341">IF(LEFT(B200,2)="BO",D200+1,$AE$2)</f>
        <v>44822</v>
      </c>
      <c r="F200" s="142" t="s">
        <v>159</v>
      </c>
      <c r="G200" s="142">
        <v>7.9027295999999998</v>
      </c>
      <c r="H200" s="142">
        <v>-11.467115099999999</v>
      </c>
      <c r="I200" s="142">
        <v>443</v>
      </c>
      <c r="J200" s="145">
        <f t="shared" ref="J200:J219" si="342">IF(I200&gt;300, 300, I200)</f>
        <v>300</v>
      </c>
      <c r="K200" s="24" t="s">
        <v>108</v>
      </c>
      <c r="L200" s="145">
        <f t="shared" ref="L200:L219" si="343">$AE$4-$E200-M200+1</f>
        <v>105</v>
      </c>
      <c r="M200" s="170">
        <v>0</v>
      </c>
      <c r="N200" s="145">
        <f t="shared" ref="N200:N219" si="344">$AE$10-$AE$11-O200+1</f>
        <v>139</v>
      </c>
      <c r="O200" s="187">
        <v>0</v>
      </c>
      <c r="P200" s="170">
        <f t="shared" ref="P200:P219" si="345">M200+O200</f>
        <v>0</v>
      </c>
      <c r="Q200" s="75">
        <f t="shared" ref="Q200:Q201" si="346">L200*J200</f>
        <v>31500</v>
      </c>
      <c r="R200" s="75">
        <f t="shared" ref="R200:R219" si="347">N200*J200</f>
        <v>41700</v>
      </c>
      <c r="S200" s="76">
        <f>SUM(Q200:R200)</f>
        <v>73200</v>
      </c>
      <c r="T200" s="75">
        <f t="shared" ref="T200" si="348">(L200+M200)*J200</f>
        <v>31500</v>
      </c>
      <c r="U200" s="75">
        <f t="shared" ref="U200:U219" si="349">(N200+O200)*J200</f>
        <v>41700</v>
      </c>
      <c r="V200" s="75">
        <f t="shared" ref="V200:V219" si="350">SUM(T200:U200)</f>
        <v>73200</v>
      </c>
      <c r="W200" s="75">
        <f t="shared" ref="W200:W219" si="351">L200*I200</f>
        <v>46515</v>
      </c>
      <c r="X200" s="75">
        <f t="shared" ref="X200:X219" si="352">N200*I200</f>
        <v>61577</v>
      </c>
      <c r="Y200" s="75">
        <f t="shared" ref="Y200:Y219" si="353">SUM(W200:X200)</f>
        <v>108092</v>
      </c>
      <c r="Z200" s="228">
        <f t="shared" ref="Z200:Z219" si="354">M200/SUM(L200:M200)</f>
        <v>0</v>
      </c>
      <c r="AA200" s="228">
        <f t="shared" ref="AA200:AA219" si="355">O200/SUM(N200:O200)</f>
        <v>0</v>
      </c>
      <c r="AB200" s="193">
        <f t="shared" ref="AB200:AB219" si="356">(M200+O200)/SUM(L200:O200)</f>
        <v>0</v>
      </c>
    </row>
    <row r="201" spans="2:29">
      <c r="B201" s="147" t="s">
        <v>477</v>
      </c>
      <c r="C201" s="147" t="s">
        <v>478</v>
      </c>
      <c r="D201" s="141">
        <v>44809</v>
      </c>
      <c r="E201" s="169">
        <f t="shared" si="341"/>
        <v>44810</v>
      </c>
      <c r="F201" s="142" t="s">
        <v>159</v>
      </c>
      <c r="G201" s="142">
        <v>7.9706745000000003</v>
      </c>
      <c r="H201" s="142">
        <v>-11.392597800000001</v>
      </c>
      <c r="I201" s="142">
        <v>411</v>
      </c>
      <c r="J201" s="145">
        <f t="shared" si="342"/>
        <v>300</v>
      </c>
      <c r="K201" s="24" t="s">
        <v>108</v>
      </c>
      <c r="L201" s="145">
        <f t="shared" si="343"/>
        <v>117</v>
      </c>
      <c r="M201" s="170">
        <v>0</v>
      </c>
      <c r="N201" s="145">
        <f t="shared" si="344"/>
        <v>139</v>
      </c>
      <c r="O201" s="187">
        <v>0</v>
      </c>
      <c r="P201" s="170">
        <f t="shared" si="345"/>
        <v>0</v>
      </c>
      <c r="Q201" s="75">
        <f t="shared" si="346"/>
        <v>35100</v>
      </c>
      <c r="R201" s="75">
        <f t="shared" si="347"/>
        <v>41700</v>
      </c>
      <c r="S201" s="76">
        <f t="shared" ref="S201:S219" si="357">SUM(Q201:R201)</f>
        <v>76800</v>
      </c>
      <c r="T201" s="75">
        <f>(L201+M201)*J201</f>
        <v>35100</v>
      </c>
      <c r="U201" s="75">
        <f t="shared" si="349"/>
        <v>41700</v>
      </c>
      <c r="V201" s="75">
        <f t="shared" si="350"/>
        <v>76800</v>
      </c>
      <c r="W201" s="75">
        <f t="shared" si="351"/>
        <v>48087</v>
      </c>
      <c r="X201" s="75">
        <f t="shared" si="352"/>
        <v>57129</v>
      </c>
      <c r="Y201" s="75">
        <f t="shared" si="353"/>
        <v>105216</v>
      </c>
      <c r="Z201" s="228">
        <f t="shared" si="354"/>
        <v>0</v>
      </c>
      <c r="AA201" s="228">
        <f t="shared" si="355"/>
        <v>0</v>
      </c>
      <c r="AB201" s="193">
        <f t="shared" si="356"/>
        <v>0</v>
      </c>
    </row>
    <row r="202" spans="2:29">
      <c r="B202" s="147" t="s">
        <v>479</v>
      </c>
      <c r="C202" s="147" t="s">
        <v>480</v>
      </c>
      <c r="D202" s="141">
        <v>44809</v>
      </c>
      <c r="E202" s="169">
        <f t="shared" si="341"/>
        <v>44810</v>
      </c>
      <c r="F202" s="142" t="s">
        <v>159</v>
      </c>
      <c r="G202" s="142">
        <v>7.9718603000000003</v>
      </c>
      <c r="H202" s="142">
        <v>-11.3962629</v>
      </c>
      <c r="I202" s="142">
        <v>383</v>
      </c>
      <c r="J202" s="145">
        <f t="shared" si="342"/>
        <v>300</v>
      </c>
      <c r="K202" s="24" t="s">
        <v>108</v>
      </c>
      <c r="L202" s="145">
        <f t="shared" si="343"/>
        <v>117</v>
      </c>
      <c r="M202" s="170">
        <v>0</v>
      </c>
      <c r="N202" s="145">
        <f t="shared" si="344"/>
        <v>139</v>
      </c>
      <c r="O202" s="187">
        <v>0</v>
      </c>
      <c r="P202" s="170">
        <f t="shared" si="345"/>
        <v>0</v>
      </c>
      <c r="Q202" s="75">
        <f>L202*J202</f>
        <v>35100</v>
      </c>
      <c r="R202" s="75">
        <f t="shared" si="347"/>
        <v>41700</v>
      </c>
      <c r="S202" s="76">
        <f t="shared" si="357"/>
        <v>76800</v>
      </c>
      <c r="T202" s="75">
        <f t="shared" ref="T202:T207" si="358">(L202+M202)*J202</f>
        <v>35100</v>
      </c>
      <c r="U202" s="75">
        <f t="shared" si="349"/>
        <v>41700</v>
      </c>
      <c r="V202" s="75">
        <f t="shared" si="350"/>
        <v>76800</v>
      </c>
      <c r="W202" s="75">
        <f t="shared" si="351"/>
        <v>44811</v>
      </c>
      <c r="X202" s="75">
        <f t="shared" si="352"/>
        <v>53237</v>
      </c>
      <c r="Y202" s="75">
        <f t="shared" si="353"/>
        <v>98048</v>
      </c>
      <c r="Z202" s="228">
        <f t="shared" si="354"/>
        <v>0</v>
      </c>
      <c r="AA202" s="228">
        <f t="shared" si="355"/>
        <v>0</v>
      </c>
      <c r="AB202" s="193">
        <f t="shared" si="356"/>
        <v>0</v>
      </c>
    </row>
    <row r="203" spans="2:29">
      <c r="B203" s="147" t="s">
        <v>481</v>
      </c>
      <c r="C203" s="147" t="s">
        <v>482</v>
      </c>
      <c r="D203" s="141">
        <v>44809</v>
      </c>
      <c r="E203" s="169">
        <f t="shared" si="341"/>
        <v>44810</v>
      </c>
      <c r="F203" s="142" t="s">
        <v>159</v>
      </c>
      <c r="G203" s="142">
        <v>7.9276292000000002</v>
      </c>
      <c r="H203" s="142">
        <v>-11.4375179</v>
      </c>
      <c r="I203" s="142">
        <v>402</v>
      </c>
      <c r="J203" s="145">
        <f t="shared" si="342"/>
        <v>300</v>
      </c>
      <c r="K203" s="24" t="s">
        <v>108</v>
      </c>
      <c r="L203" s="145">
        <f t="shared" si="343"/>
        <v>117</v>
      </c>
      <c r="M203" s="170">
        <v>0</v>
      </c>
      <c r="N203" s="145">
        <f t="shared" si="344"/>
        <v>139</v>
      </c>
      <c r="O203" s="187">
        <v>0</v>
      </c>
      <c r="P203" s="170">
        <f t="shared" si="345"/>
        <v>0</v>
      </c>
      <c r="Q203" s="75">
        <f t="shared" ref="Q203:Q207" si="359">L203*J203</f>
        <v>35100</v>
      </c>
      <c r="R203" s="75">
        <f t="shared" si="347"/>
        <v>41700</v>
      </c>
      <c r="S203" s="76">
        <f t="shared" si="357"/>
        <v>76800</v>
      </c>
      <c r="T203" s="75">
        <f t="shared" si="358"/>
        <v>35100</v>
      </c>
      <c r="U203" s="75">
        <f t="shared" si="349"/>
        <v>41700</v>
      </c>
      <c r="V203" s="75">
        <f t="shared" si="350"/>
        <v>76800</v>
      </c>
      <c r="W203" s="75">
        <f t="shared" si="351"/>
        <v>47034</v>
      </c>
      <c r="X203" s="75">
        <f t="shared" si="352"/>
        <v>55878</v>
      </c>
      <c r="Y203" s="75">
        <f t="shared" si="353"/>
        <v>102912</v>
      </c>
      <c r="Z203" s="228">
        <f t="shared" si="354"/>
        <v>0</v>
      </c>
      <c r="AA203" s="228">
        <f t="shared" si="355"/>
        <v>0</v>
      </c>
      <c r="AB203" s="193">
        <f t="shared" si="356"/>
        <v>0</v>
      </c>
    </row>
    <row r="204" spans="2:29">
      <c r="B204" s="147" t="s">
        <v>483</v>
      </c>
      <c r="C204" s="147" t="s">
        <v>484</v>
      </c>
      <c r="D204" s="141">
        <v>44820</v>
      </c>
      <c r="E204" s="169">
        <f t="shared" si="341"/>
        <v>44821</v>
      </c>
      <c r="F204" s="142" t="s">
        <v>159</v>
      </c>
      <c r="G204" s="142">
        <v>7.9267804000000002</v>
      </c>
      <c r="H204" s="142">
        <v>-11.4388684</v>
      </c>
      <c r="I204" s="142">
        <v>379</v>
      </c>
      <c r="J204" s="145">
        <f t="shared" si="342"/>
        <v>300</v>
      </c>
      <c r="K204" s="24" t="s">
        <v>108</v>
      </c>
      <c r="L204" s="145">
        <f t="shared" si="343"/>
        <v>106</v>
      </c>
      <c r="M204" s="170">
        <v>0</v>
      </c>
      <c r="N204" s="145">
        <f t="shared" si="344"/>
        <v>139</v>
      </c>
      <c r="O204" s="187">
        <v>0</v>
      </c>
      <c r="P204" s="170">
        <f t="shared" si="345"/>
        <v>0</v>
      </c>
      <c r="Q204" s="75">
        <f t="shared" si="359"/>
        <v>31800</v>
      </c>
      <c r="R204" s="75">
        <f t="shared" si="347"/>
        <v>41700</v>
      </c>
      <c r="S204" s="76">
        <f t="shared" si="357"/>
        <v>73500</v>
      </c>
      <c r="T204" s="75">
        <f t="shared" si="358"/>
        <v>31800</v>
      </c>
      <c r="U204" s="75">
        <f t="shared" si="349"/>
        <v>41700</v>
      </c>
      <c r="V204" s="75">
        <f t="shared" si="350"/>
        <v>73500</v>
      </c>
      <c r="W204" s="75">
        <f t="shared" si="351"/>
        <v>40174</v>
      </c>
      <c r="X204" s="75">
        <f t="shared" si="352"/>
        <v>52681</v>
      </c>
      <c r="Y204" s="75">
        <f t="shared" si="353"/>
        <v>92855</v>
      </c>
      <c r="Z204" s="228">
        <f t="shared" si="354"/>
        <v>0</v>
      </c>
      <c r="AA204" s="228">
        <f t="shared" si="355"/>
        <v>0</v>
      </c>
      <c r="AB204" s="193">
        <f t="shared" si="356"/>
        <v>0</v>
      </c>
    </row>
    <row r="205" spans="2:29">
      <c r="B205" s="147" t="s">
        <v>485</v>
      </c>
      <c r="C205" s="147" t="s">
        <v>486</v>
      </c>
      <c r="D205" s="141">
        <v>44810</v>
      </c>
      <c r="E205" s="169">
        <f t="shared" si="341"/>
        <v>44811</v>
      </c>
      <c r="F205" s="142" t="s">
        <v>159</v>
      </c>
      <c r="G205" s="142">
        <v>7.9275378999999999</v>
      </c>
      <c r="H205" s="142">
        <v>-11.4410566</v>
      </c>
      <c r="I205" s="142">
        <v>390</v>
      </c>
      <c r="J205" s="145">
        <f t="shared" si="342"/>
        <v>300</v>
      </c>
      <c r="K205" s="24" t="s">
        <v>108</v>
      </c>
      <c r="L205" s="145">
        <f t="shared" si="343"/>
        <v>116</v>
      </c>
      <c r="M205" s="170">
        <v>0</v>
      </c>
      <c r="N205" s="145">
        <f t="shared" si="344"/>
        <v>139</v>
      </c>
      <c r="O205" s="187">
        <v>0</v>
      </c>
      <c r="P205" s="170">
        <f t="shared" si="345"/>
        <v>0</v>
      </c>
      <c r="Q205" s="75">
        <f t="shared" si="359"/>
        <v>34800</v>
      </c>
      <c r="R205" s="75">
        <f t="shared" si="347"/>
        <v>41700</v>
      </c>
      <c r="S205" s="76">
        <f t="shared" si="357"/>
        <v>76500</v>
      </c>
      <c r="T205" s="75">
        <f t="shared" si="358"/>
        <v>34800</v>
      </c>
      <c r="U205" s="75">
        <f t="shared" si="349"/>
        <v>41700</v>
      </c>
      <c r="V205" s="75">
        <f t="shared" si="350"/>
        <v>76500</v>
      </c>
      <c r="W205" s="75">
        <f t="shared" si="351"/>
        <v>45240</v>
      </c>
      <c r="X205" s="75">
        <f t="shared" si="352"/>
        <v>54210</v>
      </c>
      <c r="Y205" s="75">
        <f t="shared" si="353"/>
        <v>99450</v>
      </c>
      <c r="Z205" s="228">
        <f t="shared" si="354"/>
        <v>0</v>
      </c>
      <c r="AA205" s="228">
        <f t="shared" si="355"/>
        <v>0</v>
      </c>
      <c r="AB205" s="193">
        <f t="shared" si="356"/>
        <v>0</v>
      </c>
    </row>
    <row r="206" spans="2:29">
      <c r="B206" s="147" t="s">
        <v>487</v>
      </c>
      <c r="C206" s="147" t="s">
        <v>488</v>
      </c>
      <c r="D206" s="141">
        <v>44810</v>
      </c>
      <c r="E206" s="169">
        <f t="shared" si="341"/>
        <v>44811</v>
      </c>
      <c r="F206" s="142" t="s">
        <v>159</v>
      </c>
      <c r="G206" s="142">
        <v>7.9297304000000004</v>
      </c>
      <c r="H206" s="142">
        <v>-11.4375231</v>
      </c>
      <c r="I206" s="142">
        <v>408</v>
      </c>
      <c r="J206" s="145">
        <f t="shared" si="342"/>
        <v>300</v>
      </c>
      <c r="K206" s="24" t="s">
        <v>108</v>
      </c>
      <c r="L206" s="145">
        <f t="shared" si="343"/>
        <v>116</v>
      </c>
      <c r="M206" s="170">
        <v>0</v>
      </c>
      <c r="N206" s="145">
        <f t="shared" si="344"/>
        <v>139</v>
      </c>
      <c r="O206" s="187">
        <v>0</v>
      </c>
      <c r="P206" s="170">
        <f t="shared" si="345"/>
        <v>0</v>
      </c>
      <c r="Q206" s="75">
        <f t="shared" si="359"/>
        <v>34800</v>
      </c>
      <c r="R206" s="75">
        <f t="shared" si="347"/>
        <v>41700</v>
      </c>
      <c r="S206" s="76">
        <f t="shared" si="357"/>
        <v>76500</v>
      </c>
      <c r="T206" s="75">
        <f t="shared" si="358"/>
        <v>34800</v>
      </c>
      <c r="U206" s="75">
        <f t="shared" si="349"/>
        <v>41700</v>
      </c>
      <c r="V206" s="75">
        <f t="shared" si="350"/>
        <v>76500</v>
      </c>
      <c r="W206" s="75">
        <f t="shared" si="351"/>
        <v>47328</v>
      </c>
      <c r="X206" s="75">
        <f t="shared" si="352"/>
        <v>56712</v>
      </c>
      <c r="Y206" s="75">
        <f t="shared" si="353"/>
        <v>104040</v>
      </c>
      <c r="Z206" s="228">
        <f t="shared" si="354"/>
        <v>0</v>
      </c>
      <c r="AA206" s="228">
        <f t="shared" si="355"/>
        <v>0</v>
      </c>
      <c r="AB206" s="193">
        <f t="shared" si="356"/>
        <v>0</v>
      </c>
    </row>
    <row r="207" spans="2:29">
      <c r="B207" s="147" t="s">
        <v>489</v>
      </c>
      <c r="C207" s="147" t="s">
        <v>490</v>
      </c>
      <c r="D207" s="141">
        <v>44820</v>
      </c>
      <c r="E207" s="169">
        <f t="shared" si="341"/>
        <v>44821</v>
      </c>
      <c r="F207" s="142" t="s">
        <v>123</v>
      </c>
      <c r="G207" s="142">
        <v>7.9387283000000002</v>
      </c>
      <c r="H207" s="142">
        <v>-11.491798299999999</v>
      </c>
      <c r="I207" s="142">
        <v>429</v>
      </c>
      <c r="J207" s="145">
        <f t="shared" si="342"/>
        <v>300</v>
      </c>
      <c r="K207" s="24" t="s">
        <v>108</v>
      </c>
      <c r="L207" s="145">
        <f t="shared" si="343"/>
        <v>106</v>
      </c>
      <c r="M207" s="170">
        <v>0</v>
      </c>
      <c r="N207" s="145">
        <f t="shared" si="344"/>
        <v>139</v>
      </c>
      <c r="O207" s="187">
        <v>0</v>
      </c>
      <c r="P207" s="170">
        <f t="shared" si="345"/>
        <v>0</v>
      </c>
      <c r="Q207" s="75">
        <f t="shared" si="359"/>
        <v>31800</v>
      </c>
      <c r="R207" s="75">
        <f t="shared" si="347"/>
        <v>41700</v>
      </c>
      <c r="S207" s="76">
        <f t="shared" si="357"/>
        <v>73500</v>
      </c>
      <c r="T207" s="75">
        <f t="shared" si="358"/>
        <v>31800</v>
      </c>
      <c r="U207" s="75">
        <f t="shared" si="349"/>
        <v>41700</v>
      </c>
      <c r="V207" s="75">
        <f t="shared" si="350"/>
        <v>73500</v>
      </c>
      <c r="W207" s="75">
        <f t="shared" si="351"/>
        <v>45474</v>
      </c>
      <c r="X207" s="75">
        <f t="shared" si="352"/>
        <v>59631</v>
      </c>
      <c r="Y207" s="75">
        <f t="shared" si="353"/>
        <v>105105</v>
      </c>
      <c r="Z207" s="228">
        <f t="shared" si="354"/>
        <v>0</v>
      </c>
      <c r="AA207" s="228">
        <f t="shared" si="355"/>
        <v>0</v>
      </c>
      <c r="AB207" s="193">
        <f t="shared" si="356"/>
        <v>0</v>
      </c>
    </row>
    <row r="208" spans="2:29">
      <c r="B208" s="147" t="s">
        <v>491</v>
      </c>
      <c r="C208" s="196" t="s">
        <v>492</v>
      </c>
      <c r="D208" s="141">
        <v>44808</v>
      </c>
      <c r="E208" s="169">
        <f t="shared" si="341"/>
        <v>44809</v>
      </c>
      <c r="F208" s="197" t="s">
        <v>159</v>
      </c>
      <c r="G208" s="197">
        <v>7.9313099999999999</v>
      </c>
      <c r="H208" s="197">
        <v>-11.492429100000001</v>
      </c>
      <c r="I208" s="197">
        <v>387</v>
      </c>
      <c r="J208" s="145">
        <f t="shared" si="342"/>
        <v>300</v>
      </c>
      <c r="K208" s="24" t="s">
        <v>108</v>
      </c>
      <c r="L208" s="145">
        <f t="shared" si="343"/>
        <v>118</v>
      </c>
      <c r="M208" s="170">
        <v>0</v>
      </c>
      <c r="N208" s="145">
        <f t="shared" si="344"/>
        <v>139</v>
      </c>
      <c r="O208" s="187">
        <v>0</v>
      </c>
      <c r="P208" s="170">
        <f t="shared" si="345"/>
        <v>0</v>
      </c>
      <c r="Q208" s="75">
        <f>L208*J208</f>
        <v>35400</v>
      </c>
      <c r="R208" s="75">
        <f t="shared" si="347"/>
        <v>41700</v>
      </c>
      <c r="S208" s="76">
        <f t="shared" si="357"/>
        <v>77100</v>
      </c>
      <c r="T208" s="75">
        <f>(L208+M208)*J208</f>
        <v>35400</v>
      </c>
      <c r="U208" s="75">
        <f t="shared" si="349"/>
        <v>41700</v>
      </c>
      <c r="V208" s="75">
        <f t="shared" si="350"/>
        <v>77100</v>
      </c>
      <c r="W208" s="75">
        <f t="shared" si="351"/>
        <v>45666</v>
      </c>
      <c r="X208" s="75">
        <f t="shared" si="352"/>
        <v>53793</v>
      </c>
      <c r="Y208" s="75">
        <f t="shared" si="353"/>
        <v>99459</v>
      </c>
      <c r="Z208" s="228">
        <f t="shared" si="354"/>
        <v>0</v>
      </c>
      <c r="AA208" s="228">
        <f t="shared" si="355"/>
        <v>0</v>
      </c>
      <c r="AB208" s="193">
        <f t="shared" si="356"/>
        <v>0</v>
      </c>
    </row>
    <row r="209" spans="2:29">
      <c r="B209" s="147" t="s">
        <v>493</v>
      </c>
      <c r="C209" s="196" t="s">
        <v>494</v>
      </c>
      <c r="D209" s="141">
        <v>44808</v>
      </c>
      <c r="E209" s="169">
        <f t="shared" si="341"/>
        <v>44809</v>
      </c>
      <c r="F209" s="197" t="s">
        <v>159</v>
      </c>
      <c r="G209" s="197">
        <v>7.9318014000000003</v>
      </c>
      <c r="H209" s="197">
        <v>-11.4922263</v>
      </c>
      <c r="I209" s="197">
        <v>425</v>
      </c>
      <c r="J209" s="145">
        <f t="shared" si="342"/>
        <v>300</v>
      </c>
      <c r="K209" s="24" t="s">
        <v>108</v>
      </c>
      <c r="L209" s="145">
        <f t="shared" si="343"/>
        <v>118</v>
      </c>
      <c r="M209" s="170">
        <v>0</v>
      </c>
      <c r="N209" s="145">
        <f t="shared" si="344"/>
        <v>139</v>
      </c>
      <c r="O209" s="187">
        <v>0</v>
      </c>
      <c r="P209" s="170">
        <f t="shared" si="345"/>
        <v>0</v>
      </c>
      <c r="Q209" s="75">
        <f t="shared" ref="Q209:Q213" si="360">L209*J209</f>
        <v>35400</v>
      </c>
      <c r="R209" s="75">
        <f t="shared" si="347"/>
        <v>41700</v>
      </c>
      <c r="S209" s="76">
        <f t="shared" si="357"/>
        <v>77100</v>
      </c>
      <c r="T209" s="75">
        <f t="shared" ref="T209:T213" si="361">(L209+M209)*J209</f>
        <v>35400</v>
      </c>
      <c r="U209" s="75">
        <f t="shared" si="349"/>
        <v>41700</v>
      </c>
      <c r="V209" s="75">
        <f t="shared" si="350"/>
        <v>77100</v>
      </c>
      <c r="W209" s="75">
        <f t="shared" si="351"/>
        <v>50150</v>
      </c>
      <c r="X209" s="75">
        <f t="shared" si="352"/>
        <v>59075</v>
      </c>
      <c r="Y209" s="75">
        <f t="shared" si="353"/>
        <v>109225</v>
      </c>
      <c r="Z209" s="228">
        <f t="shared" si="354"/>
        <v>0</v>
      </c>
      <c r="AA209" s="228">
        <f t="shared" si="355"/>
        <v>0</v>
      </c>
      <c r="AB209" s="193">
        <f t="shared" si="356"/>
        <v>0</v>
      </c>
    </row>
    <row r="210" spans="2:29">
      <c r="B210" s="147" t="s">
        <v>495</v>
      </c>
      <c r="C210" s="196" t="s">
        <v>496</v>
      </c>
      <c r="D210" s="141">
        <v>44825</v>
      </c>
      <c r="E210" s="169">
        <f t="shared" si="341"/>
        <v>44826</v>
      </c>
      <c r="F210" s="197" t="s">
        <v>123</v>
      </c>
      <c r="G210" s="197">
        <v>8.1072954999999993</v>
      </c>
      <c r="H210" s="197">
        <v>-11.5576097</v>
      </c>
      <c r="I210" s="197">
        <v>429</v>
      </c>
      <c r="J210" s="145">
        <f t="shared" si="342"/>
        <v>300</v>
      </c>
      <c r="K210" s="24" t="s">
        <v>108</v>
      </c>
      <c r="L210" s="145">
        <f t="shared" si="343"/>
        <v>101</v>
      </c>
      <c r="M210" s="170">
        <v>0</v>
      </c>
      <c r="N210" s="145">
        <f t="shared" si="344"/>
        <v>139</v>
      </c>
      <c r="O210" s="187">
        <v>0</v>
      </c>
      <c r="P210" s="170">
        <f t="shared" si="345"/>
        <v>0</v>
      </c>
      <c r="Q210" s="75">
        <f t="shared" si="360"/>
        <v>30300</v>
      </c>
      <c r="R210" s="75">
        <f t="shared" si="347"/>
        <v>41700</v>
      </c>
      <c r="S210" s="76">
        <f t="shared" si="357"/>
        <v>72000</v>
      </c>
      <c r="T210" s="75">
        <f t="shared" si="361"/>
        <v>30300</v>
      </c>
      <c r="U210" s="75">
        <f t="shared" si="349"/>
        <v>41700</v>
      </c>
      <c r="V210" s="75">
        <f t="shared" si="350"/>
        <v>72000</v>
      </c>
      <c r="W210" s="75">
        <f t="shared" si="351"/>
        <v>43329</v>
      </c>
      <c r="X210" s="75">
        <f t="shared" si="352"/>
        <v>59631</v>
      </c>
      <c r="Y210" s="75">
        <f t="shared" si="353"/>
        <v>102960</v>
      </c>
      <c r="Z210" s="228">
        <f t="shared" si="354"/>
        <v>0</v>
      </c>
      <c r="AA210" s="228">
        <f t="shared" si="355"/>
        <v>0</v>
      </c>
      <c r="AB210" s="193">
        <f t="shared" si="356"/>
        <v>0</v>
      </c>
    </row>
    <row r="211" spans="2:29">
      <c r="B211" s="147" t="s">
        <v>497</v>
      </c>
      <c r="C211" s="196" t="s">
        <v>498</v>
      </c>
      <c r="D211" s="141">
        <v>44661</v>
      </c>
      <c r="E211" s="169">
        <f t="shared" si="341"/>
        <v>44662</v>
      </c>
      <c r="F211" s="197" t="s">
        <v>159</v>
      </c>
      <c r="G211" s="197">
        <v>8.1071442000000005</v>
      </c>
      <c r="H211" s="197">
        <v>-11.5557569</v>
      </c>
      <c r="I211" s="197">
        <v>447</v>
      </c>
      <c r="J211" s="145">
        <f t="shared" si="342"/>
        <v>300</v>
      </c>
      <c r="K211" s="24" t="s">
        <v>108</v>
      </c>
      <c r="L211" s="145">
        <f t="shared" si="343"/>
        <v>265</v>
      </c>
      <c r="M211" s="170">
        <v>0</v>
      </c>
      <c r="N211" s="145">
        <f t="shared" si="344"/>
        <v>139</v>
      </c>
      <c r="O211" s="187">
        <v>0</v>
      </c>
      <c r="P211" s="170">
        <f t="shared" si="345"/>
        <v>0</v>
      </c>
      <c r="Q211" s="75">
        <f t="shared" si="360"/>
        <v>79500</v>
      </c>
      <c r="R211" s="75">
        <f t="shared" si="347"/>
        <v>41700</v>
      </c>
      <c r="S211" s="76">
        <f t="shared" si="357"/>
        <v>121200</v>
      </c>
      <c r="T211" s="75">
        <f t="shared" si="361"/>
        <v>79500</v>
      </c>
      <c r="U211" s="75">
        <f t="shared" si="349"/>
        <v>41700</v>
      </c>
      <c r="V211" s="75">
        <f t="shared" si="350"/>
        <v>121200</v>
      </c>
      <c r="W211" s="75">
        <f t="shared" si="351"/>
        <v>118455</v>
      </c>
      <c r="X211" s="75">
        <f t="shared" si="352"/>
        <v>62133</v>
      </c>
      <c r="Y211" s="75">
        <f t="shared" si="353"/>
        <v>180588</v>
      </c>
      <c r="Z211" s="228">
        <f t="shared" si="354"/>
        <v>0</v>
      </c>
      <c r="AA211" s="228">
        <f t="shared" si="355"/>
        <v>0</v>
      </c>
      <c r="AB211" s="193">
        <f t="shared" si="356"/>
        <v>0</v>
      </c>
    </row>
    <row r="212" spans="2:29">
      <c r="B212" s="147" t="s">
        <v>499</v>
      </c>
      <c r="C212" s="196" t="s">
        <v>500</v>
      </c>
      <c r="D212" s="141">
        <v>44825</v>
      </c>
      <c r="E212" s="169">
        <f t="shared" si="341"/>
        <v>44826</v>
      </c>
      <c r="F212" s="197" t="s">
        <v>123</v>
      </c>
      <c r="G212" s="197">
        <v>8.0779481000000004</v>
      </c>
      <c r="H212" s="197">
        <v>-11.5144354</v>
      </c>
      <c r="I212" s="197">
        <v>382</v>
      </c>
      <c r="J212" s="145">
        <f t="shared" si="342"/>
        <v>300</v>
      </c>
      <c r="K212" s="24" t="s">
        <v>108</v>
      </c>
      <c r="L212" s="145">
        <f t="shared" si="343"/>
        <v>101</v>
      </c>
      <c r="M212" s="170">
        <v>0</v>
      </c>
      <c r="N212" s="145">
        <f t="shared" si="344"/>
        <v>139</v>
      </c>
      <c r="O212" s="187">
        <v>0</v>
      </c>
      <c r="P212" s="170">
        <f t="shared" si="345"/>
        <v>0</v>
      </c>
      <c r="Q212" s="75">
        <f t="shared" si="360"/>
        <v>30300</v>
      </c>
      <c r="R212" s="75">
        <f t="shared" si="347"/>
        <v>41700</v>
      </c>
      <c r="S212" s="76">
        <f t="shared" si="357"/>
        <v>72000</v>
      </c>
      <c r="T212" s="75">
        <f t="shared" si="361"/>
        <v>30300</v>
      </c>
      <c r="U212" s="75">
        <f t="shared" si="349"/>
        <v>41700</v>
      </c>
      <c r="V212" s="75">
        <f t="shared" si="350"/>
        <v>72000</v>
      </c>
      <c r="W212" s="75">
        <f t="shared" si="351"/>
        <v>38582</v>
      </c>
      <c r="X212" s="75">
        <f t="shared" si="352"/>
        <v>53098</v>
      </c>
      <c r="Y212" s="75">
        <f t="shared" si="353"/>
        <v>91680</v>
      </c>
      <c r="Z212" s="228">
        <f t="shared" si="354"/>
        <v>0</v>
      </c>
      <c r="AA212" s="228">
        <f t="shared" si="355"/>
        <v>0</v>
      </c>
      <c r="AB212" s="193">
        <f t="shared" si="356"/>
        <v>0</v>
      </c>
    </row>
    <row r="213" spans="2:29">
      <c r="B213" s="147" t="s">
        <v>501</v>
      </c>
      <c r="C213" s="196" t="s">
        <v>502</v>
      </c>
      <c r="D213" s="141">
        <v>44814</v>
      </c>
      <c r="E213" s="169">
        <f t="shared" si="341"/>
        <v>44815</v>
      </c>
      <c r="F213" s="197" t="s">
        <v>159</v>
      </c>
      <c r="G213" s="197">
        <v>8.0776263999999998</v>
      </c>
      <c r="H213" s="197">
        <v>-11.5141688</v>
      </c>
      <c r="I213" s="197">
        <v>364</v>
      </c>
      <c r="J213" s="145">
        <f t="shared" si="342"/>
        <v>300</v>
      </c>
      <c r="K213" s="24" t="s">
        <v>108</v>
      </c>
      <c r="L213" s="145">
        <f t="shared" si="343"/>
        <v>112</v>
      </c>
      <c r="M213" s="170">
        <v>0</v>
      </c>
      <c r="N213" s="145">
        <f t="shared" si="344"/>
        <v>139</v>
      </c>
      <c r="O213" s="187">
        <v>0</v>
      </c>
      <c r="P213" s="170">
        <f t="shared" si="345"/>
        <v>0</v>
      </c>
      <c r="Q213" s="75">
        <f t="shared" si="360"/>
        <v>33600</v>
      </c>
      <c r="R213" s="75">
        <f t="shared" si="347"/>
        <v>41700</v>
      </c>
      <c r="S213" s="76">
        <f t="shared" si="357"/>
        <v>75300</v>
      </c>
      <c r="T213" s="75">
        <f t="shared" si="361"/>
        <v>33600</v>
      </c>
      <c r="U213" s="75">
        <f t="shared" si="349"/>
        <v>41700</v>
      </c>
      <c r="V213" s="75">
        <f t="shared" si="350"/>
        <v>75300</v>
      </c>
      <c r="W213" s="75">
        <f t="shared" si="351"/>
        <v>40768</v>
      </c>
      <c r="X213" s="75">
        <f t="shared" si="352"/>
        <v>50596</v>
      </c>
      <c r="Y213" s="75">
        <f t="shared" si="353"/>
        <v>91364</v>
      </c>
      <c r="Z213" s="228">
        <f t="shared" si="354"/>
        <v>0</v>
      </c>
      <c r="AA213" s="228">
        <f t="shared" si="355"/>
        <v>0</v>
      </c>
      <c r="AB213" s="193">
        <f t="shared" si="356"/>
        <v>0</v>
      </c>
    </row>
    <row r="214" spans="2:29">
      <c r="B214" s="147" t="s">
        <v>503</v>
      </c>
      <c r="C214" s="147" t="s">
        <v>504</v>
      </c>
      <c r="D214" s="141">
        <v>44844</v>
      </c>
      <c r="E214" s="169">
        <f t="shared" si="341"/>
        <v>44845</v>
      </c>
      <c r="F214" s="142" t="s">
        <v>159</v>
      </c>
      <c r="G214" s="142">
        <v>8.0837658000000001</v>
      </c>
      <c r="H214" s="142">
        <v>-11.499535099999999</v>
      </c>
      <c r="I214" s="142">
        <v>407</v>
      </c>
      <c r="J214" s="145">
        <f t="shared" si="342"/>
        <v>300</v>
      </c>
      <c r="K214" s="24" t="s">
        <v>108</v>
      </c>
      <c r="L214" s="145">
        <f t="shared" si="343"/>
        <v>82</v>
      </c>
      <c r="M214" s="170">
        <v>0</v>
      </c>
      <c r="N214" s="145">
        <f t="shared" si="344"/>
        <v>139</v>
      </c>
      <c r="O214" s="187">
        <v>0</v>
      </c>
      <c r="P214" s="170">
        <f t="shared" si="345"/>
        <v>0</v>
      </c>
      <c r="Q214" s="75">
        <f>L214*J214</f>
        <v>24600</v>
      </c>
      <c r="R214" s="75">
        <f t="shared" si="347"/>
        <v>41700</v>
      </c>
      <c r="S214" s="76">
        <f t="shared" si="357"/>
        <v>66300</v>
      </c>
      <c r="T214" s="75">
        <f>(L214+M214)*J214</f>
        <v>24600</v>
      </c>
      <c r="U214" s="75">
        <f t="shared" si="349"/>
        <v>41700</v>
      </c>
      <c r="V214" s="75">
        <f t="shared" si="350"/>
        <v>66300</v>
      </c>
      <c r="W214" s="75">
        <f t="shared" si="351"/>
        <v>33374</v>
      </c>
      <c r="X214" s="75">
        <f t="shared" si="352"/>
        <v>56573</v>
      </c>
      <c r="Y214" s="75">
        <f t="shared" si="353"/>
        <v>89947</v>
      </c>
      <c r="Z214" s="228">
        <f t="shared" si="354"/>
        <v>0</v>
      </c>
      <c r="AA214" s="228">
        <f t="shared" si="355"/>
        <v>0</v>
      </c>
      <c r="AB214" s="193">
        <f t="shared" si="356"/>
        <v>0</v>
      </c>
    </row>
    <row r="215" spans="2:29">
      <c r="B215" s="147" t="s">
        <v>505</v>
      </c>
      <c r="C215" s="147" t="s">
        <v>506</v>
      </c>
      <c r="D215" s="141">
        <v>44813</v>
      </c>
      <c r="E215" s="169">
        <f t="shared" si="341"/>
        <v>44814</v>
      </c>
      <c r="F215" s="142" t="s">
        <v>159</v>
      </c>
      <c r="G215" s="142">
        <v>8.0565701000000001</v>
      </c>
      <c r="H215" s="142">
        <v>-11.496099299999999</v>
      </c>
      <c r="I215" s="142">
        <v>410</v>
      </c>
      <c r="J215" s="145">
        <f t="shared" si="342"/>
        <v>300</v>
      </c>
      <c r="K215" s="24" t="s">
        <v>108</v>
      </c>
      <c r="L215" s="145">
        <f t="shared" si="343"/>
        <v>113</v>
      </c>
      <c r="M215" s="170">
        <v>0</v>
      </c>
      <c r="N215" s="145">
        <f t="shared" si="344"/>
        <v>139</v>
      </c>
      <c r="O215" s="187">
        <v>0</v>
      </c>
      <c r="P215" s="170">
        <f t="shared" si="345"/>
        <v>0</v>
      </c>
      <c r="Q215" s="75">
        <f t="shared" ref="Q215:Q219" si="362">L215*J215</f>
        <v>33900</v>
      </c>
      <c r="R215" s="75">
        <f t="shared" si="347"/>
        <v>41700</v>
      </c>
      <c r="S215" s="76">
        <f t="shared" si="357"/>
        <v>75600</v>
      </c>
      <c r="T215" s="75">
        <f t="shared" ref="T215:T219" si="363">(L215+M215)*J215</f>
        <v>33900</v>
      </c>
      <c r="U215" s="75">
        <f t="shared" si="349"/>
        <v>41700</v>
      </c>
      <c r="V215" s="75">
        <f t="shared" si="350"/>
        <v>75600</v>
      </c>
      <c r="W215" s="75">
        <f t="shared" si="351"/>
        <v>46330</v>
      </c>
      <c r="X215" s="75">
        <f t="shared" si="352"/>
        <v>56990</v>
      </c>
      <c r="Y215" s="75">
        <f t="shared" si="353"/>
        <v>103320</v>
      </c>
      <c r="Z215" s="228">
        <f t="shared" si="354"/>
        <v>0</v>
      </c>
      <c r="AA215" s="228">
        <f t="shared" si="355"/>
        <v>0</v>
      </c>
      <c r="AB215" s="193">
        <f t="shared" si="356"/>
        <v>0</v>
      </c>
    </row>
    <row r="216" spans="2:29">
      <c r="B216" s="147" t="s">
        <v>507</v>
      </c>
      <c r="C216" s="147" t="s">
        <v>508</v>
      </c>
      <c r="D216" s="141">
        <v>44813</v>
      </c>
      <c r="E216" s="169">
        <f t="shared" si="341"/>
        <v>44814</v>
      </c>
      <c r="F216" s="142" t="s">
        <v>159</v>
      </c>
      <c r="G216" s="142">
        <v>8.0267953999999992</v>
      </c>
      <c r="H216" s="142">
        <v>-11.5229172</v>
      </c>
      <c r="I216" s="142">
        <v>398</v>
      </c>
      <c r="J216" s="145">
        <f t="shared" si="342"/>
        <v>300</v>
      </c>
      <c r="K216" s="24" t="s">
        <v>108</v>
      </c>
      <c r="L216" s="145">
        <f t="shared" si="343"/>
        <v>113</v>
      </c>
      <c r="M216" s="170">
        <v>0</v>
      </c>
      <c r="N216" s="145">
        <f t="shared" si="344"/>
        <v>139</v>
      </c>
      <c r="O216" s="187">
        <v>0</v>
      </c>
      <c r="P216" s="170">
        <f t="shared" si="345"/>
        <v>0</v>
      </c>
      <c r="Q216" s="75">
        <f t="shared" si="362"/>
        <v>33900</v>
      </c>
      <c r="R216" s="75">
        <f t="shared" si="347"/>
        <v>41700</v>
      </c>
      <c r="S216" s="76">
        <f t="shared" si="357"/>
        <v>75600</v>
      </c>
      <c r="T216" s="75">
        <f t="shared" si="363"/>
        <v>33900</v>
      </c>
      <c r="U216" s="75">
        <f t="shared" si="349"/>
        <v>41700</v>
      </c>
      <c r="V216" s="75">
        <f t="shared" si="350"/>
        <v>75600</v>
      </c>
      <c r="W216" s="75">
        <f t="shared" si="351"/>
        <v>44974</v>
      </c>
      <c r="X216" s="75">
        <f t="shared" si="352"/>
        <v>55322</v>
      </c>
      <c r="Y216" s="75">
        <f t="shared" si="353"/>
        <v>100296</v>
      </c>
      <c r="Z216" s="228">
        <f t="shared" si="354"/>
        <v>0</v>
      </c>
      <c r="AA216" s="228">
        <f t="shared" si="355"/>
        <v>0</v>
      </c>
      <c r="AB216" s="193">
        <f t="shared" si="356"/>
        <v>0</v>
      </c>
    </row>
    <row r="217" spans="2:29">
      <c r="B217" s="147" t="s">
        <v>509</v>
      </c>
      <c r="C217" s="147" t="s">
        <v>422</v>
      </c>
      <c r="D217" s="141">
        <v>44813</v>
      </c>
      <c r="E217" s="169">
        <f t="shared" si="341"/>
        <v>44814</v>
      </c>
      <c r="F217" s="142" t="s">
        <v>159</v>
      </c>
      <c r="G217" s="142">
        <v>8.0261864000000003</v>
      </c>
      <c r="H217" s="142">
        <v>-11.52392</v>
      </c>
      <c r="I217" s="142">
        <v>388</v>
      </c>
      <c r="J217" s="145">
        <f t="shared" si="342"/>
        <v>300</v>
      </c>
      <c r="K217" s="24" t="s">
        <v>108</v>
      </c>
      <c r="L217" s="145">
        <f t="shared" si="343"/>
        <v>113</v>
      </c>
      <c r="M217" s="170">
        <v>0</v>
      </c>
      <c r="N217" s="145">
        <f t="shared" si="344"/>
        <v>139</v>
      </c>
      <c r="O217" s="187">
        <v>0</v>
      </c>
      <c r="P217" s="170">
        <f t="shared" si="345"/>
        <v>0</v>
      </c>
      <c r="Q217" s="75">
        <f t="shared" si="362"/>
        <v>33900</v>
      </c>
      <c r="R217" s="75">
        <f t="shared" si="347"/>
        <v>41700</v>
      </c>
      <c r="S217" s="76">
        <f t="shared" si="357"/>
        <v>75600</v>
      </c>
      <c r="T217" s="75">
        <f t="shared" si="363"/>
        <v>33900</v>
      </c>
      <c r="U217" s="75">
        <f t="shared" si="349"/>
        <v>41700</v>
      </c>
      <c r="V217" s="75">
        <f t="shared" si="350"/>
        <v>75600</v>
      </c>
      <c r="W217" s="75">
        <f t="shared" si="351"/>
        <v>43844</v>
      </c>
      <c r="X217" s="75">
        <f t="shared" si="352"/>
        <v>53932</v>
      </c>
      <c r="Y217" s="75">
        <f t="shared" si="353"/>
        <v>97776</v>
      </c>
      <c r="Z217" s="228">
        <f t="shared" si="354"/>
        <v>0</v>
      </c>
      <c r="AA217" s="228">
        <f t="shared" si="355"/>
        <v>0</v>
      </c>
      <c r="AB217" s="193">
        <f t="shared" si="356"/>
        <v>0</v>
      </c>
    </row>
    <row r="218" spans="2:29">
      <c r="B218" s="147" t="s">
        <v>510</v>
      </c>
      <c r="C218" s="147" t="s">
        <v>492</v>
      </c>
      <c r="D218" s="141">
        <v>44825</v>
      </c>
      <c r="E218" s="169">
        <f t="shared" si="341"/>
        <v>44826</v>
      </c>
      <c r="F218" s="142" t="s">
        <v>159</v>
      </c>
      <c r="G218" s="142">
        <v>8.0255281000000007</v>
      </c>
      <c r="H218" s="142">
        <v>-11.517920999999999</v>
      </c>
      <c r="I218" s="142">
        <v>378</v>
      </c>
      <c r="J218" s="145">
        <f t="shared" si="342"/>
        <v>300</v>
      </c>
      <c r="K218" s="24" t="s">
        <v>108</v>
      </c>
      <c r="L218" s="145">
        <f t="shared" si="343"/>
        <v>101</v>
      </c>
      <c r="M218" s="170">
        <v>0</v>
      </c>
      <c r="N218" s="145">
        <f t="shared" si="344"/>
        <v>139</v>
      </c>
      <c r="O218" s="187">
        <v>0</v>
      </c>
      <c r="P218" s="170">
        <f t="shared" si="345"/>
        <v>0</v>
      </c>
      <c r="Q218" s="75">
        <f t="shared" si="362"/>
        <v>30300</v>
      </c>
      <c r="R218" s="75">
        <f t="shared" si="347"/>
        <v>41700</v>
      </c>
      <c r="S218" s="76">
        <f t="shared" si="357"/>
        <v>72000</v>
      </c>
      <c r="T218" s="75">
        <f t="shared" si="363"/>
        <v>30300</v>
      </c>
      <c r="U218" s="75">
        <f t="shared" si="349"/>
        <v>41700</v>
      </c>
      <c r="V218" s="75">
        <f t="shared" si="350"/>
        <v>72000</v>
      </c>
      <c r="W218" s="75">
        <f t="shared" si="351"/>
        <v>38178</v>
      </c>
      <c r="X218" s="75">
        <f t="shared" si="352"/>
        <v>52542</v>
      </c>
      <c r="Y218" s="75">
        <f t="shared" si="353"/>
        <v>90720</v>
      </c>
      <c r="Z218" s="228">
        <f t="shared" si="354"/>
        <v>0</v>
      </c>
      <c r="AA218" s="228">
        <f t="shared" si="355"/>
        <v>0</v>
      </c>
      <c r="AB218" s="193">
        <f t="shared" si="356"/>
        <v>0</v>
      </c>
    </row>
    <row r="219" spans="2:29">
      <c r="B219" s="147" t="s">
        <v>511</v>
      </c>
      <c r="C219" s="147" t="s">
        <v>512</v>
      </c>
      <c r="D219" s="141">
        <v>44822</v>
      </c>
      <c r="E219" s="169">
        <f t="shared" si="341"/>
        <v>44823</v>
      </c>
      <c r="F219" s="142" t="s">
        <v>123</v>
      </c>
      <c r="G219" s="142">
        <v>7.9973388999999999</v>
      </c>
      <c r="H219" s="142">
        <v>-11.4977257</v>
      </c>
      <c r="I219" s="142">
        <v>381</v>
      </c>
      <c r="J219" s="145">
        <f t="shared" si="342"/>
        <v>300</v>
      </c>
      <c r="K219" s="24" t="s">
        <v>108</v>
      </c>
      <c r="L219" s="145">
        <f t="shared" si="343"/>
        <v>104</v>
      </c>
      <c r="M219" s="170">
        <v>0</v>
      </c>
      <c r="N219" s="145">
        <f t="shared" si="344"/>
        <v>139</v>
      </c>
      <c r="O219" s="187">
        <v>0</v>
      </c>
      <c r="P219" s="170">
        <f t="shared" si="345"/>
        <v>0</v>
      </c>
      <c r="Q219" s="75">
        <f t="shared" si="362"/>
        <v>31200</v>
      </c>
      <c r="R219" s="75">
        <f t="shared" si="347"/>
        <v>41700</v>
      </c>
      <c r="S219" s="76">
        <f t="shared" si="357"/>
        <v>72900</v>
      </c>
      <c r="T219" s="75">
        <f t="shared" si="363"/>
        <v>31200</v>
      </c>
      <c r="U219" s="75">
        <f t="shared" si="349"/>
        <v>41700</v>
      </c>
      <c r="V219" s="75">
        <f t="shared" si="350"/>
        <v>72900</v>
      </c>
      <c r="W219" s="75">
        <f t="shared" si="351"/>
        <v>39624</v>
      </c>
      <c r="X219" s="75">
        <f t="shared" si="352"/>
        <v>52959</v>
      </c>
      <c r="Y219" s="75">
        <f t="shared" si="353"/>
        <v>92583</v>
      </c>
      <c r="Z219" s="228">
        <f t="shared" si="354"/>
        <v>0</v>
      </c>
      <c r="AA219" s="228">
        <f t="shared" si="355"/>
        <v>0</v>
      </c>
      <c r="AB219" s="193">
        <f t="shared" si="356"/>
        <v>0</v>
      </c>
    </row>
    <row r="220" spans="2:29">
      <c r="B220" s="148">
        <f>COUNTA(B200:B219)</f>
        <v>20</v>
      </c>
      <c r="C220" s="149"/>
      <c r="D220" s="149"/>
      <c r="E220" s="149"/>
      <c r="F220" s="86"/>
      <c r="G220" s="86"/>
      <c r="H220" s="86"/>
      <c r="I220" s="87">
        <f>SUM(I200:I219)</f>
        <v>8041</v>
      </c>
      <c r="J220" s="87">
        <f>SUM(J200:J219)</f>
        <v>6000</v>
      </c>
      <c r="K220" s="86"/>
      <c r="L220" s="87">
        <f>SUM(L200:L219)</f>
        <v>2341</v>
      </c>
      <c r="M220" s="87">
        <f t="shared" ref="M220:P220" si="364">SUM(M200:M212)</f>
        <v>0</v>
      </c>
      <c r="N220" s="87">
        <f>SUM(N200:N219)</f>
        <v>2780</v>
      </c>
      <c r="O220" s="87">
        <f t="shared" si="364"/>
        <v>0</v>
      </c>
      <c r="P220" s="87">
        <f t="shared" si="364"/>
        <v>0</v>
      </c>
      <c r="Q220" s="88">
        <f>SUM(Q200:Q219)</f>
        <v>702300</v>
      </c>
      <c r="R220" s="88">
        <f t="shared" ref="R220:Y220" si="365">SUM(R200:R219)</f>
        <v>834000</v>
      </c>
      <c r="S220" s="88">
        <f t="shared" si="365"/>
        <v>1536300</v>
      </c>
      <c r="T220" s="88">
        <f t="shared" si="365"/>
        <v>702300</v>
      </c>
      <c r="U220" s="88">
        <f t="shared" si="365"/>
        <v>834000</v>
      </c>
      <c r="V220" s="88">
        <f t="shared" si="365"/>
        <v>1536300</v>
      </c>
      <c r="W220" s="88">
        <f t="shared" si="365"/>
        <v>947937</v>
      </c>
      <c r="X220" s="88">
        <f t="shared" si="365"/>
        <v>1117699</v>
      </c>
      <c r="Y220" s="88">
        <f t="shared" si="365"/>
        <v>2065636</v>
      </c>
      <c r="Z220" s="223">
        <f t="shared" ref="Z220:AA220" si="366">AVERAGE(Z200:Z219)</f>
        <v>0</v>
      </c>
      <c r="AA220" s="223">
        <f t="shared" si="366"/>
        <v>0</v>
      </c>
      <c r="AB220" s="223">
        <f>AVERAGE(AB200:AB219)</f>
        <v>0</v>
      </c>
      <c r="AC220" s="186"/>
    </row>
    <row r="221" spans="2:29">
      <c r="C221" s="11"/>
      <c r="D221" s="11"/>
      <c r="E221" s="11"/>
      <c r="F221" s="11"/>
      <c r="I221" s="11"/>
      <c r="J221" s="11"/>
      <c r="M221" s="40"/>
      <c r="Q221" s="195"/>
      <c r="R221" s="195"/>
      <c r="S221" s="195"/>
      <c r="T221" s="195"/>
      <c r="U221" s="195"/>
      <c r="V221" s="195"/>
      <c r="W221" s="195"/>
      <c r="X221" s="195"/>
      <c r="Y221" s="195"/>
      <c r="Z221" s="195"/>
      <c r="AA221" s="195"/>
      <c r="AB221" s="207"/>
      <c r="AC221" s="186"/>
    </row>
    <row r="222" spans="2:29">
      <c r="S222" s="195"/>
      <c r="T222" s="195"/>
      <c r="U222" s="195"/>
      <c r="V222" s="195"/>
      <c r="AB222" s="208"/>
      <c r="AC222" s="208"/>
    </row>
    <row r="223" spans="2:29">
      <c r="S223" s="195"/>
      <c r="T223" s="195"/>
      <c r="U223" s="195"/>
      <c r="V223" s="195"/>
    </row>
    <row r="224" spans="2:29">
      <c r="I224" s="40"/>
      <c r="J224" s="210"/>
      <c r="N224" s="198"/>
    </row>
    <row r="225" spans="12:14">
      <c r="L225" s="40"/>
      <c r="N225" s="198"/>
    </row>
    <row r="226" spans="12:14">
      <c r="N226" s="198"/>
    </row>
    <row r="227" spans="12:14">
      <c r="N227" s="198"/>
    </row>
    <row r="228" spans="12:14">
      <c r="N228" s="198"/>
    </row>
    <row r="229" spans="12:14">
      <c r="N229" s="198"/>
    </row>
    <row r="230" spans="12:14">
      <c r="N230" s="198"/>
    </row>
    <row r="231" spans="12:14">
      <c r="N231" s="198"/>
    </row>
    <row r="232" spans="12:14">
      <c r="N232" s="198"/>
    </row>
    <row r="233" spans="12:14">
      <c r="N233" s="40"/>
    </row>
  </sheetData>
  <mergeCells count="14">
    <mergeCell ref="AO16:AO17"/>
    <mergeCell ref="AP16:AP17"/>
    <mergeCell ref="AJ16:AJ17"/>
    <mergeCell ref="AK16:AK17"/>
    <mergeCell ref="AL16:AL17"/>
    <mergeCell ref="AM16:AM17"/>
    <mergeCell ref="AN16:AN17"/>
    <mergeCell ref="AD1:AE1"/>
    <mergeCell ref="AD8:AE8"/>
    <mergeCell ref="AE16:AE17"/>
    <mergeCell ref="AF16:AF17"/>
    <mergeCell ref="AI16:AI17"/>
    <mergeCell ref="AG16:AG17"/>
    <mergeCell ref="AH16:AH17"/>
  </mergeCells>
  <phoneticPr fontId="11" type="noConversion"/>
  <conditionalFormatting sqref="C4">
    <cfRule type="duplicateValues" dxfId="7" priority="4"/>
  </conditionalFormatting>
  <conditionalFormatting sqref="C5:C9">
    <cfRule type="duplicateValues" dxfId="6" priority="10"/>
  </conditionalFormatting>
  <conditionalFormatting sqref="C19:C24">
    <cfRule type="duplicateValues" dxfId="5" priority="9"/>
  </conditionalFormatting>
  <conditionalFormatting sqref="C34:C35 C37:C39">
    <cfRule type="duplicateValues" dxfId="4" priority="8"/>
  </conditionalFormatting>
  <conditionalFormatting sqref="C49:C52">
    <cfRule type="duplicateValues" dxfId="3" priority="7"/>
  </conditionalFormatting>
  <conditionalFormatting sqref="C53">
    <cfRule type="duplicateValues" dxfId="2" priority="3"/>
  </conditionalFormatting>
  <conditionalFormatting sqref="C82 C78:C80">
    <cfRule type="duplicateValues" dxfId="1" priority="6"/>
  </conditionalFormatting>
  <conditionalFormatting sqref="C94 C97">
    <cfRule type="duplicateValues" dxfId="0" priority="5"/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6AAAA-22DC-4497-8745-3C41A3780132}">
  <dimension ref="B2:AY51"/>
  <sheetViews>
    <sheetView topLeftCell="B1" zoomScale="90" zoomScaleNormal="90" workbookViewId="0">
      <selection activeCell="B3" sqref="B3"/>
    </sheetView>
  </sheetViews>
  <sheetFormatPr defaultRowHeight="14.25"/>
  <cols>
    <col min="2" max="2" width="56.85546875" bestFit="1" customWidth="1"/>
    <col min="3" max="3" width="15.7109375" bestFit="1" customWidth="1"/>
    <col min="4" max="4" width="10" bestFit="1" customWidth="1"/>
    <col min="5" max="14" width="11.140625" bestFit="1" customWidth="1"/>
    <col min="15" max="17" width="11.140625" customWidth="1"/>
    <col min="19" max="19" width="56.85546875" bestFit="1" customWidth="1"/>
    <col min="22" max="34" width="11" customWidth="1"/>
    <col min="36" max="36" width="65.85546875" bestFit="1" customWidth="1"/>
  </cols>
  <sheetData>
    <row r="2" spans="2:51" ht="14.65" customHeight="1">
      <c r="B2" s="250" t="s">
        <v>513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S2" s="250" t="s">
        <v>514</v>
      </c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J2" s="250" t="s">
        <v>515</v>
      </c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</row>
    <row r="4" spans="2:51">
      <c r="B4" s="248" t="s">
        <v>516</v>
      </c>
      <c r="C4" s="249"/>
      <c r="D4" s="249"/>
      <c r="E4" s="157" t="s">
        <v>15</v>
      </c>
      <c r="F4" s="157" t="s">
        <v>16</v>
      </c>
      <c r="G4" s="157" t="s">
        <v>17</v>
      </c>
      <c r="H4" s="157" t="s">
        <v>18</v>
      </c>
      <c r="I4" s="157" t="s">
        <v>19</v>
      </c>
      <c r="J4" s="157" t="s">
        <v>20</v>
      </c>
      <c r="K4" s="157" t="s">
        <v>21</v>
      </c>
      <c r="L4" s="157" t="s">
        <v>22</v>
      </c>
      <c r="M4" s="157" t="s">
        <v>23</v>
      </c>
      <c r="N4" s="157" t="s">
        <v>24</v>
      </c>
      <c r="O4" s="157" t="s">
        <v>25</v>
      </c>
      <c r="P4" s="157" t="s">
        <v>26</v>
      </c>
      <c r="Q4" s="158" t="s">
        <v>27</v>
      </c>
      <c r="S4" s="248" t="s">
        <v>516</v>
      </c>
      <c r="T4" s="249"/>
      <c r="U4" s="249"/>
      <c r="V4" s="157" t="s">
        <v>15</v>
      </c>
      <c r="W4" s="157" t="s">
        <v>16</v>
      </c>
      <c r="X4" s="157" t="s">
        <v>17</v>
      </c>
      <c r="Y4" s="157" t="s">
        <v>18</v>
      </c>
      <c r="Z4" s="157" t="s">
        <v>19</v>
      </c>
      <c r="AA4" s="157" t="s">
        <v>20</v>
      </c>
      <c r="AB4" s="157" t="s">
        <v>21</v>
      </c>
      <c r="AC4" s="157" t="s">
        <v>22</v>
      </c>
      <c r="AD4" s="157" t="s">
        <v>23</v>
      </c>
      <c r="AE4" s="157" t="s">
        <v>24</v>
      </c>
      <c r="AF4" s="157" t="s">
        <v>25</v>
      </c>
      <c r="AG4" s="157" t="s">
        <v>26</v>
      </c>
      <c r="AH4" s="158" t="s">
        <v>27</v>
      </c>
      <c r="AJ4" s="248" t="s">
        <v>516</v>
      </c>
      <c r="AK4" s="249"/>
      <c r="AL4" s="249"/>
      <c r="AM4" s="157" t="s">
        <v>15</v>
      </c>
      <c r="AN4" s="157" t="s">
        <v>16</v>
      </c>
      <c r="AO4" s="157" t="s">
        <v>17</v>
      </c>
      <c r="AP4" s="157" t="s">
        <v>18</v>
      </c>
      <c r="AQ4" s="157" t="s">
        <v>19</v>
      </c>
      <c r="AR4" s="157" t="s">
        <v>20</v>
      </c>
      <c r="AS4" s="157" t="s">
        <v>21</v>
      </c>
      <c r="AT4" s="157" t="s">
        <v>22</v>
      </c>
      <c r="AU4" s="157" t="s">
        <v>23</v>
      </c>
      <c r="AV4" s="157" t="s">
        <v>24</v>
      </c>
      <c r="AW4" s="157" t="s">
        <v>25</v>
      </c>
      <c r="AX4" s="157" t="s">
        <v>26</v>
      </c>
      <c r="AY4" s="158" t="s">
        <v>27</v>
      </c>
    </row>
    <row r="5" spans="2:51">
      <c r="B5" s="202" t="s">
        <v>517</v>
      </c>
      <c r="C5" s="202" t="s">
        <v>518</v>
      </c>
      <c r="D5" s="202" t="s">
        <v>519</v>
      </c>
      <c r="E5" s="201">
        <v>0.02</v>
      </c>
      <c r="F5" s="201">
        <v>0.02</v>
      </c>
      <c r="G5" s="201">
        <v>0.02</v>
      </c>
      <c r="H5" s="201">
        <v>0.02</v>
      </c>
      <c r="I5" s="201">
        <v>0.02</v>
      </c>
      <c r="J5" s="201">
        <v>0.02</v>
      </c>
      <c r="K5" s="201">
        <v>0.02</v>
      </c>
      <c r="L5" s="201">
        <v>0.02</v>
      </c>
      <c r="M5" s="201">
        <v>0.02</v>
      </c>
      <c r="N5" s="201">
        <v>0.02</v>
      </c>
      <c r="O5" s="201">
        <v>0.02</v>
      </c>
      <c r="P5" s="201">
        <v>0.02</v>
      </c>
      <c r="Q5" s="201">
        <v>0.02</v>
      </c>
      <c r="S5" s="202" t="s">
        <v>517</v>
      </c>
      <c r="T5" s="202" t="s">
        <v>518</v>
      </c>
      <c r="U5" s="202" t="s">
        <v>519</v>
      </c>
      <c r="V5" s="201">
        <v>0.02</v>
      </c>
      <c r="W5" s="201">
        <v>0.02</v>
      </c>
      <c r="X5" s="201">
        <v>0.02</v>
      </c>
      <c r="Y5" s="201">
        <v>0.02</v>
      </c>
      <c r="Z5" s="201">
        <v>0.02</v>
      </c>
      <c r="AA5" s="201">
        <v>0.02</v>
      </c>
      <c r="AB5" s="201">
        <v>0.02</v>
      </c>
      <c r="AC5" s="201">
        <v>0.02</v>
      </c>
      <c r="AD5" s="201">
        <v>0.02</v>
      </c>
      <c r="AE5" s="201">
        <v>0.02</v>
      </c>
      <c r="AF5" s="201">
        <v>0.02</v>
      </c>
      <c r="AG5" s="201">
        <v>0.02</v>
      </c>
      <c r="AH5" s="201">
        <v>0.02</v>
      </c>
      <c r="AJ5" s="202" t="s">
        <v>517</v>
      </c>
      <c r="AK5" s="202" t="s">
        <v>518</v>
      </c>
      <c r="AL5" s="202" t="s">
        <v>519</v>
      </c>
      <c r="AM5" s="201">
        <v>0.02</v>
      </c>
      <c r="AN5" s="201">
        <v>0.02</v>
      </c>
      <c r="AO5" s="201">
        <v>0.02</v>
      </c>
      <c r="AP5" s="201">
        <v>0.02</v>
      </c>
      <c r="AQ5" s="201">
        <v>0.02</v>
      </c>
      <c r="AR5" s="201">
        <v>0.02</v>
      </c>
      <c r="AS5" s="201">
        <v>0.02</v>
      </c>
      <c r="AT5" s="201">
        <v>0.02</v>
      </c>
      <c r="AU5" s="201">
        <v>0.02</v>
      </c>
      <c r="AV5" s="201">
        <v>0.02</v>
      </c>
      <c r="AW5" s="201">
        <v>0.02</v>
      </c>
      <c r="AX5" s="201">
        <v>0.02</v>
      </c>
      <c r="AY5" s="201">
        <v>0.02</v>
      </c>
    </row>
    <row r="6" spans="2:51">
      <c r="B6" s="1" t="s">
        <v>520</v>
      </c>
      <c r="C6" s="1" t="s">
        <v>521</v>
      </c>
      <c r="D6" s="1"/>
      <c r="E6" s="4">
        <f>'Total PTDs'!$Y17</f>
        <v>2244621</v>
      </c>
      <c r="F6" s="4">
        <f>'Total PTDs'!$Y32</f>
        <v>2441940</v>
      </c>
      <c r="G6" s="4">
        <f>'Total PTDs'!$Y47</f>
        <v>2132882</v>
      </c>
      <c r="H6" s="4">
        <f>'Total PTDs'!$Y61</f>
        <v>2369112</v>
      </c>
      <c r="I6" s="4">
        <f>'Total PTDs'!$Y76</f>
        <v>2349505</v>
      </c>
      <c r="J6" s="4">
        <f>'Total PTDs'!$Y91</f>
        <v>2154044</v>
      </c>
      <c r="K6" s="4">
        <f>'Total PTDs'!$Y106</f>
        <v>2373144</v>
      </c>
      <c r="L6" s="4">
        <f>'Total PTDs'!$Y122</f>
        <v>2464379</v>
      </c>
      <c r="M6" s="4">
        <f>'Total PTDs'!$Y138</f>
        <v>2890627</v>
      </c>
      <c r="N6" s="4">
        <f>'Total PTDs'!$Y154</f>
        <v>2813033</v>
      </c>
      <c r="O6" s="4">
        <f>'Total PTDs'!$Y176</f>
        <v>2841803</v>
      </c>
      <c r="P6" s="4">
        <f>'Total PTDs'!$Y198</f>
        <v>2332947</v>
      </c>
      <c r="Q6" s="4">
        <f>'Total PTDs'!$Y220</f>
        <v>2065636</v>
      </c>
      <c r="S6" s="1" t="s">
        <v>520</v>
      </c>
      <c r="T6" s="1" t="s">
        <v>521</v>
      </c>
      <c r="U6" s="1"/>
      <c r="V6" s="4">
        <f>'Total PTDs'!$W17</f>
        <v>1396876</v>
      </c>
      <c r="W6" s="4">
        <f>'Total PTDs'!$W32</f>
        <v>1519055</v>
      </c>
      <c r="X6" s="4">
        <f>'Total PTDs'!$W47</f>
        <v>1327187</v>
      </c>
      <c r="Y6" s="4">
        <f>'Total PTDs'!$W61</f>
        <v>1474002</v>
      </c>
      <c r="Z6" s="4">
        <f>'Total PTDs'!$W76</f>
        <v>1461199</v>
      </c>
      <c r="AA6" s="4">
        <f>'Total PTDs'!$W91</f>
        <v>1340008</v>
      </c>
      <c r="AB6" s="4">
        <f>'Total PTDs'!$W106</f>
        <v>1476610</v>
      </c>
      <c r="AC6" s="4">
        <f>'Total PTDs'!$W122</f>
        <v>1533039</v>
      </c>
      <c r="AD6" s="4">
        <f>'Total PTDs'!$W138</f>
        <v>1797835</v>
      </c>
      <c r="AE6" s="4">
        <f>'Total PTDs'!$W154</f>
        <v>1722239</v>
      </c>
      <c r="AF6" s="4">
        <f>'Total PTDs'!$W176</f>
        <v>1774561</v>
      </c>
      <c r="AG6" s="4">
        <f>'Total PTDs'!$W198</f>
        <v>1327560</v>
      </c>
      <c r="AH6" s="4">
        <f>'Total PTDs'!$W220</f>
        <v>947937</v>
      </c>
      <c r="AJ6" s="1" t="s">
        <v>520</v>
      </c>
      <c r="AK6" s="1" t="s">
        <v>521</v>
      </c>
      <c r="AL6" s="1"/>
      <c r="AM6" s="4">
        <f>'Total PTDs'!$X17</f>
        <v>847745</v>
      </c>
      <c r="AN6" s="4">
        <f>'Total PTDs'!$X32</f>
        <v>922885</v>
      </c>
      <c r="AO6" s="4">
        <f>'Total PTDs'!$X47</f>
        <v>805695</v>
      </c>
      <c r="AP6" s="4">
        <f>'Total PTDs'!$X61</f>
        <v>895110</v>
      </c>
      <c r="AQ6" s="4">
        <f>'Total PTDs'!$X76</f>
        <v>888306</v>
      </c>
      <c r="AR6" s="4">
        <f>'Total PTDs'!$X91</f>
        <v>814036</v>
      </c>
      <c r="AS6" s="4">
        <f>'Total PTDs'!$X106</f>
        <v>896534</v>
      </c>
      <c r="AT6" s="4">
        <f>'Total PTDs'!$X122</f>
        <v>931340</v>
      </c>
      <c r="AU6" s="4">
        <f>'Total PTDs'!$X138</f>
        <v>1092792</v>
      </c>
      <c r="AV6" s="4">
        <f>'Total PTDs'!$X154</f>
        <v>1090794</v>
      </c>
      <c r="AW6" s="4">
        <f>'Total PTDs'!$X176</f>
        <v>1067242</v>
      </c>
      <c r="AX6" s="4">
        <f>'Total PTDs'!$X198</f>
        <v>1005387</v>
      </c>
      <c r="AY6" s="4">
        <f>'Total PTDs'!$X220</f>
        <v>1117699</v>
      </c>
    </row>
    <row r="7" spans="2:51">
      <c r="B7" s="1" t="s">
        <v>522</v>
      </c>
      <c r="C7" s="1" t="s">
        <v>523</v>
      </c>
      <c r="D7" s="1" t="s">
        <v>524</v>
      </c>
      <c r="E7" s="12">
        <v>4.0000000000000002E-4</v>
      </c>
      <c r="F7" s="12">
        <v>4.0000000000000002E-4</v>
      </c>
      <c r="G7" s="12">
        <v>4.0000000000000002E-4</v>
      </c>
      <c r="H7" s="12">
        <v>4.0000000000000002E-4</v>
      </c>
      <c r="I7" s="12">
        <v>4.0000000000000002E-4</v>
      </c>
      <c r="J7" s="12">
        <v>4.0000000000000002E-4</v>
      </c>
      <c r="K7" s="12">
        <v>4.0000000000000002E-4</v>
      </c>
      <c r="L7" s="12">
        <v>4.0000000000000002E-4</v>
      </c>
      <c r="M7" s="12">
        <v>4.0000000000000002E-4</v>
      </c>
      <c r="N7" s="12">
        <v>4.0000000000000002E-4</v>
      </c>
      <c r="O7" s="12">
        <v>4.0000000000000002E-4</v>
      </c>
      <c r="P7" s="12">
        <v>4.0000000000000002E-4</v>
      </c>
      <c r="Q7" s="12">
        <v>4.0000000000000002E-4</v>
      </c>
      <c r="S7" s="1" t="s">
        <v>522</v>
      </c>
      <c r="T7" s="1" t="s">
        <v>523</v>
      </c>
      <c r="U7" s="1" t="s">
        <v>524</v>
      </c>
      <c r="V7" s="12">
        <v>4.0000000000000002E-4</v>
      </c>
      <c r="W7" s="12">
        <v>4.0000000000000002E-4</v>
      </c>
      <c r="X7" s="12">
        <v>4.0000000000000002E-4</v>
      </c>
      <c r="Y7" s="12">
        <v>4.0000000000000002E-4</v>
      </c>
      <c r="Z7" s="12">
        <v>4.0000000000000002E-4</v>
      </c>
      <c r="AA7" s="12">
        <v>4.0000000000000002E-4</v>
      </c>
      <c r="AB7" s="12">
        <v>4.0000000000000002E-4</v>
      </c>
      <c r="AC7" s="12">
        <v>4.0000000000000002E-4</v>
      </c>
      <c r="AD7" s="12">
        <v>4.0000000000000002E-4</v>
      </c>
      <c r="AE7" s="12">
        <v>4.0000000000000002E-4</v>
      </c>
      <c r="AF7" s="12">
        <v>4.0000000000000002E-4</v>
      </c>
      <c r="AG7" s="12">
        <v>4.0000000000000002E-4</v>
      </c>
      <c r="AH7" s="12">
        <v>4.0000000000000002E-4</v>
      </c>
      <c r="AJ7" s="1" t="s">
        <v>522</v>
      </c>
      <c r="AK7" s="1" t="s">
        <v>523</v>
      </c>
      <c r="AL7" s="1" t="s">
        <v>524</v>
      </c>
      <c r="AM7" s="12">
        <v>4.0000000000000002E-4</v>
      </c>
      <c r="AN7" s="12">
        <v>4.0000000000000002E-4</v>
      </c>
      <c r="AO7" s="12">
        <v>4.0000000000000002E-4</v>
      </c>
      <c r="AP7" s="12">
        <v>4.0000000000000002E-4</v>
      </c>
      <c r="AQ7" s="12">
        <v>4.0000000000000002E-4</v>
      </c>
      <c r="AR7" s="12">
        <v>4.0000000000000002E-4</v>
      </c>
      <c r="AS7" s="12">
        <v>4.0000000000000002E-4</v>
      </c>
      <c r="AT7" s="12">
        <v>4.0000000000000002E-4</v>
      </c>
      <c r="AU7" s="12">
        <v>4.0000000000000002E-4</v>
      </c>
      <c r="AV7" s="12">
        <v>4.0000000000000002E-4</v>
      </c>
      <c r="AW7" s="12">
        <v>4.0000000000000002E-4</v>
      </c>
      <c r="AX7" s="12">
        <v>4.0000000000000002E-4</v>
      </c>
      <c r="AY7" s="12">
        <v>4.0000000000000002E-4</v>
      </c>
    </row>
    <row r="8" spans="2:51" ht="28.5">
      <c r="B8" s="2" t="s">
        <v>525</v>
      </c>
      <c r="C8" s="1" t="s">
        <v>526</v>
      </c>
      <c r="D8" s="1" t="s">
        <v>527</v>
      </c>
      <c r="E8" s="1">
        <v>11.64</v>
      </c>
      <c r="F8" s="1">
        <v>11.64</v>
      </c>
      <c r="G8" s="1">
        <v>11.64</v>
      </c>
      <c r="H8" s="1">
        <v>11.64</v>
      </c>
      <c r="I8" s="1">
        <v>11.64</v>
      </c>
      <c r="J8" s="1">
        <v>11.64</v>
      </c>
      <c r="K8" s="1">
        <v>11.64</v>
      </c>
      <c r="L8" s="1">
        <v>11.64</v>
      </c>
      <c r="M8" s="1">
        <v>11.64</v>
      </c>
      <c r="N8" s="1">
        <v>11.64</v>
      </c>
      <c r="O8" s="1">
        <v>11.64</v>
      </c>
      <c r="P8" s="1">
        <v>11.64</v>
      </c>
      <c r="Q8" s="1">
        <v>11.64</v>
      </c>
      <c r="S8" s="2" t="s">
        <v>525</v>
      </c>
      <c r="T8" s="1" t="s">
        <v>526</v>
      </c>
      <c r="U8" s="1" t="s">
        <v>527</v>
      </c>
      <c r="V8" s="1">
        <v>11.64</v>
      </c>
      <c r="W8" s="1">
        <v>11.64</v>
      </c>
      <c r="X8" s="1">
        <v>11.64</v>
      </c>
      <c r="Y8" s="1">
        <v>11.64</v>
      </c>
      <c r="Z8" s="1">
        <v>11.64</v>
      </c>
      <c r="AA8" s="1">
        <v>11.64</v>
      </c>
      <c r="AB8" s="1">
        <v>11.64</v>
      </c>
      <c r="AC8" s="1">
        <v>11.64</v>
      </c>
      <c r="AD8" s="1">
        <v>11.64</v>
      </c>
      <c r="AE8" s="1">
        <v>11.64</v>
      </c>
      <c r="AF8" s="1">
        <v>11.64</v>
      </c>
      <c r="AG8" s="1">
        <v>11.64</v>
      </c>
      <c r="AH8" s="1">
        <v>11.64</v>
      </c>
      <c r="AJ8" s="2" t="s">
        <v>525</v>
      </c>
      <c r="AK8" s="1" t="s">
        <v>526</v>
      </c>
      <c r="AL8" s="1" t="s">
        <v>527</v>
      </c>
      <c r="AM8" s="1">
        <v>11.64</v>
      </c>
      <c r="AN8" s="1">
        <v>11.64</v>
      </c>
      <c r="AO8" s="1">
        <v>11.64</v>
      </c>
      <c r="AP8" s="1">
        <v>11.64</v>
      </c>
      <c r="AQ8" s="1">
        <v>11.64</v>
      </c>
      <c r="AR8" s="1">
        <v>11.64</v>
      </c>
      <c r="AS8" s="1">
        <v>11.64</v>
      </c>
      <c r="AT8" s="1">
        <v>11.64</v>
      </c>
      <c r="AU8" s="1">
        <v>11.64</v>
      </c>
      <c r="AV8" s="1">
        <v>11.64</v>
      </c>
      <c r="AW8" s="1">
        <v>11.64</v>
      </c>
      <c r="AX8" s="1">
        <v>11.64</v>
      </c>
      <c r="AY8" s="1">
        <v>11.64</v>
      </c>
    </row>
    <row r="9" spans="2:51">
      <c r="B9" s="2" t="s">
        <v>528</v>
      </c>
      <c r="C9" s="1" t="s">
        <v>529</v>
      </c>
      <c r="D9" s="1" t="s">
        <v>527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S9" s="2" t="s">
        <v>528</v>
      </c>
      <c r="T9" s="1" t="s">
        <v>529</v>
      </c>
      <c r="U9" s="1" t="s">
        <v>527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J9" s="2" t="s">
        <v>528</v>
      </c>
      <c r="AK9" s="1" t="s">
        <v>529</v>
      </c>
      <c r="AL9" s="1" t="s">
        <v>527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</row>
    <row r="10" spans="2:51">
      <c r="B10" s="1" t="s">
        <v>530</v>
      </c>
      <c r="C10" s="1" t="s">
        <v>531</v>
      </c>
      <c r="D10" s="1" t="s">
        <v>532</v>
      </c>
      <c r="E10" s="4">
        <f t="shared" ref="E10:N10" si="0">(1-E5)*E6*E7*(E8+E9)</f>
        <v>10241.936268480002</v>
      </c>
      <c r="F10" s="4">
        <f t="shared" si="0"/>
        <v>11142.279187200002</v>
      </c>
      <c r="G10" s="4">
        <f t="shared" si="0"/>
        <v>9732.0846201599998</v>
      </c>
      <c r="H10" s="4">
        <f t="shared" si="0"/>
        <v>10809.973762559999</v>
      </c>
      <c r="I10" s="4">
        <f t="shared" si="0"/>
        <v>10720.509374400001</v>
      </c>
      <c r="J10" s="4">
        <f t="shared" si="0"/>
        <v>9828.6442867200003</v>
      </c>
      <c r="K10" s="4">
        <f t="shared" si="0"/>
        <v>10828.371294720002</v>
      </c>
      <c r="L10" s="4">
        <f t="shared" si="0"/>
        <v>11244.665651520001</v>
      </c>
      <c r="M10" s="4">
        <f t="shared" si="0"/>
        <v>13189.584125760002</v>
      </c>
      <c r="N10" s="4">
        <f t="shared" si="0"/>
        <v>12835.53201504</v>
      </c>
      <c r="O10" s="4">
        <f>(1-O5)*O6*O7*(O8+O9)</f>
        <v>12966.80607264</v>
      </c>
      <c r="P10" s="4">
        <f t="shared" ref="P10:Q10" si="1">(1-P5)*P6*P7*(P8+P9)</f>
        <v>10644.957207360001</v>
      </c>
      <c r="Q10" s="4">
        <f t="shared" si="1"/>
        <v>9425.2491916800009</v>
      </c>
      <c r="S10" s="1" t="s">
        <v>530</v>
      </c>
      <c r="T10" s="1" t="s">
        <v>531</v>
      </c>
      <c r="U10" s="1" t="s">
        <v>532</v>
      </c>
      <c r="V10" s="4">
        <f t="shared" ref="V10:AE10" si="2">(1-V5)*V6*V7*(V8+V9)</f>
        <v>6373.77756288</v>
      </c>
      <c r="W10" s="4">
        <f t="shared" si="2"/>
        <v>6931.2656784000001</v>
      </c>
      <c r="X10" s="4">
        <f t="shared" si="2"/>
        <v>6055.7950185600002</v>
      </c>
      <c r="Y10" s="4">
        <f t="shared" si="2"/>
        <v>6725.6942457600007</v>
      </c>
      <c r="Z10" s="4">
        <f t="shared" si="2"/>
        <v>6667.2756931200011</v>
      </c>
      <c r="AA10" s="4">
        <f t="shared" si="2"/>
        <v>6114.2957030400003</v>
      </c>
      <c r="AB10" s="4">
        <f t="shared" si="2"/>
        <v>6737.5942368000005</v>
      </c>
      <c r="AC10" s="4">
        <f t="shared" si="2"/>
        <v>6995.0729923199997</v>
      </c>
      <c r="AD10" s="4">
        <f t="shared" si="2"/>
        <v>8203.3053648000005</v>
      </c>
      <c r="AE10" s="4">
        <f t="shared" si="2"/>
        <v>7858.3698883200013</v>
      </c>
      <c r="AF10" s="4">
        <f t="shared" ref="AF10:AH10" si="3">(1-AF5)*AF6*AF7*(AF8+AF9)</f>
        <v>8097.1088956800004</v>
      </c>
      <c r="AG10" s="4">
        <f t="shared" si="3"/>
        <v>6057.4969728000015</v>
      </c>
      <c r="AH10" s="4">
        <f t="shared" si="3"/>
        <v>4325.3227785600002</v>
      </c>
      <c r="AJ10" s="1" t="s">
        <v>530</v>
      </c>
      <c r="AK10" s="1" t="s">
        <v>531</v>
      </c>
      <c r="AL10" s="1" t="s">
        <v>532</v>
      </c>
      <c r="AM10" s="4">
        <f t="shared" ref="AM10:AV10" si="4">(1-AM5)*AM6*AM7*(AM8+AM9)</f>
        <v>3868.1587055999998</v>
      </c>
      <c r="AN10" s="4">
        <f t="shared" si="4"/>
        <v>4211.0135087999997</v>
      </c>
      <c r="AO10" s="4">
        <f t="shared" si="4"/>
        <v>3676.2896016000004</v>
      </c>
      <c r="AP10" s="4">
        <f t="shared" si="4"/>
        <v>4084.2795167999998</v>
      </c>
      <c r="AQ10" s="4">
        <f t="shared" si="4"/>
        <v>4053.2336812800004</v>
      </c>
      <c r="AR10" s="4">
        <f t="shared" si="4"/>
        <v>3714.3485836800005</v>
      </c>
      <c r="AS10" s="4">
        <f t="shared" si="4"/>
        <v>4090.7770579200001</v>
      </c>
      <c r="AT10" s="4">
        <f t="shared" si="4"/>
        <v>4249.5926592000005</v>
      </c>
      <c r="AU10" s="4">
        <f t="shared" si="4"/>
        <v>4986.27876096</v>
      </c>
      <c r="AV10" s="4">
        <f t="shared" si="4"/>
        <v>4977.1621267199998</v>
      </c>
      <c r="AW10" s="4">
        <f t="shared" ref="AW10:AY10" si="5">(1-AW5)*AW6*AW7*(AW8+AW9)</f>
        <v>4869.6971769600004</v>
      </c>
      <c r="AX10" s="4">
        <f t="shared" si="5"/>
        <v>4587.4602345600006</v>
      </c>
      <c r="AY10" s="4">
        <f t="shared" si="5"/>
        <v>5099.9264131200007</v>
      </c>
    </row>
    <row r="12" spans="2:51">
      <c r="B12" s="248" t="s">
        <v>533</v>
      </c>
      <c r="C12" s="249"/>
      <c r="D12" s="24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60"/>
      <c r="S12" s="248" t="s">
        <v>533</v>
      </c>
      <c r="T12" s="249"/>
      <c r="U12" s="24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60"/>
      <c r="AJ12" s="248" t="s">
        <v>533</v>
      </c>
      <c r="AK12" s="249"/>
      <c r="AL12" s="24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60"/>
    </row>
    <row r="13" spans="2:51">
      <c r="B13" s="202" t="s">
        <v>534</v>
      </c>
      <c r="C13" s="202" t="s">
        <v>518</v>
      </c>
      <c r="D13" s="202" t="s">
        <v>519</v>
      </c>
      <c r="E13" s="201">
        <v>0.02</v>
      </c>
      <c r="F13" s="201">
        <v>0.02</v>
      </c>
      <c r="G13" s="201">
        <v>0.02</v>
      </c>
      <c r="H13" s="201">
        <v>0.02</v>
      </c>
      <c r="I13" s="201">
        <v>0.02</v>
      </c>
      <c r="J13" s="201">
        <v>0.02</v>
      </c>
      <c r="K13" s="201">
        <v>0.02</v>
      </c>
      <c r="L13" s="201">
        <v>0.02</v>
      </c>
      <c r="M13" s="201">
        <v>0.02</v>
      </c>
      <c r="N13" s="201">
        <v>0.02</v>
      </c>
      <c r="O13" s="201">
        <v>0.02</v>
      </c>
      <c r="P13" s="201">
        <v>0.02</v>
      </c>
      <c r="Q13" s="201">
        <v>0.02</v>
      </c>
      <c r="S13" s="202" t="s">
        <v>534</v>
      </c>
      <c r="T13" s="202" t="s">
        <v>518</v>
      </c>
      <c r="U13" s="202" t="s">
        <v>519</v>
      </c>
      <c r="V13" s="201">
        <v>0.02</v>
      </c>
      <c r="W13" s="201">
        <v>0.02</v>
      </c>
      <c r="X13" s="201">
        <v>0.02</v>
      </c>
      <c r="Y13" s="201">
        <v>0.02</v>
      </c>
      <c r="Z13" s="201">
        <v>0.02</v>
      </c>
      <c r="AA13" s="201">
        <v>0.02</v>
      </c>
      <c r="AB13" s="201">
        <v>0.02</v>
      </c>
      <c r="AC13" s="201">
        <v>0.02</v>
      </c>
      <c r="AD13" s="201">
        <v>0.02</v>
      </c>
      <c r="AE13" s="201">
        <v>0.02</v>
      </c>
      <c r="AF13" s="201">
        <v>0.02</v>
      </c>
      <c r="AG13" s="201">
        <v>0.02</v>
      </c>
      <c r="AH13" s="201">
        <v>0.02</v>
      </c>
      <c r="AJ13" s="202" t="s">
        <v>534</v>
      </c>
      <c r="AK13" s="202" t="s">
        <v>518</v>
      </c>
      <c r="AL13" s="202" t="s">
        <v>519</v>
      </c>
      <c r="AM13" s="201">
        <v>0.02</v>
      </c>
      <c r="AN13" s="201">
        <v>0.02</v>
      </c>
      <c r="AO13" s="201">
        <v>0.02</v>
      </c>
      <c r="AP13" s="201">
        <v>0.02</v>
      </c>
      <c r="AQ13" s="201">
        <v>0.02</v>
      </c>
      <c r="AR13" s="201">
        <v>0.02</v>
      </c>
      <c r="AS13" s="201">
        <v>0.02</v>
      </c>
      <c r="AT13" s="201">
        <v>0.02</v>
      </c>
      <c r="AU13" s="201">
        <v>0.02</v>
      </c>
      <c r="AV13" s="201">
        <v>0.02</v>
      </c>
      <c r="AW13" s="201">
        <v>0.02</v>
      </c>
      <c r="AX13" s="201">
        <v>0.02</v>
      </c>
      <c r="AY13" s="201">
        <v>0.02</v>
      </c>
    </row>
    <row r="14" spans="2:51">
      <c r="B14" s="1" t="s">
        <v>520</v>
      </c>
      <c r="C14" s="1" t="s">
        <v>521</v>
      </c>
      <c r="D14" s="1"/>
      <c r="E14" s="4">
        <f t="shared" ref="E14:N14" si="6">E6</f>
        <v>2244621</v>
      </c>
      <c r="F14" s="4">
        <f t="shared" si="6"/>
        <v>2441940</v>
      </c>
      <c r="G14" s="4">
        <f t="shared" si="6"/>
        <v>2132882</v>
      </c>
      <c r="H14" s="4">
        <f t="shared" si="6"/>
        <v>2369112</v>
      </c>
      <c r="I14" s="4">
        <f t="shared" si="6"/>
        <v>2349505</v>
      </c>
      <c r="J14" s="4">
        <f t="shared" si="6"/>
        <v>2154044</v>
      </c>
      <c r="K14" s="4">
        <f t="shared" si="6"/>
        <v>2373144</v>
      </c>
      <c r="L14" s="4">
        <f t="shared" si="6"/>
        <v>2464379</v>
      </c>
      <c r="M14" s="4">
        <f t="shared" si="6"/>
        <v>2890627</v>
      </c>
      <c r="N14" s="4">
        <f t="shared" si="6"/>
        <v>2813033</v>
      </c>
      <c r="O14" s="4">
        <f>O6</f>
        <v>2841803</v>
      </c>
      <c r="P14" s="4">
        <f t="shared" ref="P14:Q14" si="7">P6</f>
        <v>2332947</v>
      </c>
      <c r="Q14" s="4">
        <f t="shared" si="7"/>
        <v>2065636</v>
      </c>
      <c r="S14" s="1" t="s">
        <v>520</v>
      </c>
      <c r="T14" s="1" t="s">
        <v>521</v>
      </c>
      <c r="U14" s="1"/>
      <c r="V14" s="4">
        <f t="shared" ref="V14:AE14" si="8">V6</f>
        <v>1396876</v>
      </c>
      <c r="W14" s="4">
        <f t="shared" si="8"/>
        <v>1519055</v>
      </c>
      <c r="X14" s="4">
        <f t="shared" si="8"/>
        <v>1327187</v>
      </c>
      <c r="Y14" s="4">
        <f t="shared" si="8"/>
        <v>1474002</v>
      </c>
      <c r="Z14" s="4">
        <f t="shared" si="8"/>
        <v>1461199</v>
      </c>
      <c r="AA14" s="4">
        <f t="shared" si="8"/>
        <v>1340008</v>
      </c>
      <c r="AB14" s="4">
        <f t="shared" si="8"/>
        <v>1476610</v>
      </c>
      <c r="AC14" s="4">
        <f t="shared" si="8"/>
        <v>1533039</v>
      </c>
      <c r="AD14" s="4">
        <f t="shared" si="8"/>
        <v>1797835</v>
      </c>
      <c r="AE14" s="4">
        <f t="shared" si="8"/>
        <v>1722239</v>
      </c>
      <c r="AF14" s="4">
        <f t="shared" ref="AF14:AH14" si="9">AF6</f>
        <v>1774561</v>
      </c>
      <c r="AG14" s="4">
        <f t="shared" si="9"/>
        <v>1327560</v>
      </c>
      <c r="AH14" s="4">
        <f t="shared" si="9"/>
        <v>947937</v>
      </c>
      <c r="AJ14" s="1" t="s">
        <v>520</v>
      </c>
      <c r="AK14" s="1" t="s">
        <v>521</v>
      </c>
      <c r="AL14" s="1"/>
      <c r="AM14" s="4">
        <f t="shared" ref="AM14:AV14" si="10">AM6</f>
        <v>847745</v>
      </c>
      <c r="AN14" s="4">
        <f t="shared" si="10"/>
        <v>922885</v>
      </c>
      <c r="AO14" s="4">
        <f t="shared" si="10"/>
        <v>805695</v>
      </c>
      <c r="AP14" s="4">
        <f t="shared" si="10"/>
        <v>895110</v>
      </c>
      <c r="AQ14" s="4">
        <f t="shared" si="10"/>
        <v>888306</v>
      </c>
      <c r="AR14" s="4">
        <f t="shared" si="10"/>
        <v>814036</v>
      </c>
      <c r="AS14" s="4">
        <f t="shared" si="10"/>
        <v>896534</v>
      </c>
      <c r="AT14" s="4">
        <f t="shared" si="10"/>
        <v>931340</v>
      </c>
      <c r="AU14" s="4">
        <f t="shared" si="10"/>
        <v>1092792</v>
      </c>
      <c r="AV14" s="4">
        <f t="shared" si="10"/>
        <v>1090794</v>
      </c>
      <c r="AW14" s="4">
        <f t="shared" ref="AW14:AY14" si="11">AW6</f>
        <v>1067242</v>
      </c>
      <c r="AX14" s="4">
        <f t="shared" si="11"/>
        <v>1005387</v>
      </c>
      <c r="AY14" s="4">
        <f t="shared" si="11"/>
        <v>1117699</v>
      </c>
    </row>
    <row r="15" spans="2:51">
      <c r="B15" s="1" t="s">
        <v>535</v>
      </c>
      <c r="C15" s="1" t="s">
        <v>536</v>
      </c>
      <c r="D15" s="1" t="s">
        <v>524</v>
      </c>
      <c r="E15" s="12">
        <f t="shared" ref="E15:N15" si="12">E7</f>
        <v>4.0000000000000002E-4</v>
      </c>
      <c r="F15" s="12">
        <f t="shared" si="12"/>
        <v>4.0000000000000002E-4</v>
      </c>
      <c r="G15" s="12">
        <f t="shared" si="12"/>
        <v>4.0000000000000002E-4</v>
      </c>
      <c r="H15" s="12">
        <f t="shared" si="12"/>
        <v>4.0000000000000002E-4</v>
      </c>
      <c r="I15" s="12">
        <f t="shared" si="12"/>
        <v>4.0000000000000002E-4</v>
      </c>
      <c r="J15" s="12">
        <f t="shared" si="12"/>
        <v>4.0000000000000002E-4</v>
      </c>
      <c r="K15" s="12">
        <f t="shared" si="12"/>
        <v>4.0000000000000002E-4</v>
      </c>
      <c r="L15" s="12">
        <f t="shared" si="12"/>
        <v>4.0000000000000002E-4</v>
      </c>
      <c r="M15" s="12">
        <f t="shared" si="12"/>
        <v>4.0000000000000002E-4</v>
      </c>
      <c r="N15" s="12">
        <f t="shared" si="12"/>
        <v>4.0000000000000002E-4</v>
      </c>
      <c r="O15" s="12">
        <f t="shared" ref="O15:Q15" si="13">O7</f>
        <v>4.0000000000000002E-4</v>
      </c>
      <c r="P15" s="12">
        <f t="shared" si="13"/>
        <v>4.0000000000000002E-4</v>
      </c>
      <c r="Q15" s="12">
        <f t="shared" si="13"/>
        <v>4.0000000000000002E-4</v>
      </c>
      <c r="S15" s="1" t="s">
        <v>535</v>
      </c>
      <c r="T15" s="1" t="s">
        <v>536</v>
      </c>
      <c r="U15" s="1" t="s">
        <v>524</v>
      </c>
      <c r="V15" s="12">
        <f t="shared" ref="V15:AE15" si="14">V7</f>
        <v>4.0000000000000002E-4</v>
      </c>
      <c r="W15" s="12">
        <f t="shared" si="14"/>
        <v>4.0000000000000002E-4</v>
      </c>
      <c r="X15" s="12">
        <f t="shared" si="14"/>
        <v>4.0000000000000002E-4</v>
      </c>
      <c r="Y15" s="12">
        <f t="shared" si="14"/>
        <v>4.0000000000000002E-4</v>
      </c>
      <c r="Z15" s="12">
        <f t="shared" si="14"/>
        <v>4.0000000000000002E-4</v>
      </c>
      <c r="AA15" s="12">
        <f t="shared" si="14"/>
        <v>4.0000000000000002E-4</v>
      </c>
      <c r="AB15" s="12">
        <f t="shared" si="14"/>
        <v>4.0000000000000002E-4</v>
      </c>
      <c r="AC15" s="12">
        <f t="shared" si="14"/>
        <v>4.0000000000000002E-4</v>
      </c>
      <c r="AD15" s="12">
        <f t="shared" si="14"/>
        <v>4.0000000000000002E-4</v>
      </c>
      <c r="AE15" s="12">
        <f t="shared" si="14"/>
        <v>4.0000000000000002E-4</v>
      </c>
      <c r="AF15" s="12">
        <f t="shared" ref="AF15:AH15" si="15">AF7</f>
        <v>4.0000000000000002E-4</v>
      </c>
      <c r="AG15" s="12">
        <f t="shared" si="15"/>
        <v>4.0000000000000002E-4</v>
      </c>
      <c r="AH15" s="12">
        <f t="shared" si="15"/>
        <v>4.0000000000000002E-4</v>
      </c>
      <c r="AJ15" s="1" t="s">
        <v>535</v>
      </c>
      <c r="AK15" s="1" t="s">
        <v>536</v>
      </c>
      <c r="AL15" s="1" t="s">
        <v>524</v>
      </c>
      <c r="AM15" s="12">
        <f t="shared" ref="AM15:AV15" si="16">AM7</f>
        <v>4.0000000000000002E-4</v>
      </c>
      <c r="AN15" s="12">
        <f t="shared" si="16"/>
        <v>4.0000000000000002E-4</v>
      </c>
      <c r="AO15" s="12">
        <f t="shared" si="16"/>
        <v>4.0000000000000002E-4</v>
      </c>
      <c r="AP15" s="12">
        <f t="shared" si="16"/>
        <v>4.0000000000000002E-4</v>
      </c>
      <c r="AQ15" s="12">
        <f t="shared" si="16"/>
        <v>4.0000000000000002E-4</v>
      </c>
      <c r="AR15" s="12">
        <f t="shared" si="16"/>
        <v>4.0000000000000002E-4</v>
      </c>
      <c r="AS15" s="12">
        <f t="shared" si="16"/>
        <v>4.0000000000000002E-4</v>
      </c>
      <c r="AT15" s="12">
        <f t="shared" si="16"/>
        <v>4.0000000000000002E-4</v>
      </c>
      <c r="AU15" s="12">
        <f t="shared" si="16"/>
        <v>4.0000000000000002E-4</v>
      </c>
      <c r="AV15" s="12">
        <f t="shared" si="16"/>
        <v>4.0000000000000002E-4</v>
      </c>
      <c r="AW15" s="12">
        <f t="shared" ref="AW15:AY15" si="17">AW7</f>
        <v>4.0000000000000002E-4</v>
      </c>
      <c r="AX15" s="12">
        <f t="shared" si="17"/>
        <v>4.0000000000000002E-4</v>
      </c>
      <c r="AY15" s="12">
        <f t="shared" si="17"/>
        <v>4.0000000000000002E-4</v>
      </c>
    </row>
    <row r="16" spans="2:51">
      <c r="B16" s="1" t="s">
        <v>537</v>
      </c>
      <c r="C16" s="1" t="s">
        <v>529</v>
      </c>
      <c r="D16" s="1" t="s">
        <v>527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S16" s="1" t="s">
        <v>537</v>
      </c>
      <c r="T16" s="1" t="s">
        <v>529</v>
      </c>
      <c r="U16" s="1" t="s">
        <v>527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J16" s="1" t="s">
        <v>537</v>
      </c>
      <c r="AK16" s="1" t="s">
        <v>529</v>
      </c>
      <c r="AL16" s="1" t="s">
        <v>527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</row>
    <row r="17" spans="2:51">
      <c r="B17" s="1" t="s">
        <v>538</v>
      </c>
      <c r="C17" s="1" t="s">
        <v>539</v>
      </c>
      <c r="D17" s="1" t="s">
        <v>527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S17" s="1" t="s">
        <v>538</v>
      </c>
      <c r="T17" s="1" t="s">
        <v>539</v>
      </c>
      <c r="U17" s="1" t="s">
        <v>527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J17" s="1" t="s">
        <v>538</v>
      </c>
      <c r="AK17" s="1" t="s">
        <v>539</v>
      </c>
      <c r="AL17" s="1" t="s">
        <v>527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</row>
    <row r="18" spans="2:51">
      <c r="B18" s="1" t="s">
        <v>540</v>
      </c>
      <c r="C18" s="1" t="s">
        <v>541</v>
      </c>
      <c r="D18" s="1" t="s">
        <v>532</v>
      </c>
      <c r="E18" s="7">
        <f t="shared" ref="E18:N18" si="18">(1-E13)*E14*E15*(E16+E17)</f>
        <v>0</v>
      </c>
      <c r="F18" s="7">
        <f t="shared" si="18"/>
        <v>0</v>
      </c>
      <c r="G18" s="7">
        <f t="shared" si="18"/>
        <v>0</v>
      </c>
      <c r="H18" s="7">
        <f t="shared" si="18"/>
        <v>0</v>
      </c>
      <c r="I18" s="7">
        <f t="shared" si="18"/>
        <v>0</v>
      </c>
      <c r="J18" s="7">
        <f t="shared" si="18"/>
        <v>0</v>
      </c>
      <c r="K18" s="7">
        <f t="shared" si="18"/>
        <v>0</v>
      </c>
      <c r="L18" s="7">
        <f t="shared" si="18"/>
        <v>0</v>
      </c>
      <c r="M18" s="7">
        <f t="shared" si="18"/>
        <v>0</v>
      </c>
      <c r="N18" s="7">
        <f t="shared" si="18"/>
        <v>0</v>
      </c>
      <c r="O18" s="7">
        <f t="shared" ref="O18:Q18" si="19">(1-O13)*O14*O15*(O16+O17)</f>
        <v>0</v>
      </c>
      <c r="P18" s="7">
        <f t="shared" si="19"/>
        <v>0</v>
      </c>
      <c r="Q18" s="7">
        <f t="shared" si="19"/>
        <v>0</v>
      </c>
      <c r="S18" s="1" t="s">
        <v>540</v>
      </c>
      <c r="T18" s="1" t="s">
        <v>541</v>
      </c>
      <c r="U18" s="1" t="s">
        <v>532</v>
      </c>
      <c r="V18" s="7">
        <f t="shared" ref="V18:AE18" si="20">(1-V13)*V14*V15*(V16+V17)</f>
        <v>0</v>
      </c>
      <c r="W18" s="7">
        <f t="shared" si="20"/>
        <v>0</v>
      </c>
      <c r="X18" s="7">
        <f t="shared" si="20"/>
        <v>0</v>
      </c>
      <c r="Y18" s="7">
        <f t="shared" si="20"/>
        <v>0</v>
      </c>
      <c r="Z18" s="7">
        <f t="shared" si="20"/>
        <v>0</v>
      </c>
      <c r="AA18" s="7">
        <f t="shared" si="20"/>
        <v>0</v>
      </c>
      <c r="AB18" s="7">
        <f t="shared" si="20"/>
        <v>0</v>
      </c>
      <c r="AC18" s="7">
        <f t="shared" si="20"/>
        <v>0</v>
      </c>
      <c r="AD18" s="7">
        <f t="shared" si="20"/>
        <v>0</v>
      </c>
      <c r="AE18" s="7">
        <f t="shared" si="20"/>
        <v>0</v>
      </c>
      <c r="AF18" s="7">
        <f t="shared" ref="AF18:AH18" si="21">(1-AF13)*AF14*AF15*(AF16+AF17)</f>
        <v>0</v>
      </c>
      <c r="AG18" s="7">
        <f t="shared" si="21"/>
        <v>0</v>
      </c>
      <c r="AH18" s="7">
        <f t="shared" si="21"/>
        <v>0</v>
      </c>
      <c r="AJ18" s="1" t="s">
        <v>540</v>
      </c>
      <c r="AK18" s="1" t="s">
        <v>541</v>
      </c>
      <c r="AL18" s="1" t="s">
        <v>532</v>
      </c>
      <c r="AM18" s="7">
        <f t="shared" ref="AM18:AV18" si="22">(1-AM13)*AM14*AM15*(AM16+AM17)</f>
        <v>0</v>
      </c>
      <c r="AN18" s="7">
        <f t="shared" si="22"/>
        <v>0</v>
      </c>
      <c r="AO18" s="7">
        <f t="shared" si="22"/>
        <v>0</v>
      </c>
      <c r="AP18" s="7">
        <f t="shared" si="22"/>
        <v>0</v>
      </c>
      <c r="AQ18" s="7">
        <f t="shared" si="22"/>
        <v>0</v>
      </c>
      <c r="AR18" s="7">
        <f t="shared" si="22"/>
        <v>0</v>
      </c>
      <c r="AS18" s="7">
        <f t="shared" si="22"/>
        <v>0</v>
      </c>
      <c r="AT18" s="7">
        <f t="shared" si="22"/>
        <v>0</v>
      </c>
      <c r="AU18" s="7">
        <f t="shared" si="22"/>
        <v>0</v>
      </c>
      <c r="AV18" s="7">
        <f t="shared" si="22"/>
        <v>0</v>
      </c>
      <c r="AW18" s="7">
        <f t="shared" ref="AW18:AY18" si="23">(1-AW13)*AW14*AW15*(AW16+AW17)</f>
        <v>0</v>
      </c>
      <c r="AX18" s="7">
        <f t="shared" si="23"/>
        <v>0</v>
      </c>
      <c r="AY18" s="7">
        <f t="shared" si="23"/>
        <v>0</v>
      </c>
    </row>
    <row r="20" spans="2:51">
      <c r="B20" s="248" t="s">
        <v>542</v>
      </c>
      <c r="C20" s="249"/>
      <c r="D20" s="24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60"/>
      <c r="S20" s="248" t="s">
        <v>542</v>
      </c>
      <c r="T20" s="249"/>
      <c r="U20" s="24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60"/>
      <c r="AJ20" s="248" t="s">
        <v>542</v>
      </c>
      <c r="AK20" s="249"/>
      <c r="AL20" s="24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60"/>
    </row>
    <row r="21" spans="2:51">
      <c r="B21" s="203" t="s">
        <v>543</v>
      </c>
      <c r="C21" s="202" t="s">
        <v>543</v>
      </c>
      <c r="D21" s="202" t="s">
        <v>544</v>
      </c>
      <c r="E21" s="204">
        <v>0.95</v>
      </c>
      <c r="F21" s="204">
        <v>0.95</v>
      </c>
      <c r="G21" s="204">
        <v>0.95</v>
      </c>
      <c r="H21" s="204">
        <v>0.95</v>
      </c>
      <c r="I21" s="204">
        <v>0.95</v>
      </c>
      <c r="J21" s="204">
        <v>0.95</v>
      </c>
      <c r="K21" s="204">
        <v>0.95</v>
      </c>
      <c r="L21" s="204">
        <v>0.95</v>
      </c>
      <c r="M21" s="204">
        <v>0.95</v>
      </c>
      <c r="N21" s="204">
        <v>0.95</v>
      </c>
      <c r="O21" s="204">
        <v>0.95</v>
      </c>
      <c r="P21" s="204">
        <v>0.95</v>
      </c>
      <c r="Q21" s="204">
        <v>0.95</v>
      </c>
      <c r="S21" s="203" t="s">
        <v>543</v>
      </c>
      <c r="T21" s="202" t="s">
        <v>543</v>
      </c>
      <c r="U21" s="202" t="s">
        <v>544</v>
      </c>
      <c r="V21" s="204">
        <v>0.95</v>
      </c>
      <c r="W21" s="204">
        <v>0.95</v>
      </c>
      <c r="X21" s="204">
        <v>0.95</v>
      </c>
      <c r="Y21" s="204">
        <v>0.95</v>
      </c>
      <c r="Z21" s="204">
        <v>0.95</v>
      </c>
      <c r="AA21" s="204">
        <v>0.95</v>
      </c>
      <c r="AB21" s="204">
        <v>0.95</v>
      </c>
      <c r="AC21" s="204">
        <v>0.95</v>
      </c>
      <c r="AD21" s="204">
        <v>0.95</v>
      </c>
      <c r="AE21" s="204">
        <v>0.95</v>
      </c>
      <c r="AF21" s="204">
        <v>0.95</v>
      </c>
      <c r="AG21" s="204">
        <v>0.95</v>
      </c>
      <c r="AH21" s="204">
        <v>0.95</v>
      </c>
      <c r="AJ21" s="203" t="s">
        <v>543</v>
      </c>
      <c r="AK21" s="202" t="s">
        <v>543</v>
      </c>
      <c r="AL21" s="202" t="s">
        <v>544</v>
      </c>
      <c r="AM21" s="204">
        <v>0.95</v>
      </c>
      <c r="AN21" s="204">
        <v>0.95</v>
      </c>
      <c r="AO21" s="204">
        <v>0.95</v>
      </c>
      <c r="AP21" s="204">
        <v>0.95</v>
      </c>
      <c r="AQ21" s="204">
        <v>0.95</v>
      </c>
      <c r="AR21" s="204">
        <v>0.95</v>
      </c>
      <c r="AS21" s="204">
        <v>0.95</v>
      </c>
      <c r="AT21" s="204">
        <v>0.95</v>
      </c>
      <c r="AU21" s="204">
        <v>0.95</v>
      </c>
      <c r="AV21" s="204">
        <v>0.95</v>
      </c>
      <c r="AW21" s="204">
        <v>0.95</v>
      </c>
      <c r="AX21" s="204">
        <v>0.95</v>
      </c>
      <c r="AY21" s="204">
        <v>0.95</v>
      </c>
    </row>
    <row r="22" spans="2:51">
      <c r="B22" s="1" t="s">
        <v>545</v>
      </c>
      <c r="C22" s="1" t="s">
        <v>546</v>
      </c>
      <c r="D22" s="1" t="s">
        <v>547</v>
      </c>
      <c r="E22" s="1">
        <v>112</v>
      </c>
      <c r="F22" s="1">
        <v>112</v>
      </c>
      <c r="G22" s="1">
        <v>112</v>
      </c>
      <c r="H22" s="1">
        <v>112</v>
      </c>
      <c r="I22" s="1">
        <v>112</v>
      </c>
      <c r="J22" s="1">
        <v>112</v>
      </c>
      <c r="K22" s="1">
        <v>112</v>
      </c>
      <c r="L22" s="1">
        <v>112</v>
      </c>
      <c r="M22" s="1">
        <v>112</v>
      </c>
      <c r="N22" s="1">
        <v>112</v>
      </c>
      <c r="O22" s="1">
        <v>112</v>
      </c>
      <c r="P22" s="1">
        <v>112</v>
      </c>
      <c r="Q22" s="1">
        <v>112</v>
      </c>
      <c r="S22" s="1" t="s">
        <v>545</v>
      </c>
      <c r="T22" s="1" t="s">
        <v>546</v>
      </c>
      <c r="U22" s="1" t="s">
        <v>547</v>
      </c>
      <c r="V22" s="1">
        <v>112</v>
      </c>
      <c r="W22" s="1">
        <v>112</v>
      </c>
      <c r="X22" s="1">
        <v>112</v>
      </c>
      <c r="Y22" s="1">
        <v>112</v>
      </c>
      <c r="Z22" s="1">
        <v>112</v>
      </c>
      <c r="AA22" s="1">
        <v>112</v>
      </c>
      <c r="AB22" s="1">
        <v>112</v>
      </c>
      <c r="AC22" s="1">
        <v>112</v>
      </c>
      <c r="AD22" s="1">
        <v>112</v>
      </c>
      <c r="AE22" s="1">
        <v>112</v>
      </c>
      <c r="AF22" s="1">
        <v>112</v>
      </c>
      <c r="AG22" s="1">
        <v>112</v>
      </c>
      <c r="AH22" s="1">
        <v>112</v>
      </c>
      <c r="AJ22" s="1" t="s">
        <v>545</v>
      </c>
      <c r="AK22" s="1" t="s">
        <v>546</v>
      </c>
      <c r="AL22" s="1" t="s">
        <v>547</v>
      </c>
      <c r="AM22" s="1">
        <v>112</v>
      </c>
      <c r="AN22" s="1">
        <v>112</v>
      </c>
      <c r="AO22" s="1">
        <v>112</v>
      </c>
      <c r="AP22" s="1">
        <v>112</v>
      </c>
      <c r="AQ22" s="1">
        <v>112</v>
      </c>
      <c r="AR22" s="1">
        <v>112</v>
      </c>
      <c r="AS22" s="1">
        <v>112</v>
      </c>
      <c r="AT22" s="1">
        <v>112</v>
      </c>
      <c r="AU22" s="1">
        <v>112</v>
      </c>
      <c r="AV22" s="1">
        <v>112</v>
      </c>
      <c r="AW22" s="1">
        <v>112</v>
      </c>
      <c r="AX22" s="1">
        <v>112</v>
      </c>
      <c r="AY22" s="1">
        <v>112</v>
      </c>
    </row>
    <row r="23" spans="2:51">
      <c r="B23" s="1" t="s">
        <v>548</v>
      </c>
      <c r="C23" s="1" t="s">
        <v>549</v>
      </c>
      <c r="D23" s="1" t="s">
        <v>550</v>
      </c>
      <c r="E23" s="161">
        <f t="shared" ref="E23:O23" si="24">(V23*V6+AM23*AM6)/E6</f>
        <v>9.4600000000000009</v>
      </c>
      <c r="F23" s="161">
        <f t="shared" si="24"/>
        <v>9.4600000000000009</v>
      </c>
      <c r="G23" s="161">
        <f t="shared" si="24"/>
        <v>9.4600000000000009</v>
      </c>
      <c r="H23" s="161">
        <f t="shared" si="24"/>
        <v>9.4600000000000009</v>
      </c>
      <c r="I23" s="161">
        <f t="shared" si="24"/>
        <v>9.4600000000000026</v>
      </c>
      <c r="J23" s="161">
        <f t="shared" si="24"/>
        <v>9.4600000000000009</v>
      </c>
      <c r="K23" s="161">
        <f t="shared" si="24"/>
        <v>9.4600000000000009</v>
      </c>
      <c r="L23" s="161">
        <f t="shared" si="24"/>
        <v>9.4600000000000009</v>
      </c>
      <c r="M23" s="161">
        <f t="shared" si="24"/>
        <v>9.4600000000000009</v>
      </c>
      <c r="N23" s="161">
        <f t="shared" si="24"/>
        <v>9.4599999999999991</v>
      </c>
      <c r="O23" s="161">
        <f t="shared" si="24"/>
        <v>9.4600000000000009</v>
      </c>
      <c r="P23" s="161">
        <f t="shared" ref="P23:Q23" si="25">(AG23*AG6+AX23*AX6)/P6</f>
        <v>9.4600000000000026</v>
      </c>
      <c r="Q23" s="161">
        <f t="shared" si="25"/>
        <v>9.4600000000000009</v>
      </c>
      <c r="S23" s="1" t="s">
        <v>548</v>
      </c>
      <c r="T23" s="1" t="s">
        <v>549</v>
      </c>
      <c r="U23" s="1" t="s">
        <v>550</v>
      </c>
      <c r="V23" s="1">
        <f t="shared" ref="V23:AH23" si="26">9.46</f>
        <v>9.4600000000000009</v>
      </c>
      <c r="W23" s="1">
        <f t="shared" si="26"/>
        <v>9.4600000000000009</v>
      </c>
      <c r="X23" s="1">
        <f t="shared" si="26"/>
        <v>9.4600000000000009</v>
      </c>
      <c r="Y23" s="1">
        <f t="shared" si="26"/>
        <v>9.4600000000000009</v>
      </c>
      <c r="Z23" s="1">
        <f t="shared" si="26"/>
        <v>9.4600000000000009</v>
      </c>
      <c r="AA23" s="1">
        <f t="shared" si="26"/>
        <v>9.4600000000000009</v>
      </c>
      <c r="AB23" s="1">
        <f t="shared" si="26"/>
        <v>9.4600000000000009</v>
      </c>
      <c r="AC23" s="1">
        <f t="shared" si="26"/>
        <v>9.4600000000000009</v>
      </c>
      <c r="AD23" s="1">
        <f t="shared" si="26"/>
        <v>9.4600000000000009</v>
      </c>
      <c r="AE23" s="1">
        <f t="shared" si="26"/>
        <v>9.4600000000000009</v>
      </c>
      <c r="AF23" s="1">
        <f t="shared" si="26"/>
        <v>9.4600000000000009</v>
      </c>
      <c r="AG23" s="1">
        <f t="shared" si="26"/>
        <v>9.4600000000000009</v>
      </c>
      <c r="AH23" s="1">
        <f t="shared" si="26"/>
        <v>9.4600000000000009</v>
      </c>
      <c r="AJ23" s="1" t="s">
        <v>548</v>
      </c>
      <c r="AK23" s="1" t="s">
        <v>549</v>
      </c>
      <c r="AL23" s="1" t="s">
        <v>550</v>
      </c>
      <c r="AM23" s="1">
        <f t="shared" ref="AM23:AY23" si="27">9.46</f>
        <v>9.4600000000000009</v>
      </c>
      <c r="AN23" s="1">
        <f t="shared" si="27"/>
        <v>9.4600000000000009</v>
      </c>
      <c r="AO23" s="1">
        <f t="shared" si="27"/>
        <v>9.4600000000000009</v>
      </c>
      <c r="AP23" s="1">
        <f t="shared" si="27"/>
        <v>9.4600000000000009</v>
      </c>
      <c r="AQ23" s="1">
        <f t="shared" si="27"/>
        <v>9.4600000000000009</v>
      </c>
      <c r="AR23" s="1">
        <f t="shared" si="27"/>
        <v>9.4600000000000009</v>
      </c>
      <c r="AS23" s="1">
        <f t="shared" si="27"/>
        <v>9.4600000000000009</v>
      </c>
      <c r="AT23" s="1">
        <f t="shared" si="27"/>
        <v>9.4600000000000009</v>
      </c>
      <c r="AU23" s="1">
        <f t="shared" si="27"/>
        <v>9.4600000000000009</v>
      </c>
      <c r="AV23" s="1">
        <f t="shared" si="27"/>
        <v>9.4600000000000009</v>
      </c>
      <c r="AW23" s="1">
        <f t="shared" si="27"/>
        <v>9.4600000000000009</v>
      </c>
      <c r="AX23" s="1">
        <f t="shared" si="27"/>
        <v>9.4600000000000009</v>
      </c>
      <c r="AY23" s="1">
        <f t="shared" si="27"/>
        <v>9.4600000000000009</v>
      </c>
    </row>
    <row r="24" spans="2:51">
      <c r="B24" s="1" t="s">
        <v>551</v>
      </c>
      <c r="C24" s="1" t="s">
        <v>552</v>
      </c>
      <c r="D24" s="1" t="s">
        <v>553</v>
      </c>
      <c r="E24" s="1">
        <f t="shared" ref="E24:Q24" si="28">0.0156</f>
        <v>1.5599999999999999E-2</v>
      </c>
      <c r="F24" s="1">
        <f t="shared" si="28"/>
        <v>1.5599999999999999E-2</v>
      </c>
      <c r="G24" s="1">
        <f t="shared" si="28"/>
        <v>1.5599999999999999E-2</v>
      </c>
      <c r="H24" s="1">
        <f t="shared" si="28"/>
        <v>1.5599999999999999E-2</v>
      </c>
      <c r="I24" s="1">
        <f t="shared" si="28"/>
        <v>1.5599999999999999E-2</v>
      </c>
      <c r="J24" s="1">
        <f t="shared" si="28"/>
        <v>1.5599999999999999E-2</v>
      </c>
      <c r="K24" s="1">
        <f t="shared" si="28"/>
        <v>1.5599999999999999E-2</v>
      </c>
      <c r="L24" s="1">
        <f t="shared" si="28"/>
        <v>1.5599999999999999E-2</v>
      </c>
      <c r="M24" s="1">
        <f t="shared" si="28"/>
        <v>1.5599999999999999E-2</v>
      </c>
      <c r="N24" s="1">
        <f t="shared" si="28"/>
        <v>1.5599999999999999E-2</v>
      </c>
      <c r="O24" s="1">
        <f t="shared" si="28"/>
        <v>1.5599999999999999E-2</v>
      </c>
      <c r="P24" s="1">
        <f t="shared" si="28"/>
        <v>1.5599999999999999E-2</v>
      </c>
      <c r="Q24" s="1">
        <f t="shared" si="28"/>
        <v>1.5599999999999999E-2</v>
      </c>
      <c r="S24" s="1" t="s">
        <v>551</v>
      </c>
      <c r="T24" s="1" t="s">
        <v>552</v>
      </c>
      <c r="U24" s="1" t="s">
        <v>553</v>
      </c>
      <c r="V24" s="1">
        <f t="shared" ref="V24:AH24" si="29">0.0156</f>
        <v>1.5599999999999999E-2</v>
      </c>
      <c r="W24" s="1">
        <f t="shared" si="29"/>
        <v>1.5599999999999999E-2</v>
      </c>
      <c r="X24" s="1">
        <f t="shared" si="29"/>
        <v>1.5599999999999999E-2</v>
      </c>
      <c r="Y24" s="1">
        <f t="shared" si="29"/>
        <v>1.5599999999999999E-2</v>
      </c>
      <c r="Z24" s="1">
        <f t="shared" si="29"/>
        <v>1.5599999999999999E-2</v>
      </c>
      <c r="AA24" s="1">
        <f t="shared" si="29"/>
        <v>1.5599999999999999E-2</v>
      </c>
      <c r="AB24" s="1">
        <f t="shared" si="29"/>
        <v>1.5599999999999999E-2</v>
      </c>
      <c r="AC24" s="1">
        <f t="shared" si="29"/>
        <v>1.5599999999999999E-2</v>
      </c>
      <c r="AD24" s="1">
        <f t="shared" si="29"/>
        <v>1.5599999999999999E-2</v>
      </c>
      <c r="AE24" s="1">
        <f t="shared" si="29"/>
        <v>1.5599999999999999E-2</v>
      </c>
      <c r="AF24" s="1">
        <f t="shared" si="29"/>
        <v>1.5599999999999999E-2</v>
      </c>
      <c r="AG24" s="1">
        <f t="shared" si="29"/>
        <v>1.5599999999999999E-2</v>
      </c>
      <c r="AH24" s="1">
        <f t="shared" si="29"/>
        <v>1.5599999999999999E-2</v>
      </c>
      <c r="AJ24" s="1" t="s">
        <v>551</v>
      </c>
      <c r="AK24" s="1" t="s">
        <v>552</v>
      </c>
      <c r="AL24" s="1" t="s">
        <v>553</v>
      </c>
      <c r="AM24" s="1">
        <f t="shared" ref="AM24:AY24" si="30">0.0156</f>
        <v>1.5599999999999999E-2</v>
      </c>
      <c r="AN24" s="1">
        <f t="shared" si="30"/>
        <v>1.5599999999999999E-2</v>
      </c>
      <c r="AO24" s="1">
        <f t="shared" si="30"/>
        <v>1.5599999999999999E-2</v>
      </c>
      <c r="AP24" s="1">
        <f t="shared" si="30"/>
        <v>1.5599999999999999E-2</v>
      </c>
      <c r="AQ24" s="1">
        <f t="shared" si="30"/>
        <v>1.5599999999999999E-2</v>
      </c>
      <c r="AR24" s="1">
        <f t="shared" si="30"/>
        <v>1.5599999999999999E-2</v>
      </c>
      <c r="AS24" s="1">
        <f t="shared" si="30"/>
        <v>1.5599999999999999E-2</v>
      </c>
      <c r="AT24" s="1">
        <f t="shared" si="30"/>
        <v>1.5599999999999999E-2</v>
      </c>
      <c r="AU24" s="1">
        <f t="shared" si="30"/>
        <v>1.5599999999999999E-2</v>
      </c>
      <c r="AV24" s="1">
        <f t="shared" si="30"/>
        <v>1.5599999999999999E-2</v>
      </c>
      <c r="AW24" s="1">
        <f t="shared" si="30"/>
        <v>1.5599999999999999E-2</v>
      </c>
      <c r="AX24" s="1">
        <f t="shared" si="30"/>
        <v>1.5599999999999999E-2</v>
      </c>
      <c r="AY24" s="1">
        <f t="shared" si="30"/>
        <v>1.5599999999999999E-2</v>
      </c>
    </row>
    <row r="26" spans="2:51">
      <c r="B26" s="248" t="s">
        <v>554</v>
      </c>
      <c r="C26" s="249"/>
      <c r="D26" s="24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60"/>
      <c r="S26" s="248" t="s">
        <v>554</v>
      </c>
      <c r="T26" s="249"/>
      <c r="U26" s="24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60"/>
      <c r="AJ26" s="248" t="s">
        <v>554</v>
      </c>
      <c r="AK26" s="249"/>
      <c r="AL26" s="24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60"/>
    </row>
    <row r="27" spans="2:51">
      <c r="B27" s="202" t="s">
        <v>555</v>
      </c>
      <c r="C27" s="202" t="s">
        <v>556</v>
      </c>
      <c r="D27" s="202" t="s">
        <v>557</v>
      </c>
      <c r="E27" s="205">
        <f t="shared" ref="E27:N27" si="31">E10*((E22*E21)+E23)*E24</f>
        <v>18511.439482631045</v>
      </c>
      <c r="F27" s="205">
        <f t="shared" si="31"/>
        <v>20138.733679412275</v>
      </c>
      <c r="G27" s="205">
        <f t="shared" si="31"/>
        <v>17589.925455831104</v>
      </c>
      <c r="H27" s="205">
        <f t="shared" si="31"/>
        <v>19538.11953803114</v>
      </c>
      <c r="I27" s="205">
        <f t="shared" si="31"/>
        <v>19376.420171440554</v>
      </c>
      <c r="J27" s="205">
        <f t="shared" si="31"/>
        <v>17764.44894212631</v>
      </c>
      <c r="K27" s="205">
        <f t="shared" si="31"/>
        <v>19571.371532017645</v>
      </c>
      <c r="L27" s="205">
        <f t="shared" si="31"/>
        <v>20323.788613207671</v>
      </c>
      <c r="M27" s="205">
        <f t="shared" si="31"/>
        <v>23839.065382244633</v>
      </c>
      <c r="N27" s="205">
        <f t="shared" si="31"/>
        <v>23199.145932495536</v>
      </c>
      <c r="O27" s="205">
        <f t="shared" ref="O27:Q27" si="32">O10*((O22*O21)+O23)*O24</f>
        <v>23436.412764586694</v>
      </c>
      <c r="P27" s="205">
        <f t="shared" si="32"/>
        <v>19239.865975897781</v>
      </c>
      <c r="Q27" s="205">
        <f t="shared" si="32"/>
        <v>17035.346193029498</v>
      </c>
      <c r="S27" s="202" t="s">
        <v>555</v>
      </c>
      <c r="T27" s="202" t="s">
        <v>556</v>
      </c>
      <c r="U27" s="202" t="s">
        <v>557</v>
      </c>
      <c r="V27" s="205">
        <f t="shared" ref="V27:AE27" si="33">V10*((V22*V21)+V23)*V24</f>
        <v>11520.067547590315</v>
      </c>
      <c r="W27" s="205">
        <f t="shared" si="33"/>
        <v>12527.680487391013</v>
      </c>
      <c r="X27" s="205">
        <f t="shared" si="33"/>
        <v>10945.340809265639</v>
      </c>
      <c r="Y27" s="205">
        <f t="shared" si="33"/>
        <v>12156.127390894555</v>
      </c>
      <c r="Z27" s="205">
        <f t="shared" si="33"/>
        <v>12050.540764156178</v>
      </c>
      <c r="AA27" s="205">
        <f t="shared" si="33"/>
        <v>11051.075882405743</v>
      </c>
      <c r="AB27" s="205">
        <f t="shared" si="33"/>
        <v>12177.635625100107</v>
      </c>
      <c r="AC27" s="205">
        <f t="shared" si="33"/>
        <v>12643.006847487042</v>
      </c>
      <c r="AD27" s="205">
        <f t="shared" si="33"/>
        <v>14826.785369225356</v>
      </c>
      <c r="AE27" s="205">
        <f t="shared" si="33"/>
        <v>14203.343470067783</v>
      </c>
      <c r="AF27" s="205">
        <f t="shared" ref="AF27:AH27" si="34">AF10*((AF22*AF21)+AF23)*AF24</f>
        <v>14634.844171794361</v>
      </c>
      <c r="AG27" s="205">
        <f t="shared" si="34"/>
        <v>10948.416948590284</v>
      </c>
      <c r="AH27" s="205">
        <f t="shared" si="34"/>
        <v>7817.6575951338</v>
      </c>
      <c r="AJ27" s="202" t="s">
        <v>555</v>
      </c>
      <c r="AK27" s="202" t="s">
        <v>556</v>
      </c>
      <c r="AL27" s="202" t="s">
        <v>557</v>
      </c>
      <c r="AM27" s="205">
        <f t="shared" ref="AM27:AV27" si="35">AM10*((AM22*AM21)+AM23)*AM24</f>
        <v>6991.3719350407282</v>
      </c>
      <c r="AN27" s="205">
        <f t="shared" si="35"/>
        <v>7611.0531920212588</v>
      </c>
      <c r="AO27" s="205">
        <f t="shared" si="35"/>
        <v>6644.5846465654649</v>
      </c>
      <c r="AP27" s="205">
        <f t="shared" si="35"/>
        <v>7381.9921471365869</v>
      </c>
      <c r="AQ27" s="205">
        <f t="shared" si="35"/>
        <v>7325.8794072843721</v>
      </c>
      <c r="AR27" s="205">
        <f t="shared" si="35"/>
        <v>6713.3730597205704</v>
      </c>
      <c r="AS27" s="205">
        <f t="shared" si="35"/>
        <v>7393.7359069175336</v>
      </c>
      <c r="AT27" s="205">
        <f t="shared" si="35"/>
        <v>7680.7817657206269</v>
      </c>
      <c r="AU27" s="205">
        <f t="shared" si="35"/>
        <v>9012.2800130192772</v>
      </c>
      <c r="AV27" s="205">
        <f t="shared" si="35"/>
        <v>8995.8024624277532</v>
      </c>
      <c r="AW27" s="205">
        <f t="shared" ref="AW27:AY27" si="36">AW10*((AW22*AW21)+AW23)*AW24</f>
        <v>8801.568592792335</v>
      </c>
      <c r="AX27" s="205">
        <f t="shared" si="36"/>
        <v>8291.4490273074971</v>
      </c>
      <c r="AY27" s="205">
        <f t="shared" si="36"/>
        <v>9217.688597895698</v>
      </c>
    </row>
    <row r="28" spans="2:51">
      <c r="B28" s="1" t="s">
        <v>558</v>
      </c>
      <c r="C28" s="1" t="s">
        <v>559</v>
      </c>
      <c r="D28" s="1" t="s">
        <v>557</v>
      </c>
      <c r="E28" s="4">
        <f t="shared" ref="E28:N28" si="37">E18*((E22*E21)+E23)*E24</f>
        <v>0</v>
      </c>
      <c r="F28" s="4">
        <f t="shared" si="37"/>
        <v>0</v>
      </c>
      <c r="G28" s="4">
        <f t="shared" si="37"/>
        <v>0</v>
      </c>
      <c r="H28" s="4">
        <f t="shared" si="37"/>
        <v>0</v>
      </c>
      <c r="I28" s="4">
        <f t="shared" si="37"/>
        <v>0</v>
      </c>
      <c r="J28" s="4">
        <f t="shared" si="37"/>
        <v>0</v>
      </c>
      <c r="K28" s="4">
        <f t="shared" si="37"/>
        <v>0</v>
      </c>
      <c r="L28" s="4">
        <f t="shared" si="37"/>
        <v>0</v>
      </c>
      <c r="M28" s="4">
        <f t="shared" si="37"/>
        <v>0</v>
      </c>
      <c r="N28" s="4">
        <f t="shared" si="37"/>
        <v>0</v>
      </c>
      <c r="O28" s="4">
        <f t="shared" ref="O28:Q28" si="38">O18*((O22*O21)+O23)*O24</f>
        <v>0</v>
      </c>
      <c r="P28" s="4">
        <f t="shared" si="38"/>
        <v>0</v>
      </c>
      <c r="Q28" s="4">
        <f t="shared" si="38"/>
        <v>0</v>
      </c>
      <c r="S28" s="1" t="s">
        <v>558</v>
      </c>
      <c r="T28" s="1" t="s">
        <v>559</v>
      </c>
      <c r="U28" s="1" t="s">
        <v>557</v>
      </c>
      <c r="V28" s="4">
        <f t="shared" ref="V28:AE28" si="39">V18*((V22*V21)+V23)*V24</f>
        <v>0</v>
      </c>
      <c r="W28" s="4">
        <f t="shared" si="39"/>
        <v>0</v>
      </c>
      <c r="X28" s="4">
        <f t="shared" si="39"/>
        <v>0</v>
      </c>
      <c r="Y28" s="4">
        <f t="shared" si="39"/>
        <v>0</v>
      </c>
      <c r="Z28" s="4">
        <f t="shared" si="39"/>
        <v>0</v>
      </c>
      <c r="AA28" s="4">
        <f t="shared" si="39"/>
        <v>0</v>
      </c>
      <c r="AB28" s="4">
        <f t="shared" si="39"/>
        <v>0</v>
      </c>
      <c r="AC28" s="4">
        <f t="shared" si="39"/>
        <v>0</v>
      </c>
      <c r="AD28" s="4">
        <f t="shared" si="39"/>
        <v>0</v>
      </c>
      <c r="AE28" s="4">
        <f t="shared" si="39"/>
        <v>0</v>
      </c>
      <c r="AF28" s="4">
        <f t="shared" ref="AF28:AH28" si="40">AF18*((AF22*AF21)+AF23)*AF24</f>
        <v>0</v>
      </c>
      <c r="AG28" s="4">
        <f t="shared" si="40"/>
        <v>0</v>
      </c>
      <c r="AH28" s="4">
        <f t="shared" si="40"/>
        <v>0</v>
      </c>
      <c r="AJ28" s="1" t="s">
        <v>558</v>
      </c>
      <c r="AK28" s="1" t="s">
        <v>559</v>
      </c>
      <c r="AL28" s="1" t="s">
        <v>557</v>
      </c>
      <c r="AM28" s="4">
        <f t="shared" ref="AM28:AV28" si="41">AM18*((AM22*AM21)+AM23)*AM24</f>
        <v>0</v>
      </c>
      <c r="AN28" s="4">
        <f t="shared" si="41"/>
        <v>0</v>
      </c>
      <c r="AO28" s="4">
        <f t="shared" si="41"/>
        <v>0</v>
      </c>
      <c r="AP28" s="4">
        <f t="shared" si="41"/>
        <v>0</v>
      </c>
      <c r="AQ28" s="4">
        <f t="shared" si="41"/>
        <v>0</v>
      </c>
      <c r="AR28" s="4">
        <f t="shared" si="41"/>
        <v>0</v>
      </c>
      <c r="AS28" s="4">
        <f t="shared" si="41"/>
        <v>0</v>
      </c>
      <c r="AT28" s="4">
        <f t="shared" si="41"/>
        <v>0</v>
      </c>
      <c r="AU28" s="4">
        <f t="shared" si="41"/>
        <v>0</v>
      </c>
      <c r="AV28" s="4">
        <f t="shared" si="41"/>
        <v>0</v>
      </c>
      <c r="AW28" s="4">
        <f t="shared" ref="AW28:AY28" si="42">AW18*((AW22*AW21)+AW23)*AW24</f>
        <v>0</v>
      </c>
      <c r="AX28" s="4">
        <f t="shared" si="42"/>
        <v>0</v>
      </c>
      <c r="AY28" s="4">
        <f t="shared" si="42"/>
        <v>0</v>
      </c>
    </row>
    <row r="29" spans="2:51">
      <c r="B29" s="1" t="s">
        <v>560</v>
      </c>
      <c r="C29" s="1" t="s">
        <v>561</v>
      </c>
      <c r="D29" s="1" t="s">
        <v>519</v>
      </c>
      <c r="E29" s="1">
        <v>0.9869</v>
      </c>
      <c r="F29" s="1">
        <v>0.9869</v>
      </c>
      <c r="G29" s="1">
        <v>0.9869</v>
      </c>
      <c r="H29" s="1">
        <v>0.9869</v>
      </c>
      <c r="I29" s="1">
        <v>0.9869</v>
      </c>
      <c r="J29" s="1">
        <v>0.9869</v>
      </c>
      <c r="K29" s="1">
        <v>0.9869</v>
      </c>
      <c r="L29" s="1">
        <v>0.9869</v>
      </c>
      <c r="M29" s="1">
        <v>0.9869</v>
      </c>
      <c r="N29" s="1">
        <v>0.9869</v>
      </c>
      <c r="O29" s="1">
        <v>0.9869</v>
      </c>
      <c r="P29" s="1">
        <v>0.9869</v>
      </c>
      <c r="Q29" s="1">
        <v>0.9869</v>
      </c>
      <c r="S29" s="1" t="s">
        <v>560</v>
      </c>
      <c r="T29" s="1" t="s">
        <v>561</v>
      </c>
      <c r="U29" s="1" t="s">
        <v>519</v>
      </c>
      <c r="V29" s="1">
        <v>0.9869</v>
      </c>
      <c r="W29" s="1">
        <v>0.9869</v>
      </c>
      <c r="X29" s="1">
        <v>0.9869</v>
      </c>
      <c r="Y29" s="1">
        <v>0.9869</v>
      </c>
      <c r="Z29" s="1">
        <v>0.9869</v>
      </c>
      <c r="AA29" s="1">
        <v>0.9869</v>
      </c>
      <c r="AB29" s="1">
        <v>0.9869</v>
      </c>
      <c r="AC29" s="1">
        <v>0.9869</v>
      </c>
      <c r="AD29" s="1">
        <v>0.9869</v>
      </c>
      <c r="AE29" s="1">
        <v>0.9869</v>
      </c>
      <c r="AF29" s="1">
        <v>0.9869</v>
      </c>
      <c r="AG29" s="1">
        <v>0.9869</v>
      </c>
      <c r="AH29" s="1">
        <v>0.9869</v>
      </c>
      <c r="AJ29" s="1" t="s">
        <v>560</v>
      </c>
      <c r="AK29" s="1" t="s">
        <v>561</v>
      </c>
      <c r="AL29" s="1" t="s">
        <v>519</v>
      </c>
      <c r="AM29" s="1">
        <v>0.9869</v>
      </c>
      <c r="AN29" s="1">
        <v>0.9869</v>
      </c>
      <c r="AO29" s="1">
        <v>0.9869</v>
      </c>
      <c r="AP29" s="1">
        <v>0.9869</v>
      </c>
      <c r="AQ29" s="1">
        <v>0.9869</v>
      </c>
      <c r="AR29" s="1">
        <v>0.9869</v>
      </c>
      <c r="AS29" s="1">
        <v>0.9869</v>
      </c>
      <c r="AT29" s="1">
        <v>0.9869</v>
      </c>
      <c r="AU29" s="1">
        <v>0.9869</v>
      </c>
      <c r="AV29" s="1">
        <v>0.9869</v>
      </c>
      <c r="AW29" s="1">
        <v>0.9869</v>
      </c>
      <c r="AX29" s="1">
        <v>0.9869</v>
      </c>
      <c r="AY29" s="1">
        <v>0.9869</v>
      </c>
    </row>
    <row r="30" spans="2:51">
      <c r="B30" s="1" t="s">
        <v>562</v>
      </c>
      <c r="C30" s="1" t="s">
        <v>563</v>
      </c>
      <c r="D30" s="1" t="s">
        <v>557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S30" s="1" t="s">
        <v>562</v>
      </c>
      <c r="T30" s="1" t="s">
        <v>563</v>
      </c>
      <c r="U30" s="1" t="s">
        <v>557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J30" s="1" t="s">
        <v>562</v>
      </c>
      <c r="AK30" s="1" t="s">
        <v>563</v>
      </c>
      <c r="AL30" s="1" t="s">
        <v>557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</row>
    <row r="31" spans="2:51">
      <c r="B31" s="1" t="s">
        <v>564</v>
      </c>
      <c r="C31" s="1" t="s">
        <v>565</v>
      </c>
      <c r="D31" s="1" t="s">
        <v>557</v>
      </c>
      <c r="E31" s="4">
        <f t="shared" ref="E31:N31" si="43">((E27-E28)*E29)-E30</f>
        <v>18268.93962540858</v>
      </c>
      <c r="F31" s="4">
        <f t="shared" si="43"/>
        <v>19874.916268211975</v>
      </c>
      <c r="G31" s="4">
        <f t="shared" si="43"/>
        <v>17359.497432359716</v>
      </c>
      <c r="H31" s="4">
        <f t="shared" si="43"/>
        <v>19282.170172082933</v>
      </c>
      <c r="I31" s="4">
        <f t="shared" si="43"/>
        <v>19122.589067194684</v>
      </c>
      <c r="J31" s="4">
        <f t="shared" si="43"/>
        <v>17531.734660984454</v>
      </c>
      <c r="K31" s="4">
        <f t="shared" si="43"/>
        <v>19314.986564948213</v>
      </c>
      <c r="L31" s="4">
        <f t="shared" si="43"/>
        <v>20057.54698237465</v>
      </c>
      <c r="M31" s="4">
        <f t="shared" si="43"/>
        <v>23526.773625737227</v>
      </c>
      <c r="N31" s="4">
        <f t="shared" si="43"/>
        <v>22895.237120779846</v>
      </c>
      <c r="O31" s="4">
        <f t="shared" ref="O31:Q31" si="44">((O27-O28)*O29)-O30</f>
        <v>23129.395757370607</v>
      </c>
      <c r="P31" s="4">
        <f t="shared" si="44"/>
        <v>18987.82373161352</v>
      </c>
      <c r="Q31" s="4">
        <f t="shared" si="44"/>
        <v>16812.18315790081</v>
      </c>
      <c r="S31" s="1" t="s">
        <v>564</v>
      </c>
      <c r="T31" s="1" t="s">
        <v>565</v>
      </c>
      <c r="U31" s="1" t="s">
        <v>557</v>
      </c>
      <c r="V31" s="4">
        <f t="shared" ref="V31:AE31" si="45">((V27-V28)*V29)-V30</f>
        <v>11369.154662716883</v>
      </c>
      <c r="W31" s="4">
        <f t="shared" si="45"/>
        <v>12363.567873006192</v>
      </c>
      <c r="X31" s="4">
        <f t="shared" si="45"/>
        <v>10801.956844664259</v>
      </c>
      <c r="Y31" s="4">
        <f t="shared" si="45"/>
        <v>11996.882122073835</v>
      </c>
      <c r="Z31" s="4">
        <f t="shared" si="45"/>
        <v>11892.678680145731</v>
      </c>
      <c r="AA31" s="4">
        <f t="shared" si="45"/>
        <v>10906.306788346228</v>
      </c>
      <c r="AB31" s="4">
        <f t="shared" si="45"/>
        <v>12018.108598411296</v>
      </c>
      <c r="AC31" s="4">
        <f t="shared" si="45"/>
        <v>12477.383457784961</v>
      </c>
      <c r="AD31" s="4">
        <f t="shared" si="45"/>
        <v>14632.554480888504</v>
      </c>
      <c r="AE31" s="4">
        <f t="shared" si="45"/>
        <v>14017.279670609894</v>
      </c>
      <c r="AF31" s="4">
        <f t="shared" ref="AF31:AH31" si="46">((AF27-AF28)*AF29)-AF30</f>
        <v>14443.127713143855</v>
      </c>
      <c r="AG31" s="4">
        <f t="shared" si="46"/>
        <v>10804.992686563752</v>
      </c>
      <c r="AH31" s="4">
        <f t="shared" si="46"/>
        <v>7715.246280637547</v>
      </c>
      <c r="AJ31" s="1" t="s">
        <v>564</v>
      </c>
      <c r="AK31" s="1" t="s">
        <v>565</v>
      </c>
      <c r="AL31" s="1" t="s">
        <v>557</v>
      </c>
      <c r="AM31" s="4">
        <f t="shared" ref="AM31:AV31" si="47">((AM27-AM28)*AM29)-AM30</f>
        <v>6899.784962691695</v>
      </c>
      <c r="AN31" s="4">
        <f t="shared" si="47"/>
        <v>7511.3483952057804</v>
      </c>
      <c r="AO31" s="4">
        <f t="shared" si="47"/>
        <v>6557.5405876954574</v>
      </c>
      <c r="AP31" s="4">
        <f t="shared" si="47"/>
        <v>7285.2880500090978</v>
      </c>
      <c r="AQ31" s="4">
        <f t="shared" si="47"/>
        <v>7229.9103870489471</v>
      </c>
      <c r="AR31" s="4">
        <f t="shared" si="47"/>
        <v>6625.4278726382308</v>
      </c>
      <c r="AS31" s="4">
        <f t="shared" si="47"/>
        <v>7296.8779665369138</v>
      </c>
      <c r="AT31" s="4">
        <f t="shared" si="47"/>
        <v>7580.1635245896869</v>
      </c>
      <c r="AU31" s="4">
        <f t="shared" si="47"/>
        <v>8894.2191448487247</v>
      </c>
      <c r="AV31" s="4">
        <f t="shared" si="47"/>
        <v>8877.9574501699499</v>
      </c>
      <c r="AW31" s="4">
        <f t="shared" ref="AW31:AY31" si="48">((AW27-AW28)*AW29)-AW30</f>
        <v>8686.2680442267556</v>
      </c>
      <c r="AX31" s="4">
        <f t="shared" si="48"/>
        <v>8182.8310450497693</v>
      </c>
      <c r="AY31" s="4">
        <f t="shared" si="48"/>
        <v>9096.9368772632643</v>
      </c>
    </row>
    <row r="32" spans="2:51">
      <c r="D32" s="5"/>
      <c r="U32" s="5"/>
      <c r="AL32" s="5"/>
    </row>
    <row r="33" spans="2:51">
      <c r="B33" s="248" t="s">
        <v>566</v>
      </c>
      <c r="C33" s="249"/>
      <c r="D33" s="24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60"/>
      <c r="S33" s="248" t="s">
        <v>566</v>
      </c>
      <c r="T33" s="249"/>
      <c r="U33" s="24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60"/>
      <c r="AJ33" s="248" t="s">
        <v>566</v>
      </c>
      <c r="AK33" s="249"/>
      <c r="AL33" s="24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60"/>
    </row>
    <row r="34" spans="2:51">
      <c r="B34" s="50" t="s">
        <v>567</v>
      </c>
      <c r="C34" s="202"/>
      <c r="D34" s="59"/>
      <c r="E34" s="206">
        <f t="shared" ref="E34:Q34" si="49">1-E35</f>
        <v>0.95</v>
      </c>
      <c r="F34" s="206">
        <f t="shared" si="49"/>
        <v>0.95</v>
      </c>
      <c r="G34" s="206">
        <f t="shared" si="49"/>
        <v>0.95</v>
      </c>
      <c r="H34" s="206">
        <f t="shared" si="49"/>
        <v>0.95</v>
      </c>
      <c r="I34" s="206">
        <f t="shared" si="49"/>
        <v>0.95</v>
      </c>
      <c r="J34" s="206">
        <f t="shared" si="49"/>
        <v>0.95</v>
      </c>
      <c r="K34" s="206">
        <f t="shared" si="49"/>
        <v>0.95</v>
      </c>
      <c r="L34" s="206">
        <f t="shared" si="49"/>
        <v>0.95</v>
      </c>
      <c r="M34" s="206">
        <f t="shared" si="49"/>
        <v>0.95</v>
      </c>
      <c r="N34" s="206">
        <f t="shared" si="49"/>
        <v>0.95</v>
      </c>
      <c r="O34" s="206">
        <f t="shared" si="49"/>
        <v>0.95</v>
      </c>
      <c r="P34" s="206">
        <f t="shared" si="49"/>
        <v>0.95</v>
      </c>
      <c r="Q34" s="206">
        <f t="shared" si="49"/>
        <v>0.95</v>
      </c>
      <c r="S34" s="50" t="s">
        <v>567</v>
      </c>
      <c r="T34" s="202"/>
      <c r="U34" s="59"/>
      <c r="V34" s="212">
        <f t="shared" ref="V34:AH34" si="50">1-V35</f>
        <v>0.95</v>
      </c>
      <c r="W34" s="212">
        <f t="shared" si="50"/>
        <v>0.95</v>
      </c>
      <c r="X34" s="212">
        <f t="shared" si="50"/>
        <v>0.95</v>
      </c>
      <c r="Y34" s="212">
        <f t="shared" si="50"/>
        <v>0.95</v>
      </c>
      <c r="Z34" s="212">
        <f t="shared" si="50"/>
        <v>0.95</v>
      </c>
      <c r="AA34" s="212">
        <f t="shared" si="50"/>
        <v>0.95</v>
      </c>
      <c r="AB34" s="212">
        <f t="shared" si="50"/>
        <v>0.95</v>
      </c>
      <c r="AC34" s="212">
        <f t="shared" si="50"/>
        <v>0.95</v>
      </c>
      <c r="AD34" s="212">
        <f t="shared" si="50"/>
        <v>0.95</v>
      </c>
      <c r="AE34" s="212">
        <f t="shared" si="50"/>
        <v>0.95</v>
      </c>
      <c r="AF34" s="212">
        <f t="shared" si="50"/>
        <v>0.95</v>
      </c>
      <c r="AG34" s="212">
        <f t="shared" si="50"/>
        <v>0.95</v>
      </c>
      <c r="AH34" s="212">
        <f t="shared" si="50"/>
        <v>0.95</v>
      </c>
      <c r="AJ34" s="50" t="s">
        <v>567</v>
      </c>
      <c r="AK34" s="202"/>
      <c r="AL34" s="59"/>
      <c r="AM34" s="206">
        <f t="shared" ref="AM34:AY34" si="51">1-AM35</f>
        <v>0.95</v>
      </c>
      <c r="AN34" s="206">
        <f t="shared" si="51"/>
        <v>0.95</v>
      </c>
      <c r="AO34" s="206">
        <f t="shared" si="51"/>
        <v>0.95</v>
      </c>
      <c r="AP34" s="206">
        <f t="shared" si="51"/>
        <v>0.95</v>
      </c>
      <c r="AQ34" s="206">
        <f t="shared" si="51"/>
        <v>0.95</v>
      </c>
      <c r="AR34" s="206">
        <f t="shared" si="51"/>
        <v>0.95</v>
      </c>
      <c r="AS34" s="206">
        <f t="shared" si="51"/>
        <v>0.95</v>
      </c>
      <c r="AT34" s="206">
        <f t="shared" si="51"/>
        <v>0.95</v>
      </c>
      <c r="AU34" s="206">
        <f t="shared" si="51"/>
        <v>0.95</v>
      </c>
      <c r="AV34" s="206">
        <f t="shared" si="51"/>
        <v>0.95</v>
      </c>
      <c r="AW34" s="206">
        <f t="shared" si="51"/>
        <v>0.95</v>
      </c>
      <c r="AX34" s="206">
        <f t="shared" si="51"/>
        <v>0.95</v>
      </c>
      <c r="AY34" s="206">
        <f t="shared" si="51"/>
        <v>0.95</v>
      </c>
    </row>
    <row r="35" spans="2:51">
      <c r="B35" s="13" t="s">
        <v>568</v>
      </c>
      <c r="C35" s="1" t="s">
        <v>569</v>
      </c>
      <c r="D35" s="14" t="s">
        <v>37</v>
      </c>
      <c r="E35" s="23">
        <v>0.05</v>
      </c>
      <c r="F35" s="23">
        <v>0.05</v>
      </c>
      <c r="G35" s="23">
        <v>0.05</v>
      </c>
      <c r="H35" s="23">
        <v>0.05</v>
      </c>
      <c r="I35" s="23">
        <v>0.05</v>
      </c>
      <c r="J35" s="23">
        <v>0.05</v>
      </c>
      <c r="K35" s="23">
        <v>0.05</v>
      </c>
      <c r="L35" s="23">
        <v>0.05</v>
      </c>
      <c r="M35" s="23">
        <v>0.05</v>
      </c>
      <c r="N35" s="23">
        <v>0.05</v>
      </c>
      <c r="O35" s="23">
        <v>0.05</v>
      </c>
      <c r="P35" s="23">
        <v>0.05</v>
      </c>
      <c r="Q35" s="23">
        <v>0.05</v>
      </c>
      <c r="S35" s="13" t="s">
        <v>568</v>
      </c>
      <c r="T35" s="1" t="s">
        <v>569</v>
      </c>
      <c r="U35" s="14" t="s">
        <v>37</v>
      </c>
      <c r="V35" s="109">
        <v>0.05</v>
      </c>
      <c r="W35" s="109">
        <v>0.05</v>
      </c>
      <c r="X35" s="109">
        <v>0.05</v>
      </c>
      <c r="Y35" s="109">
        <v>0.05</v>
      </c>
      <c r="Z35" s="109">
        <v>0.05</v>
      </c>
      <c r="AA35" s="109">
        <v>0.05</v>
      </c>
      <c r="AB35" s="109">
        <v>0.05</v>
      </c>
      <c r="AC35" s="109">
        <v>0.05</v>
      </c>
      <c r="AD35" s="109">
        <v>0.05</v>
      </c>
      <c r="AE35" s="109">
        <v>0.05</v>
      </c>
      <c r="AF35" s="109">
        <v>0.05</v>
      </c>
      <c r="AG35" s="109">
        <v>0.05</v>
      </c>
      <c r="AH35" s="109">
        <v>0.05</v>
      </c>
      <c r="AJ35" s="13" t="s">
        <v>568</v>
      </c>
      <c r="AK35" s="1" t="s">
        <v>569</v>
      </c>
      <c r="AL35" s="14" t="s">
        <v>37</v>
      </c>
      <c r="AM35" s="23">
        <v>0.05</v>
      </c>
      <c r="AN35" s="23">
        <v>0.05</v>
      </c>
      <c r="AO35" s="23">
        <v>0.05</v>
      </c>
      <c r="AP35" s="23">
        <v>0.05</v>
      </c>
      <c r="AQ35" s="23">
        <v>0.05</v>
      </c>
      <c r="AR35" s="23">
        <v>0.05</v>
      </c>
      <c r="AS35" s="23">
        <v>0.05</v>
      </c>
      <c r="AT35" s="23">
        <v>0.05</v>
      </c>
      <c r="AU35" s="23">
        <v>0.05</v>
      </c>
      <c r="AV35" s="23">
        <v>0.05</v>
      </c>
      <c r="AW35" s="23">
        <v>0.05</v>
      </c>
      <c r="AX35" s="23">
        <v>0.05</v>
      </c>
      <c r="AY35" s="23">
        <v>0.05</v>
      </c>
    </row>
    <row r="36" spans="2:51">
      <c r="B36" s="15" t="s">
        <v>570</v>
      </c>
      <c r="C36" s="15" t="s">
        <v>571</v>
      </c>
      <c r="D36" s="15" t="s">
        <v>557</v>
      </c>
      <c r="E36" s="25">
        <f t="shared" ref="E36:N36" si="52">E31*(1-E35)</f>
        <v>17355.49264413815</v>
      </c>
      <c r="F36" s="25">
        <f t="shared" si="52"/>
        <v>18881.170454801377</v>
      </c>
      <c r="G36" s="25">
        <f t="shared" si="52"/>
        <v>16491.522560741731</v>
      </c>
      <c r="H36" s="25">
        <f t="shared" si="52"/>
        <v>18318.061663478788</v>
      </c>
      <c r="I36" s="25">
        <f t="shared" si="52"/>
        <v>18166.459613834948</v>
      </c>
      <c r="J36" s="25">
        <f t="shared" si="52"/>
        <v>16655.147927935232</v>
      </c>
      <c r="K36" s="25">
        <f t="shared" si="52"/>
        <v>18349.237236700803</v>
      </c>
      <c r="L36" s="25">
        <f t="shared" si="52"/>
        <v>19054.669633255915</v>
      </c>
      <c r="M36" s="25">
        <f t="shared" si="52"/>
        <v>22350.434944450364</v>
      </c>
      <c r="N36" s="25">
        <f t="shared" si="52"/>
        <v>21750.475264740853</v>
      </c>
      <c r="O36" s="25">
        <f t="shared" ref="O36:Q36" si="53">O31*(1-O35)</f>
        <v>21972.925969502074</v>
      </c>
      <c r="P36" s="25">
        <f t="shared" si="53"/>
        <v>18038.432545032843</v>
      </c>
      <c r="Q36" s="25">
        <f t="shared" si="53"/>
        <v>15971.574000005769</v>
      </c>
      <c r="S36" s="15" t="s">
        <v>570</v>
      </c>
      <c r="T36" s="15" t="s">
        <v>571</v>
      </c>
      <c r="U36" s="15" t="s">
        <v>557</v>
      </c>
      <c r="V36" s="25">
        <f t="shared" ref="V36:AE36" si="54">V31*(1-V35)</f>
        <v>10800.696929581038</v>
      </c>
      <c r="W36" s="25">
        <f t="shared" si="54"/>
        <v>11745.389479355881</v>
      </c>
      <c r="X36" s="25">
        <f t="shared" si="54"/>
        <v>10261.859002431045</v>
      </c>
      <c r="Y36" s="25">
        <f t="shared" si="54"/>
        <v>11397.038015970144</v>
      </c>
      <c r="Z36" s="25">
        <f t="shared" si="54"/>
        <v>11298.044746138445</v>
      </c>
      <c r="AA36" s="25">
        <f t="shared" si="54"/>
        <v>10360.991448928917</v>
      </c>
      <c r="AB36" s="25">
        <f t="shared" si="54"/>
        <v>11417.203168490731</v>
      </c>
      <c r="AC36" s="25">
        <f t="shared" si="54"/>
        <v>11853.514284895713</v>
      </c>
      <c r="AD36" s="25">
        <f t="shared" si="54"/>
        <v>13900.926756844079</v>
      </c>
      <c r="AE36" s="25">
        <f t="shared" si="54"/>
        <v>13316.4156870794</v>
      </c>
      <c r="AF36" s="25">
        <f t="shared" ref="AF36:AH36" si="55">AF31*(1-AF35)</f>
        <v>13720.971327486661</v>
      </c>
      <c r="AG36" s="25">
        <f t="shared" si="55"/>
        <v>10264.743052235564</v>
      </c>
      <c r="AH36" s="25">
        <f t="shared" si="55"/>
        <v>7329.4839666056696</v>
      </c>
      <c r="AJ36" s="15" t="s">
        <v>570</v>
      </c>
      <c r="AK36" s="15" t="s">
        <v>571</v>
      </c>
      <c r="AL36" s="15" t="s">
        <v>557</v>
      </c>
      <c r="AM36" s="25">
        <f t="shared" ref="AM36:AV36" si="56">AM31*(1-AM35)</f>
        <v>6554.7957145571099</v>
      </c>
      <c r="AN36" s="25">
        <f t="shared" si="56"/>
        <v>7135.7809754454911</v>
      </c>
      <c r="AO36" s="25">
        <f t="shared" si="56"/>
        <v>6229.6635583106845</v>
      </c>
      <c r="AP36" s="25">
        <f t="shared" si="56"/>
        <v>6921.0236475086422</v>
      </c>
      <c r="AQ36" s="25">
        <f t="shared" si="56"/>
        <v>6868.4148676964996</v>
      </c>
      <c r="AR36" s="25">
        <f t="shared" si="56"/>
        <v>6294.1564790063194</v>
      </c>
      <c r="AS36" s="25">
        <f t="shared" si="56"/>
        <v>6932.0340682100677</v>
      </c>
      <c r="AT36" s="25">
        <f t="shared" si="56"/>
        <v>7201.155348360202</v>
      </c>
      <c r="AU36" s="25">
        <f t="shared" si="56"/>
        <v>8449.5081876062886</v>
      </c>
      <c r="AV36" s="25">
        <f t="shared" si="56"/>
        <v>8434.0595776614518</v>
      </c>
      <c r="AW36" s="25">
        <f t="shared" ref="AW36:AY36" si="57">AW31*(1-AW35)</f>
        <v>8251.9546420154165</v>
      </c>
      <c r="AX36" s="25">
        <f t="shared" si="57"/>
        <v>7773.6894927972808</v>
      </c>
      <c r="AY36" s="25">
        <f t="shared" si="57"/>
        <v>8642.0900334000999</v>
      </c>
    </row>
    <row r="37" spans="2:51">
      <c r="B37" s="21" t="s">
        <v>572</v>
      </c>
      <c r="C37" s="20" t="s">
        <v>571</v>
      </c>
      <c r="D37" s="20" t="s">
        <v>557</v>
      </c>
      <c r="E37" s="184">
        <f t="shared" ref="E37:N37" si="58">V37+AM37</f>
        <v>17354</v>
      </c>
      <c r="F37" s="184">
        <f t="shared" si="58"/>
        <v>18880</v>
      </c>
      <c r="G37" s="184">
        <f t="shared" si="58"/>
        <v>16490</v>
      </c>
      <c r="H37" s="184">
        <f t="shared" si="58"/>
        <v>18318</v>
      </c>
      <c r="I37" s="184">
        <f t="shared" si="58"/>
        <v>18166</v>
      </c>
      <c r="J37" s="184">
        <f t="shared" si="58"/>
        <v>16654</v>
      </c>
      <c r="K37" s="184">
        <f t="shared" si="58"/>
        <v>18349</v>
      </c>
      <c r="L37" s="184">
        <f t="shared" si="58"/>
        <v>19054</v>
      </c>
      <c r="M37" s="184">
        <f t="shared" si="58"/>
        <v>22349</v>
      </c>
      <c r="N37" s="184">
        <f t="shared" si="58"/>
        <v>21750</v>
      </c>
      <c r="O37" s="184">
        <f t="shared" ref="O37:Q37" si="59">AF37+AW37</f>
        <v>21971</v>
      </c>
      <c r="P37" s="184">
        <f t="shared" si="59"/>
        <v>18037</v>
      </c>
      <c r="Q37" s="184">
        <f t="shared" si="59"/>
        <v>15971</v>
      </c>
      <c r="S37" s="21" t="s">
        <v>572</v>
      </c>
      <c r="T37" s="20" t="s">
        <v>571</v>
      </c>
      <c r="U37" s="20" t="s">
        <v>557</v>
      </c>
      <c r="V37" s="184">
        <f>_xlfn.FLOOR.MATH(V36)</f>
        <v>10800</v>
      </c>
      <c r="W37" s="184">
        <f t="shared" ref="W37:AE37" si="60">_xlfn.FLOOR.MATH(W36)</f>
        <v>11745</v>
      </c>
      <c r="X37" s="184">
        <f t="shared" si="60"/>
        <v>10261</v>
      </c>
      <c r="Y37" s="184">
        <f t="shared" si="60"/>
        <v>11397</v>
      </c>
      <c r="Z37" s="184">
        <f t="shared" si="60"/>
        <v>11298</v>
      </c>
      <c r="AA37" s="184">
        <f t="shared" si="60"/>
        <v>10360</v>
      </c>
      <c r="AB37" s="184">
        <f t="shared" si="60"/>
        <v>11417</v>
      </c>
      <c r="AC37" s="184">
        <f t="shared" si="60"/>
        <v>11853</v>
      </c>
      <c r="AD37" s="184">
        <f t="shared" si="60"/>
        <v>13900</v>
      </c>
      <c r="AE37" s="184">
        <f t="shared" si="60"/>
        <v>13316</v>
      </c>
      <c r="AF37" s="184">
        <f t="shared" ref="AF37:AH37" si="61">_xlfn.FLOOR.MATH(AF36)</f>
        <v>13720</v>
      </c>
      <c r="AG37" s="184">
        <f t="shared" si="61"/>
        <v>10264</v>
      </c>
      <c r="AH37" s="184">
        <f t="shared" si="61"/>
        <v>7329</v>
      </c>
      <c r="AJ37" s="21" t="s">
        <v>572</v>
      </c>
      <c r="AK37" s="20" t="s">
        <v>571</v>
      </c>
      <c r="AL37" s="20" t="s">
        <v>557</v>
      </c>
      <c r="AM37" s="184">
        <f>_xlfn.FLOOR.MATH(AM36)</f>
        <v>6554</v>
      </c>
      <c r="AN37" s="184">
        <f t="shared" ref="AN37" si="62">_xlfn.FLOOR.MATH(AN36)</f>
        <v>7135</v>
      </c>
      <c r="AO37" s="184">
        <f t="shared" ref="AO37" si="63">_xlfn.FLOOR.MATH(AO36)</f>
        <v>6229</v>
      </c>
      <c r="AP37" s="184">
        <f t="shared" ref="AP37" si="64">_xlfn.FLOOR.MATH(AP36)</f>
        <v>6921</v>
      </c>
      <c r="AQ37" s="184">
        <f t="shared" ref="AQ37" si="65">_xlfn.FLOOR.MATH(AQ36)</f>
        <v>6868</v>
      </c>
      <c r="AR37" s="184">
        <f t="shared" ref="AR37" si="66">_xlfn.FLOOR.MATH(AR36)</f>
        <v>6294</v>
      </c>
      <c r="AS37" s="184">
        <f t="shared" ref="AS37" si="67">_xlfn.FLOOR.MATH(AS36)</f>
        <v>6932</v>
      </c>
      <c r="AT37" s="184">
        <f t="shared" ref="AT37" si="68">_xlfn.FLOOR.MATH(AT36)</f>
        <v>7201</v>
      </c>
      <c r="AU37" s="184">
        <f t="shared" ref="AU37:AY37" si="69">_xlfn.FLOOR.MATH(AU36)</f>
        <v>8449</v>
      </c>
      <c r="AV37" s="184">
        <f t="shared" ref="AV37:AX37" si="70">_xlfn.FLOOR.MATH(AV36)</f>
        <v>8434</v>
      </c>
      <c r="AW37" s="184">
        <f t="shared" si="69"/>
        <v>8251</v>
      </c>
      <c r="AX37" s="184">
        <f t="shared" si="70"/>
        <v>7773</v>
      </c>
      <c r="AY37" s="184">
        <f t="shared" si="69"/>
        <v>8642</v>
      </c>
    </row>
    <row r="51" spans="9:9">
      <c r="I51" s="27"/>
    </row>
  </sheetData>
  <mergeCells count="18">
    <mergeCell ref="AJ2:AY2"/>
    <mergeCell ref="S2:AH2"/>
    <mergeCell ref="B12:D12"/>
    <mergeCell ref="B20:D20"/>
    <mergeCell ref="B26:D26"/>
    <mergeCell ref="B2:Q2"/>
    <mergeCell ref="S4:U4"/>
    <mergeCell ref="S12:U12"/>
    <mergeCell ref="S20:U20"/>
    <mergeCell ref="S26:U26"/>
    <mergeCell ref="AJ26:AL26"/>
    <mergeCell ref="AJ33:AL33"/>
    <mergeCell ref="AJ4:AL4"/>
    <mergeCell ref="AJ12:AL12"/>
    <mergeCell ref="AJ20:AL20"/>
    <mergeCell ref="B33:D33"/>
    <mergeCell ref="B4:D4"/>
    <mergeCell ref="S33:U33"/>
  </mergeCells>
  <phoneticPr fontId="11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O47"/>
  <sheetViews>
    <sheetView zoomScaleNormal="100" workbookViewId="0">
      <selection activeCell="E34" sqref="E34"/>
    </sheetView>
  </sheetViews>
  <sheetFormatPr defaultRowHeight="14.25"/>
  <cols>
    <col min="1" max="1" width="2.7109375" customWidth="1"/>
    <col min="2" max="2" width="60.7109375" bestFit="1" customWidth="1"/>
    <col min="3" max="3" width="18.28515625" bestFit="1" customWidth="1"/>
    <col min="4" max="4" width="12.42578125" bestFit="1" customWidth="1"/>
    <col min="5" max="5" width="12.7109375" customWidth="1"/>
    <col min="6" max="6" width="21.42578125" customWidth="1"/>
    <col min="7" max="7" width="60.7109375" bestFit="1" customWidth="1"/>
    <col min="8" max="8" width="18.28515625" bestFit="1" customWidth="1"/>
    <col min="9" max="9" width="12.42578125" bestFit="1" customWidth="1"/>
    <col min="10" max="10" width="12.5703125" customWidth="1"/>
    <col min="11" max="11" width="5" customWidth="1"/>
    <col min="12" max="12" width="60.7109375" bestFit="1" customWidth="1"/>
    <col min="13" max="13" width="18.28515625" bestFit="1" customWidth="1"/>
    <col min="14" max="14" width="12.42578125" bestFit="1" customWidth="1"/>
    <col min="15" max="15" width="12.28515625" customWidth="1"/>
  </cols>
  <sheetData>
    <row r="1" spans="2:15" ht="14.65" customHeight="1"/>
    <row r="2" spans="2:15" ht="15" customHeight="1">
      <c r="B2" s="250" t="s">
        <v>573</v>
      </c>
      <c r="C2" s="250"/>
      <c r="D2" s="250"/>
      <c r="E2" s="250"/>
      <c r="G2" s="250" t="s">
        <v>574</v>
      </c>
      <c r="H2" s="250"/>
      <c r="I2" s="250"/>
      <c r="J2" s="250"/>
      <c r="L2" s="250" t="s">
        <v>575</v>
      </c>
      <c r="M2" s="250"/>
      <c r="N2" s="250"/>
      <c r="O2" s="250"/>
    </row>
    <row r="4" spans="2:15" s="3" customFormat="1">
      <c r="B4" s="248" t="s">
        <v>516</v>
      </c>
      <c r="C4" s="249"/>
      <c r="D4" s="249"/>
      <c r="E4" s="253"/>
      <c r="G4" s="248" t="s">
        <v>516</v>
      </c>
      <c r="H4" s="249"/>
      <c r="I4" s="249"/>
      <c r="J4" s="253"/>
      <c r="L4" s="248" t="s">
        <v>516</v>
      </c>
      <c r="M4" s="249"/>
      <c r="N4" s="249"/>
      <c r="O4" s="253"/>
    </row>
    <row r="5" spans="2:15">
      <c r="B5" s="1" t="s">
        <v>517</v>
      </c>
      <c r="C5" s="1" t="s">
        <v>518</v>
      </c>
      <c r="D5" s="1" t="s">
        <v>519</v>
      </c>
      <c r="E5" s="37">
        <v>0.02</v>
      </c>
      <c r="F5" s="3"/>
      <c r="G5" s="1" t="s">
        <v>517</v>
      </c>
      <c r="H5" s="1" t="s">
        <v>518</v>
      </c>
      <c r="I5" s="1" t="s">
        <v>519</v>
      </c>
      <c r="J5" s="37">
        <v>0.02</v>
      </c>
      <c r="L5" s="1" t="s">
        <v>517</v>
      </c>
      <c r="M5" s="1" t="s">
        <v>518</v>
      </c>
      <c r="N5" s="1" t="s">
        <v>519</v>
      </c>
      <c r="O5" s="109">
        <f>J5</f>
        <v>0.02</v>
      </c>
    </row>
    <row r="6" spans="2:15">
      <c r="B6" s="1" t="s">
        <v>520</v>
      </c>
      <c r="C6" s="1" t="s">
        <v>576</v>
      </c>
      <c r="D6" s="1"/>
      <c r="E6" s="4">
        <f>'Total PTDs'!AM18</f>
        <v>1202700</v>
      </c>
      <c r="F6" s="3"/>
      <c r="G6" s="1" t="s">
        <v>520</v>
      </c>
      <c r="H6" s="1" t="s">
        <v>521</v>
      </c>
      <c r="I6" s="1"/>
      <c r="J6" s="4">
        <f>'Total PTDs'!AH18</f>
        <v>748500</v>
      </c>
      <c r="L6" s="1" t="s">
        <v>520</v>
      </c>
      <c r="M6" s="1" t="s">
        <v>521</v>
      </c>
      <c r="N6" s="1"/>
      <c r="O6" s="4">
        <f>'Total PTDs'!AL18</f>
        <v>454200</v>
      </c>
    </row>
    <row r="7" spans="2:15">
      <c r="B7" s="1" t="s">
        <v>522</v>
      </c>
      <c r="C7" s="1" t="s">
        <v>523</v>
      </c>
      <c r="D7" s="1" t="s">
        <v>524</v>
      </c>
      <c r="E7" s="211">
        <f>J7</f>
        <v>4.0000000000000002E-4</v>
      </c>
      <c r="F7" s="3"/>
      <c r="G7" s="1" t="s">
        <v>522</v>
      </c>
      <c r="H7" s="1" t="s">
        <v>523</v>
      </c>
      <c r="I7" s="1" t="s">
        <v>524</v>
      </c>
      <c r="J7" s="12">
        <v>4.0000000000000002E-4</v>
      </c>
      <c r="L7" s="1" t="s">
        <v>522</v>
      </c>
      <c r="M7" s="1" t="s">
        <v>523</v>
      </c>
      <c r="N7" s="1" t="s">
        <v>524</v>
      </c>
      <c r="O7" s="12">
        <f>J7</f>
        <v>4.0000000000000002E-4</v>
      </c>
    </row>
    <row r="8" spans="2:15" ht="28.5">
      <c r="B8" s="2" t="s">
        <v>577</v>
      </c>
      <c r="C8" s="1" t="s">
        <v>526</v>
      </c>
      <c r="D8" s="1" t="s">
        <v>527</v>
      </c>
      <c r="E8" s="1">
        <v>7.5</v>
      </c>
      <c r="F8" s="3"/>
      <c r="G8" s="2" t="s">
        <v>577</v>
      </c>
      <c r="H8" s="1" t="s">
        <v>526</v>
      </c>
      <c r="I8" s="1" t="s">
        <v>527</v>
      </c>
      <c r="J8" s="1">
        <v>7.5</v>
      </c>
      <c r="L8" s="2" t="s">
        <v>577</v>
      </c>
      <c r="M8" s="1" t="s">
        <v>526</v>
      </c>
      <c r="N8" s="1" t="s">
        <v>527</v>
      </c>
      <c r="O8" s="1">
        <v>7.5</v>
      </c>
    </row>
    <row r="9" spans="2:15">
      <c r="B9" s="2" t="s">
        <v>528</v>
      </c>
      <c r="C9" s="1" t="s">
        <v>529</v>
      </c>
      <c r="D9" s="1" t="s">
        <v>527</v>
      </c>
      <c r="E9" s="1">
        <v>0</v>
      </c>
      <c r="F9" s="3"/>
      <c r="G9" s="2" t="s">
        <v>528</v>
      </c>
      <c r="H9" s="1" t="s">
        <v>529</v>
      </c>
      <c r="I9" s="1" t="s">
        <v>527</v>
      </c>
      <c r="J9" s="1">
        <v>0</v>
      </c>
      <c r="L9" s="2" t="s">
        <v>528</v>
      </c>
      <c r="M9" s="1" t="s">
        <v>529</v>
      </c>
      <c r="N9" s="1" t="s">
        <v>527</v>
      </c>
      <c r="O9" s="1">
        <v>0</v>
      </c>
    </row>
    <row r="10" spans="2:15">
      <c r="B10" s="1" t="s">
        <v>530</v>
      </c>
      <c r="C10" s="1" t="s">
        <v>531</v>
      </c>
      <c r="D10" s="1" t="s">
        <v>532</v>
      </c>
      <c r="E10" s="4">
        <f>(1-E5)*E6*E7*(E8+E9)</f>
        <v>3535.9380000000001</v>
      </c>
      <c r="F10" s="3"/>
      <c r="G10" s="1" t="s">
        <v>530</v>
      </c>
      <c r="H10" s="1" t="s">
        <v>531</v>
      </c>
      <c r="I10" s="1" t="s">
        <v>532</v>
      </c>
      <c r="J10" s="7">
        <f>(1-J5)*J6*J7*(J8+J9)</f>
        <v>2200.59</v>
      </c>
      <c r="L10" s="1" t="s">
        <v>530</v>
      </c>
      <c r="M10" s="1" t="s">
        <v>531</v>
      </c>
      <c r="N10" s="1" t="s">
        <v>532</v>
      </c>
      <c r="O10" s="7">
        <f>(1-O5)*O6*O7*(O8+O9)</f>
        <v>1335.348</v>
      </c>
    </row>
    <row r="11" spans="2:15">
      <c r="F11" s="3"/>
    </row>
    <row r="12" spans="2:15">
      <c r="B12" s="248" t="s">
        <v>533</v>
      </c>
      <c r="C12" s="249"/>
      <c r="D12" s="249"/>
      <c r="E12" s="253"/>
      <c r="F12" s="3"/>
      <c r="G12" s="248" t="s">
        <v>533</v>
      </c>
      <c r="H12" s="249"/>
      <c r="I12" s="249"/>
      <c r="J12" s="253"/>
      <c r="L12" s="248" t="s">
        <v>533</v>
      </c>
      <c r="M12" s="249"/>
      <c r="N12" s="249"/>
      <c r="O12" s="253"/>
    </row>
    <row r="13" spans="2:15">
      <c r="B13" s="1" t="s">
        <v>534</v>
      </c>
      <c r="C13" s="1" t="s">
        <v>518</v>
      </c>
      <c r="D13" s="1" t="s">
        <v>519</v>
      </c>
      <c r="E13" s="37">
        <v>0.02</v>
      </c>
      <c r="F13" s="3"/>
      <c r="G13" s="1" t="s">
        <v>534</v>
      </c>
      <c r="H13" s="1" t="s">
        <v>518</v>
      </c>
      <c r="I13" s="1" t="s">
        <v>519</v>
      </c>
      <c r="J13" s="109">
        <f>J5</f>
        <v>0.02</v>
      </c>
      <c r="L13" s="1" t="s">
        <v>534</v>
      </c>
      <c r="M13" s="1" t="s">
        <v>518</v>
      </c>
      <c r="N13" s="1" t="s">
        <v>519</v>
      </c>
      <c r="O13" s="109">
        <f>O5</f>
        <v>0.02</v>
      </c>
    </row>
    <row r="14" spans="2:15">
      <c r="B14" s="1" t="s">
        <v>520</v>
      </c>
      <c r="C14" s="1" t="s">
        <v>521</v>
      </c>
      <c r="D14" s="1"/>
      <c r="E14" s="4">
        <f>E6</f>
        <v>1202700</v>
      </c>
      <c r="F14" s="3"/>
      <c r="G14" s="1" t="s">
        <v>520</v>
      </c>
      <c r="H14" s="1" t="s">
        <v>521</v>
      </c>
      <c r="I14" s="1"/>
      <c r="J14" s="4">
        <f>J6</f>
        <v>748500</v>
      </c>
      <c r="L14" s="1" t="s">
        <v>520</v>
      </c>
      <c r="M14" s="1" t="s">
        <v>521</v>
      </c>
      <c r="N14" s="1"/>
      <c r="O14" s="4">
        <f>O6</f>
        <v>454200</v>
      </c>
    </row>
    <row r="15" spans="2:15">
      <c r="B15" s="1" t="s">
        <v>535</v>
      </c>
      <c r="C15" s="1" t="s">
        <v>536</v>
      </c>
      <c r="D15" s="1" t="s">
        <v>524</v>
      </c>
      <c r="E15" s="211">
        <f>E7</f>
        <v>4.0000000000000002E-4</v>
      </c>
      <c r="F15" s="3"/>
      <c r="G15" s="1" t="s">
        <v>535</v>
      </c>
      <c r="H15" s="1" t="s">
        <v>536</v>
      </c>
      <c r="I15" s="1" t="s">
        <v>524</v>
      </c>
      <c r="J15" s="12">
        <f>J7</f>
        <v>4.0000000000000002E-4</v>
      </c>
      <c r="L15" s="1" t="s">
        <v>535</v>
      </c>
      <c r="M15" s="1" t="s">
        <v>536</v>
      </c>
      <c r="N15" s="1" t="s">
        <v>524</v>
      </c>
      <c r="O15" s="12">
        <f>O7</f>
        <v>4.0000000000000002E-4</v>
      </c>
    </row>
    <row r="16" spans="2:15">
      <c r="B16" s="1" t="s">
        <v>537</v>
      </c>
      <c r="C16" s="1" t="s">
        <v>529</v>
      </c>
      <c r="D16" s="1" t="s">
        <v>527</v>
      </c>
      <c r="E16" s="1">
        <v>0</v>
      </c>
      <c r="F16" s="3"/>
      <c r="G16" s="1" t="s">
        <v>537</v>
      </c>
      <c r="H16" s="1" t="s">
        <v>529</v>
      </c>
      <c r="I16" s="1" t="s">
        <v>527</v>
      </c>
      <c r="J16" s="1">
        <v>0</v>
      </c>
      <c r="L16" s="1" t="s">
        <v>537</v>
      </c>
      <c r="M16" s="1" t="s">
        <v>529</v>
      </c>
      <c r="N16" s="1" t="s">
        <v>527</v>
      </c>
      <c r="O16" s="1">
        <v>0</v>
      </c>
    </row>
    <row r="17" spans="2:15">
      <c r="B17" s="1" t="s">
        <v>538</v>
      </c>
      <c r="C17" s="1" t="s">
        <v>539</v>
      </c>
      <c r="D17" s="1" t="s">
        <v>527</v>
      </c>
      <c r="E17" s="22">
        <v>0</v>
      </c>
      <c r="F17" s="3"/>
      <c r="G17" s="1" t="s">
        <v>538</v>
      </c>
      <c r="H17" s="1" t="s">
        <v>539</v>
      </c>
      <c r="I17" s="1" t="s">
        <v>527</v>
      </c>
      <c r="J17" s="22">
        <v>0</v>
      </c>
      <c r="L17" s="1" t="s">
        <v>538</v>
      </c>
      <c r="M17" s="1" t="s">
        <v>539</v>
      </c>
      <c r="N17" s="1" t="s">
        <v>527</v>
      </c>
      <c r="O17" s="22">
        <v>0</v>
      </c>
    </row>
    <row r="18" spans="2:15">
      <c r="B18" s="1" t="s">
        <v>540</v>
      </c>
      <c r="C18" s="1" t="s">
        <v>541</v>
      </c>
      <c r="D18" s="1" t="s">
        <v>532</v>
      </c>
      <c r="E18" s="7">
        <f>(1-E13)*E14*E15*(E16+E17)</f>
        <v>0</v>
      </c>
      <c r="F18" s="3"/>
      <c r="G18" s="1" t="s">
        <v>540</v>
      </c>
      <c r="H18" s="1" t="s">
        <v>541</v>
      </c>
      <c r="I18" s="1" t="s">
        <v>532</v>
      </c>
      <c r="J18" s="7">
        <f>(1-J13)*J14*J15*(J16+J17)</f>
        <v>0</v>
      </c>
      <c r="L18" s="1" t="s">
        <v>540</v>
      </c>
      <c r="M18" s="1" t="s">
        <v>541</v>
      </c>
      <c r="N18" s="1" t="s">
        <v>532</v>
      </c>
      <c r="O18" s="7">
        <f>(1-O13)*O14*O15*(O16+O17)</f>
        <v>0</v>
      </c>
    </row>
    <row r="19" spans="2:15">
      <c r="F19" s="3"/>
    </row>
    <row r="20" spans="2:15">
      <c r="B20" s="248" t="s">
        <v>542</v>
      </c>
      <c r="C20" s="249"/>
      <c r="D20" s="249"/>
      <c r="E20" s="253"/>
      <c r="F20" s="3"/>
      <c r="G20" s="248" t="s">
        <v>542</v>
      </c>
      <c r="H20" s="249"/>
      <c r="I20" s="249"/>
      <c r="J20" s="253"/>
      <c r="L20" s="248" t="s">
        <v>542</v>
      </c>
      <c r="M20" s="249"/>
      <c r="N20" s="249"/>
      <c r="O20" s="253"/>
    </row>
    <row r="21" spans="2:15">
      <c r="B21" s="2" t="s">
        <v>543</v>
      </c>
      <c r="C21" s="1" t="s">
        <v>543</v>
      </c>
      <c r="D21" s="1" t="s">
        <v>544</v>
      </c>
      <c r="E21" s="22">
        <v>0.95</v>
      </c>
      <c r="F21" s="3"/>
      <c r="G21" s="2" t="s">
        <v>543</v>
      </c>
      <c r="H21" s="1" t="s">
        <v>543</v>
      </c>
      <c r="I21" s="1" t="s">
        <v>544</v>
      </c>
      <c r="J21" s="8">
        <v>0.95</v>
      </c>
      <c r="L21" s="2" t="s">
        <v>543</v>
      </c>
      <c r="M21" s="1" t="s">
        <v>543</v>
      </c>
      <c r="N21" s="1" t="s">
        <v>544</v>
      </c>
      <c r="O21" s="8">
        <v>0.95</v>
      </c>
    </row>
    <row r="22" spans="2:15">
      <c r="B22" s="1" t="s">
        <v>545</v>
      </c>
      <c r="C22" s="1" t="s">
        <v>546</v>
      </c>
      <c r="D22" s="1" t="s">
        <v>547</v>
      </c>
      <c r="E22" s="1">
        <v>112</v>
      </c>
      <c r="F22" s="3"/>
      <c r="G22" s="1" t="s">
        <v>545</v>
      </c>
      <c r="H22" s="1" t="s">
        <v>546</v>
      </c>
      <c r="I22" s="1" t="s">
        <v>547</v>
      </c>
      <c r="J22" s="1">
        <v>112</v>
      </c>
      <c r="L22" s="1" t="s">
        <v>545</v>
      </c>
      <c r="M22" s="1" t="s">
        <v>546</v>
      </c>
      <c r="N22" s="1" t="s">
        <v>547</v>
      </c>
      <c r="O22" s="1">
        <v>112</v>
      </c>
    </row>
    <row r="23" spans="2:15">
      <c r="B23" s="1" t="s">
        <v>578</v>
      </c>
      <c r="C23" s="1" t="s">
        <v>549</v>
      </c>
      <c r="D23" s="1" t="s">
        <v>550</v>
      </c>
      <c r="E23" s="161">
        <f>(J6*J23+O6*O23)/E6</f>
        <v>9.4600000000000009</v>
      </c>
      <c r="F23" s="3"/>
      <c r="G23" s="1" t="s">
        <v>548</v>
      </c>
      <c r="H23" s="1" t="s">
        <v>549</v>
      </c>
      <c r="I23" s="1" t="s">
        <v>550</v>
      </c>
      <c r="J23" s="1">
        <f>9.46</f>
        <v>9.4600000000000009</v>
      </c>
      <c r="L23" s="1" t="s">
        <v>548</v>
      </c>
      <c r="M23" s="1" t="s">
        <v>549</v>
      </c>
      <c r="N23" s="1" t="s">
        <v>550</v>
      </c>
      <c r="O23" s="1">
        <f>9.46</f>
        <v>9.4600000000000009</v>
      </c>
    </row>
    <row r="24" spans="2:15">
      <c r="B24" s="1" t="s">
        <v>551</v>
      </c>
      <c r="C24" s="1" t="s">
        <v>552</v>
      </c>
      <c r="D24" s="1" t="s">
        <v>553</v>
      </c>
      <c r="E24" s="1">
        <f>0.0156</f>
        <v>1.5599999999999999E-2</v>
      </c>
      <c r="F24" s="3"/>
      <c r="G24" s="1" t="s">
        <v>551</v>
      </c>
      <c r="H24" s="1" t="s">
        <v>552</v>
      </c>
      <c r="I24" s="1" t="s">
        <v>553</v>
      </c>
      <c r="J24" s="1">
        <v>1.5599999999999999E-2</v>
      </c>
      <c r="L24" s="1" t="s">
        <v>551</v>
      </c>
      <c r="M24" s="1" t="s">
        <v>552</v>
      </c>
      <c r="N24" s="1" t="s">
        <v>553</v>
      </c>
      <c r="O24" s="1">
        <v>1.5599999999999999E-2</v>
      </c>
    </row>
    <row r="25" spans="2:15">
      <c r="F25" s="3"/>
    </row>
    <row r="26" spans="2:15">
      <c r="B26" s="248" t="s">
        <v>554</v>
      </c>
      <c r="C26" s="249"/>
      <c r="D26" s="249"/>
      <c r="E26" s="253"/>
      <c r="F26" s="3"/>
      <c r="G26" s="248" t="s">
        <v>554</v>
      </c>
      <c r="H26" s="249"/>
      <c r="I26" s="249"/>
      <c r="J26" s="253"/>
      <c r="L26" s="248" t="s">
        <v>554</v>
      </c>
      <c r="M26" s="249"/>
      <c r="N26" s="249"/>
      <c r="O26" s="253"/>
    </row>
    <row r="27" spans="2:15">
      <c r="B27" s="1" t="s">
        <v>555</v>
      </c>
      <c r="C27" s="1" t="s">
        <v>556</v>
      </c>
      <c r="D27" s="1" t="s">
        <v>557</v>
      </c>
      <c r="E27" s="4">
        <f>E10*((E22*E21)+E23)*E24</f>
        <v>6390.9109162079985</v>
      </c>
      <c r="F27" s="3"/>
      <c r="G27" s="1" t="s">
        <v>555</v>
      </c>
      <c r="H27" s="1" t="s">
        <v>556</v>
      </c>
      <c r="I27" s="1" t="s">
        <v>557</v>
      </c>
      <c r="J27" s="4">
        <f>J10*((J22*J21)+J23)*J24</f>
        <v>3977.3815754399993</v>
      </c>
      <c r="L27" s="1" t="s">
        <v>555</v>
      </c>
      <c r="M27" s="1" t="s">
        <v>556</v>
      </c>
      <c r="N27" s="1" t="s">
        <v>557</v>
      </c>
      <c r="O27" s="4">
        <f>O10*((O22*O21)+O23)*O24</f>
        <v>2413.5293407679997</v>
      </c>
    </row>
    <row r="28" spans="2:15">
      <c r="B28" s="1" t="s">
        <v>558</v>
      </c>
      <c r="C28" s="1" t="s">
        <v>559</v>
      </c>
      <c r="D28" s="1" t="s">
        <v>557</v>
      </c>
      <c r="E28" s="4">
        <f>E18*((E22*E21)+E23)*E24</f>
        <v>0</v>
      </c>
      <c r="F28" s="3"/>
      <c r="G28" s="1" t="s">
        <v>558</v>
      </c>
      <c r="H28" s="1" t="s">
        <v>559</v>
      </c>
      <c r="I28" s="1" t="s">
        <v>557</v>
      </c>
      <c r="J28" s="4">
        <f>J18*((J22*J21)+J23)*J24</f>
        <v>0</v>
      </c>
      <c r="L28" s="1" t="s">
        <v>558</v>
      </c>
      <c r="M28" s="1" t="s">
        <v>559</v>
      </c>
      <c r="N28" s="1" t="s">
        <v>557</v>
      </c>
      <c r="O28" s="4">
        <f>O18*((O22*O21)+O23)*O24</f>
        <v>0</v>
      </c>
    </row>
    <row r="29" spans="2:15">
      <c r="B29" s="1" t="s">
        <v>579</v>
      </c>
      <c r="C29" s="1" t="s">
        <v>561</v>
      </c>
      <c r="D29" s="1" t="s">
        <v>519</v>
      </c>
      <c r="E29" s="1">
        <v>0.95</v>
      </c>
      <c r="F29" s="3"/>
      <c r="G29" s="1" t="s">
        <v>579</v>
      </c>
      <c r="H29" s="1" t="s">
        <v>561</v>
      </c>
      <c r="I29" s="1" t="s">
        <v>519</v>
      </c>
      <c r="J29" s="1">
        <v>0.95</v>
      </c>
      <c r="L29" s="1" t="s">
        <v>579</v>
      </c>
      <c r="M29" s="1" t="s">
        <v>561</v>
      </c>
      <c r="N29" s="1" t="s">
        <v>519</v>
      </c>
      <c r="O29" s="1">
        <v>0.95</v>
      </c>
    </row>
    <row r="30" spans="2:15">
      <c r="B30" s="1" t="s">
        <v>562</v>
      </c>
      <c r="C30" s="1" t="s">
        <v>563</v>
      </c>
      <c r="D30" s="1" t="s">
        <v>557</v>
      </c>
      <c r="E30" s="1">
        <v>0</v>
      </c>
      <c r="F30" s="3"/>
      <c r="G30" s="1" t="s">
        <v>562</v>
      </c>
      <c r="H30" s="1" t="s">
        <v>563</v>
      </c>
      <c r="I30" s="1" t="s">
        <v>557</v>
      </c>
      <c r="J30" s="1">
        <v>0</v>
      </c>
      <c r="L30" s="1" t="s">
        <v>562</v>
      </c>
      <c r="M30" s="1" t="s">
        <v>563</v>
      </c>
      <c r="N30" s="1" t="s">
        <v>557</v>
      </c>
      <c r="O30" s="1">
        <v>0</v>
      </c>
    </row>
    <row r="31" spans="2:15">
      <c r="B31" s="1" t="s">
        <v>564</v>
      </c>
      <c r="C31" s="1" t="s">
        <v>565</v>
      </c>
      <c r="D31" s="1" t="s">
        <v>557</v>
      </c>
      <c r="E31" s="4">
        <f>((E27-E28)*E29)-E30</f>
        <v>6071.3653703975979</v>
      </c>
      <c r="F31" s="3"/>
      <c r="G31" s="1" t="s">
        <v>564</v>
      </c>
      <c r="H31" s="1" t="s">
        <v>565</v>
      </c>
      <c r="I31" s="1" t="s">
        <v>557</v>
      </c>
      <c r="J31" s="7">
        <f>((J27-J28)*J29)-J30</f>
        <v>3778.5124966679991</v>
      </c>
      <c r="L31" s="1" t="s">
        <v>564</v>
      </c>
      <c r="M31" s="1" t="s">
        <v>565</v>
      </c>
      <c r="N31" s="1" t="s">
        <v>557</v>
      </c>
      <c r="O31" s="7">
        <f>((O27-O28)*O29)-O30</f>
        <v>2292.8528737295997</v>
      </c>
    </row>
    <row r="32" spans="2:15">
      <c r="D32" s="5"/>
      <c r="F32" s="3"/>
      <c r="I32" s="5"/>
      <c r="N32" s="5"/>
    </row>
    <row r="33" spans="2:15">
      <c r="B33" s="251" t="s">
        <v>566</v>
      </c>
      <c r="C33" s="251"/>
      <c r="D33" s="251"/>
      <c r="E33" s="251"/>
      <c r="F33" s="3"/>
      <c r="G33" s="251" t="s">
        <v>566</v>
      </c>
      <c r="H33" s="251"/>
      <c r="I33" s="251"/>
      <c r="J33" s="251"/>
      <c r="L33" s="251" t="s">
        <v>566</v>
      </c>
      <c r="M33" s="251"/>
      <c r="N33" s="251"/>
      <c r="O33" s="251"/>
    </row>
    <row r="34" spans="2:15">
      <c r="B34" s="13" t="s">
        <v>567</v>
      </c>
      <c r="C34" s="1"/>
      <c r="D34" s="14"/>
      <c r="E34" s="23">
        <f>1-E35</f>
        <v>0.95</v>
      </c>
      <c r="F34" s="3"/>
      <c r="G34" s="13" t="s">
        <v>567</v>
      </c>
      <c r="H34" s="1"/>
      <c r="I34" s="14"/>
      <c r="J34" s="23">
        <f>1-J35</f>
        <v>0.95</v>
      </c>
      <c r="L34" s="13" t="s">
        <v>567</v>
      </c>
      <c r="M34" s="1"/>
      <c r="N34" s="14"/>
      <c r="O34" s="23">
        <f>1-O35</f>
        <v>0.95</v>
      </c>
    </row>
    <row r="35" spans="2:15">
      <c r="B35" s="13" t="s">
        <v>568</v>
      </c>
      <c r="C35" s="1" t="s">
        <v>569</v>
      </c>
      <c r="D35" s="14" t="s">
        <v>37</v>
      </c>
      <c r="E35" s="23">
        <v>0.05</v>
      </c>
      <c r="F35" s="3"/>
      <c r="G35" s="13" t="s">
        <v>568</v>
      </c>
      <c r="H35" s="1" t="s">
        <v>569</v>
      </c>
      <c r="I35" s="14" t="s">
        <v>37</v>
      </c>
      <c r="J35" s="23">
        <v>0.05</v>
      </c>
      <c r="L35" s="13" t="s">
        <v>568</v>
      </c>
      <c r="M35" s="1" t="s">
        <v>569</v>
      </c>
      <c r="N35" s="14" t="s">
        <v>37</v>
      </c>
      <c r="O35" s="23">
        <v>0.05</v>
      </c>
    </row>
    <row r="36" spans="2:15">
      <c r="B36" s="15" t="s">
        <v>564</v>
      </c>
      <c r="C36" s="15" t="s">
        <v>571</v>
      </c>
      <c r="D36" s="15" t="s">
        <v>557</v>
      </c>
      <c r="E36" s="25">
        <f>E31*(1-E35)</f>
        <v>5767.797101877718</v>
      </c>
      <c r="F36" s="3"/>
      <c r="G36" s="15" t="s">
        <v>564</v>
      </c>
      <c r="H36" s="15" t="s">
        <v>571</v>
      </c>
      <c r="I36" s="15" t="s">
        <v>557</v>
      </c>
      <c r="J36" s="25">
        <f>J31*(1-J35)</f>
        <v>3589.5868718345992</v>
      </c>
      <c r="L36" s="15" t="s">
        <v>564</v>
      </c>
      <c r="M36" s="15" t="s">
        <v>571</v>
      </c>
      <c r="N36" s="15" t="s">
        <v>557</v>
      </c>
      <c r="O36" s="25">
        <f>O31*(1-O35)</f>
        <v>2178.2102300431197</v>
      </c>
    </row>
    <row r="37" spans="2:15">
      <c r="B37" s="21" t="s">
        <v>580</v>
      </c>
      <c r="C37" s="20" t="s">
        <v>571</v>
      </c>
      <c r="D37" s="20" t="s">
        <v>557</v>
      </c>
      <c r="E37" s="26">
        <f>J37+O37</f>
        <v>5767</v>
      </c>
      <c r="F37" s="3"/>
      <c r="G37" s="21" t="s">
        <v>580</v>
      </c>
      <c r="H37" s="20" t="s">
        <v>571</v>
      </c>
      <c r="I37" s="20" t="s">
        <v>557</v>
      </c>
      <c r="J37" s="26">
        <f>_xlfn.FLOOR.MATH(J36)</f>
        <v>3589</v>
      </c>
      <c r="L37" s="21" t="s">
        <v>580</v>
      </c>
      <c r="M37" s="20" t="s">
        <v>571</v>
      </c>
      <c r="N37" s="20" t="s">
        <v>557</v>
      </c>
      <c r="O37" s="26">
        <f>_xlfn.FLOOR.MATH(O36)</f>
        <v>2178</v>
      </c>
    </row>
    <row r="38" spans="2:15">
      <c r="C38" s="252"/>
      <c r="D38" s="252"/>
      <c r="F38" s="3"/>
      <c r="H38" s="252"/>
      <c r="I38" s="252"/>
      <c r="M38" s="252"/>
      <c r="N38" s="252"/>
    </row>
    <row r="39" spans="2:15">
      <c r="C39" s="107"/>
      <c r="D39" s="108"/>
      <c r="F39" s="3"/>
      <c r="I39" s="27"/>
    </row>
    <row r="40" spans="2:15">
      <c r="C40" s="107"/>
      <c r="D40" s="168"/>
      <c r="E40" s="27"/>
      <c r="F40" s="3"/>
      <c r="J40" s="27"/>
    </row>
    <row r="41" spans="2:15">
      <c r="E41" s="106"/>
      <c r="F41" s="3"/>
      <c r="J41" s="16"/>
      <c r="O41" s="16"/>
    </row>
    <row r="42" spans="2:15">
      <c r="D42" s="168"/>
      <c r="F42" s="3"/>
    </row>
    <row r="43" spans="2:15">
      <c r="F43" s="3"/>
    </row>
    <row r="47" spans="2:15">
      <c r="E47" s="27"/>
    </row>
  </sheetData>
  <mergeCells count="21">
    <mergeCell ref="H38:I38"/>
    <mergeCell ref="B26:E26"/>
    <mergeCell ref="B33:E33"/>
    <mergeCell ref="B2:E2"/>
    <mergeCell ref="B4:E4"/>
    <mergeCell ref="B12:E12"/>
    <mergeCell ref="B20:E20"/>
    <mergeCell ref="C38:D38"/>
    <mergeCell ref="G2:J2"/>
    <mergeCell ref="G4:J4"/>
    <mergeCell ref="G12:J12"/>
    <mergeCell ref="G20:J20"/>
    <mergeCell ref="G26:J26"/>
    <mergeCell ref="G33:J33"/>
    <mergeCell ref="L33:O33"/>
    <mergeCell ref="M38:N38"/>
    <mergeCell ref="L2:O2"/>
    <mergeCell ref="L4:O4"/>
    <mergeCell ref="L12:O12"/>
    <mergeCell ref="L20:O20"/>
    <mergeCell ref="L26:O2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7AF4-EC04-4D1A-A947-29960D7BFE73}">
  <dimension ref="B1:O47"/>
  <sheetViews>
    <sheetView topLeftCell="A7" zoomScaleNormal="100" workbookViewId="0">
      <selection activeCell="E34" sqref="E34"/>
    </sheetView>
  </sheetViews>
  <sheetFormatPr defaultRowHeight="14.25"/>
  <cols>
    <col min="2" max="2" width="60.7109375" bestFit="1" customWidth="1"/>
    <col min="3" max="3" width="18.28515625" bestFit="1" customWidth="1"/>
    <col min="4" max="4" width="12.42578125" bestFit="1" customWidth="1"/>
    <col min="5" max="5" width="12.7109375" customWidth="1"/>
    <col min="6" max="6" width="7.28515625" customWidth="1"/>
    <col min="7" max="7" width="60.7109375" bestFit="1" customWidth="1"/>
    <col min="8" max="8" width="18.28515625" bestFit="1" customWidth="1"/>
    <col min="9" max="9" width="12.42578125" bestFit="1" customWidth="1"/>
    <col min="10" max="10" width="12.5703125" customWidth="1"/>
    <col min="11" max="11" width="5" customWidth="1"/>
    <col min="12" max="12" width="60.7109375" bestFit="1" customWidth="1"/>
    <col min="13" max="13" width="18.28515625" bestFit="1" customWidth="1"/>
    <col min="14" max="14" width="12.42578125" bestFit="1" customWidth="1"/>
    <col min="15" max="15" width="12.28515625" customWidth="1"/>
  </cols>
  <sheetData>
    <row r="1" spans="2:15" ht="14.65" customHeight="1"/>
    <row r="2" spans="2:15" ht="15" customHeight="1">
      <c r="B2" s="250" t="s">
        <v>573</v>
      </c>
      <c r="C2" s="250"/>
      <c r="D2" s="250"/>
      <c r="E2" s="250"/>
      <c r="G2" s="250" t="s">
        <v>574</v>
      </c>
      <c r="H2" s="250"/>
      <c r="I2" s="250"/>
      <c r="J2" s="250"/>
      <c r="L2" s="250" t="s">
        <v>575</v>
      </c>
      <c r="M2" s="250"/>
      <c r="N2" s="250"/>
      <c r="O2" s="250"/>
    </row>
    <row r="4" spans="2:15" s="3" customFormat="1">
      <c r="B4" s="248" t="s">
        <v>516</v>
      </c>
      <c r="C4" s="249"/>
      <c r="D4" s="249"/>
      <c r="E4" s="253"/>
      <c r="G4" s="248" t="s">
        <v>516</v>
      </c>
      <c r="H4" s="249"/>
      <c r="I4" s="249"/>
      <c r="J4" s="253"/>
      <c r="L4" s="248" t="s">
        <v>516</v>
      </c>
      <c r="M4" s="249"/>
      <c r="N4" s="249"/>
      <c r="O4" s="253"/>
    </row>
    <row r="5" spans="2:15">
      <c r="B5" s="1" t="s">
        <v>517</v>
      </c>
      <c r="C5" s="1" t="s">
        <v>518</v>
      </c>
      <c r="D5" s="1" t="s">
        <v>519</v>
      </c>
      <c r="E5" s="37">
        <v>0.02</v>
      </c>
      <c r="F5" s="3"/>
      <c r="G5" s="1" t="s">
        <v>517</v>
      </c>
      <c r="H5" s="1" t="s">
        <v>518</v>
      </c>
      <c r="I5" s="1" t="s">
        <v>519</v>
      </c>
      <c r="J5" s="37">
        <v>0.02</v>
      </c>
      <c r="L5" s="1" t="s">
        <v>517</v>
      </c>
      <c r="M5" s="1" t="s">
        <v>518</v>
      </c>
      <c r="N5" s="1" t="s">
        <v>519</v>
      </c>
      <c r="O5" s="109">
        <f>J5</f>
        <v>0.02</v>
      </c>
    </row>
    <row r="6" spans="2:15">
      <c r="B6" s="1" t="s">
        <v>520</v>
      </c>
      <c r="C6" s="1" t="s">
        <v>521</v>
      </c>
      <c r="D6" s="1"/>
      <c r="E6" s="4">
        <f>'Total PTDs'!AM19</f>
        <v>1340700</v>
      </c>
      <c r="F6" s="3"/>
      <c r="G6" s="1" t="s">
        <v>520</v>
      </c>
      <c r="H6" s="1" t="s">
        <v>521</v>
      </c>
      <c r="I6" s="1"/>
      <c r="J6" s="4">
        <f>'Total PTDs'!AH19</f>
        <v>834000</v>
      </c>
      <c r="L6" s="1" t="s">
        <v>520</v>
      </c>
      <c r="M6" s="1" t="s">
        <v>521</v>
      </c>
      <c r="N6" s="1"/>
      <c r="O6" s="4">
        <f>'Total PTDs'!AL19</f>
        <v>506700</v>
      </c>
    </row>
    <row r="7" spans="2:15">
      <c r="B7" s="1" t="s">
        <v>522</v>
      </c>
      <c r="C7" s="1" t="s">
        <v>523</v>
      </c>
      <c r="D7" s="1" t="s">
        <v>524</v>
      </c>
      <c r="E7" s="12">
        <f>J7</f>
        <v>4.0000000000000002E-4</v>
      </c>
      <c r="F7" s="3"/>
      <c r="G7" s="1" t="s">
        <v>522</v>
      </c>
      <c r="H7" s="1" t="s">
        <v>523</v>
      </c>
      <c r="I7" s="1" t="s">
        <v>524</v>
      </c>
      <c r="J7" s="12">
        <v>4.0000000000000002E-4</v>
      </c>
      <c r="L7" s="1" t="s">
        <v>522</v>
      </c>
      <c r="M7" s="1" t="s">
        <v>523</v>
      </c>
      <c r="N7" s="1" t="s">
        <v>524</v>
      </c>
      <c r="O7" s="12">
        <f>J7</f>
        <v>4.0000000000000002E-4</v>
      </c>
    </row>
    <row r="8" spans="2:15" ht="28.5">
      <c r="B8" s="2" t="s">
        <v>577</v>
      </c>
      <c r="C8" s="1" t="s">
        <v>526</v>
      </c>
      <c r="D8" s="1" t="s">
        <v>527</v>
      </c>
      <c r="E8" s="1">
        <v>7.5</v>
      </c>
      <c r="F8" s="3"/>
      <c r="G8" s="2" t="s">
        <v>577</v>
      </c>
      <c r="H8" s="1" t="s">
        <v>526</v>
      </c>
      <c r="I8" s="1" t="s">
        <v>527</v>
      </c>
      <c r="J8" s="1">
        <v>7.5</v>
      </c>
      <c r="L8" s="2" t="s">
        <v>577</v>
      </c>
      <c r="M8" s="1" t="s">
        <v>526</v>
      </c>
      <c r="N8" s="1" t="s">
        <v>527</v>
      </c>
      <c r="O8" s="1">
        <v>7.5</v>
      </c>
    </row>
    <row r="9" spans="2:15">
      <c r="B9" s="2" t="s">
        <v>528</v>
      </c>
      <c r="C9" s="1" t="s">
        <v>529</v>
      </c>
      <c r="D9" s="1" t="s">
        <v>527</v>
      </c>
      <c r="E9" s="1">
        <v>0</v>
      </c>
      <c r="F9" s="3"/>
      <c r="G9" s="2" t="s">
        <v>528</v>
      </c>
      <c r="H9" s="1" t="s">
        <v>529</v>
      </c>
      <c r="I9" s="1" t="s">
        <v>527</v>
      </c>
      <c r="J9" s="1">
        <v>0</v>
      </c>
      <c r="L9" s="2" t="s">
        <v>528</v>
      </c>
      <c r="M9" s="1" t="s">
        <v>529</v>
      </c>
      <c r="N9" s="1" t="s">
        <v>527</v>
      </c>
      <c r="O9" s="1">
        <v>0</v>
      </c>
    </row>
    <row r="10" spans="2:15">
      <c r="B10" s="1" t="s">
        <v>530</v>
      </c>
      <c r="C10" s="1" t="s">
        <v>531</v>
      </c>
      <c r="D10" s="1" t="s">
        <v>532</v>
      </c>
      <c r="E10" s="4">
        <f>(1-E5)*E6*E7*(E8+E9)</f>
        <v>3941.6579999999999</v>
      </c>
      <c r="F10" s="3"/>
      <c r="G10" s="1" t="s">
        <v>530</v>
      </c>
      <c r="H10" s="1" t="s">
        <v>531</v>
      </c>
      <c r="I10" s="1" t="s">
        <v>532</v>
      </c>
      <c r="J10" s="7">
        <f>(1-J5)*J6*J7*(J8+J9)</f>
        <v>2451.96</v>
      </c>
      <c r="L10" s="1" t="s">
        <v>530</v>
      </c>
      <c r="M10" s="1" t="s">
        <v>531</v>
      </c>
      <c r="N10" s="1" t="s">
        <v>532</v>
      </c>
      <c r="O10" s="7">
        <f>(1-O5)*O6*O7*(O8+O9)</f>
        <v>1489.6980000000001</v>
      </c>
    </row>
    <row r="11" spans="2:15">
      <c r="F11" s="3"/>
    </row>
    <row r="12" spans="2:15">
      <c r="B12" s="248" t="s">
        <v>533</v>
      </c>
      <c r="C12" s="249"/>
      <c r="D12" s="249"/>
      <c r="E12" s="253"/>
      <c r="F12" s="3"/>
      <c r="G12" s="248" t="s">
        <v>533</v>
      </c>
      <c r="H12" s="249"/>
      <c r="I12" s="249"/>
      <c r="J12" s="253"/>
      <c r="L12" s="248" t="s">
        <v>533</v>
      </c>
      <c r="M12" s="249"/>
      <c r="N12" s="249"/>
      <c r="O12" s="253"/>
    </row>
    <row r="13" spans="2:15">
      <c r="B13" s="1" t="s">
        <v>534</v>
      </c>
      <c r="C13" s="1" t="s">
        <v>518</v>
      </c>
      <c r="D13" s="1" t="s">
        <v>519</v>
      </c>
      <c r="E13" s="37">
        <v>0.02</v>
      </c>
      <c r="F13" s="3"/>
      <c r="G13" s="1" t="s">
        <v>534</v>
      </c>
      <c r="H13" s="1" t="s">
        <v>518</v>
      </c>
      <c r="I13" s="1" t="s">
        <v>519</v>
      </c>
      <c r="J13" s="109">
        <f>J5</f>
        <v>0.02</v>
      </c>
      <c r="L13" s="1" t="s">
        <v>534</v>
      </c>
      <c r="M13" s="1" t="s">
        <v>518</v>
      </c>
      <c r="N13" s="1" t="s">
        <v>519</v>
      </c>
      <c r="O13" s="109">
        <f>O5</f>
        <v>0.02</v>
      </c>
    </row>
    <row r="14" spans="2:15">
      <c r="B14" s="1" t="s">
        <v>520</v>
      </c>
      <c r="C14" s="1" t="s">
        <v>521</v>
      </c>
      <c r="D14" s="1"/>
      <c r="E14" s="4">
        <f>E6</f>
        <v>1340700</v>
      </c>
      <c r="F14" s="3"/>
      <c r="G14" s="1" t="s">
        <v>520</v>
      </c>
      <c r="H14" s="1" t="s">
        <v>521</v>
      </c>
      <c r="I14" s="1"/>
      <c r="J14" s="4">
        <f>J6</f>
        <v>834000</v>
      </c>
      <c r="L14" s="1" t="s">
        <v>520</v>
      </c>
      <c r="M14" s="1" t="s">
        <v>521</v>
      </c>
      <c r="N14" s="1"/>
      <c r="O14" s="4">
        <f>O6</f>
        <v>506700</v>
      </c>
    </row>
    <row r="15" spans="2:15">
      <c r="B15" s="1" t="s">
        <v>535</v>
      </c>
      <c r="C15" s="1" t="s">
        <v>536</v>
      </c>
      <c r="D15" s="1" t="s">
        <v>524</v>
      </c>
      <c r="E15" s="12">
        <f>E7</f>
        <v>4.0000000000000002E-4</v>
      </c>
      <c r="F15" s="3"/>
      <c r="G15" s="1" t="s">
        <v>535</v>
      </c>
      <c r="H15" s="1" t="s">
        <v>536</v>
      </c>
      <c r="I15" s="1" t="s">
        <v>524</v>
      </c>
      <c r="J15" s="12">
        <f>J7</f>
        <v>4.0000000000000002E-4</v>
      </c>
      <c r="L15" s="1" t="s">
        <v>535</v>
      </c>
      <c r="M15" s="1" t="s">
        <v>536</v>
      </c>
      <c r="N15" s="1" t="s">
        <v>524</v>
      </c>
      <c r="O15" s="12">
        <f>O7</f>
        <v>4.0000000000000002E-4</v>
      </c>
    </row>
    <row r="16" spans="2:15">
      <c r="B16" s="1" t="s">
        <v>537</v>
      </c>
      <c r="C16" s="1" t="s">
        <v>529</v>
      </c>
      <c r="D16" s="1" t="s">
        <v>527</v>
      </c>
      <c r="E16" s="1">
        <v>0</v>
      </c>
      <c r="F16" s="3"/>
      <c r="G16" s="1" t="s">
        <v>537</v>
      </c>
      <c r="H16" s="1" t="s">
        <v>529</v>
      </c>
      <c r="I16" s="1" t="s">
        <v>527</v>
      </c>
      <c r="J16" s="1">
        <v>0</v>
      </c>
      <c r="L16" s="1" t="s">
        <v>537</v>
      </c>
      <c r="M16" s="1" t="s">
        <v>529</v>
      </c>
      <c r="N16" s="1" t="s">
        <v>527</v>
      </c>
      <c r="O16" s="1">
        <v>0</v>
      </c>
    </row>
    <row r="17" spans="2:15">
      <c r="B17" s="1" t="s">
        <v>538</v>
      </c>
      <c r="C17" s="1" t="s">
        <v>539</v>
      </c>
      <c r="D17" s="1" t="s">
        <v>527</v>
      </c>
      <c r="E17" s="22">
        <v>0</v>
      </c>
      <c r="F17" s="3"/>
      <c r="G17" s="1" t="s">
        <v>538</v>
      </c>
      <c r="H17" s="1" t="s">
        <v>539</v>
      </c>
      <c r="I17" s="1" t="s">
        <v>527</v>
      </c>
      <c r="J17" s="22">
        <v>0</v>
      </c>
      <c r="L17" s="1" t="s">
        <v>538</v>
      </c>
      <c r="M17" s="1" t="s">
        <v>539</v>
      </c>
      <c r="N17" s="1" t="s">
        <v>527</v>
      </c>
      <c r="O17" s="22">
        <v>0</v>
      </c>
    </row>
    <row r="18" spans="2:15">
      <c r="B18" s="1" t="s">
        <v>540</v>
      </c>
      <c r="C18" s="1" t="s">
        <v>541</v>
      </c>
      <c r="D18" s="1" t="s">
        <v>532</v>
      </c>
      <c r="E18" s="7">
        <f>(1-E13)*E14*E15*(E16+E17)</f>
        <v>0</v>
      </c>
      <c r="F18" s="3"/>
      <c r="G18" s="1" t="s">
        <v>540</v>
      </c>
      <c r="H18" s="1" t="s">
        <v>541</v>
      </c>
      <c r="I18" s="1" t="s">
        <v>532</v>
      </c>
      <c r="J18" s="7">
        <f>(1-J13)*J14*J15*(J16+J17)</f>
        <v>0</v>
      </c>
      <c r="L18" s="1" t="s">
        <v>540</v>
      </c>
      <c r="M18" s="1" t="s">
        <v>541</v>
      </c>
      <c r="N18" s="1" t="s">
        <v>532</v>
      </c>
      <c r="O18" s="7">
        <f>(1-O13)*O14*O15*(O16+O17)</f>
        <v>0</v>
      </c>
    </row>
    <row r="19" spans="2:15">
      <c r="F19" s="3"/>
    </row>
    <row r="20" spans="2:15">
      <c r="B20" s="248" t="s">
        <v>542</v>
      </c>
      <c r="C20" s="249"/>
      <c r="D20" s="249"/>
      <c r="E20" s="253"/>
      <c r="F20" s="3"/>
      <c r="G20" s="248" t="s">
        <v>542</v>
      </c>
      <c r="H20" s="249"/>
      <c r="I20" s="249"/>
      <c r="J20" s="253"/>
      <c r="L20" s="248" t="s">
        <v>542</v>
      </c>
      <c r="M20" s="249"/>
      <c r="N20" s="249"/>
      <c r="O20" s="253"/>
    </row>
    <row r="21" spans="2:15">
      <c r="B21" s="2" t="s">
        <v>543</v>
      </c>
      <c r="C21" s="1" t="s">
        <v>543</v>
      </c>
      <c r="D21" s="1" t="s">
        <v>544</v>
      </c>
      <c r="E21" s="8">
        <v>0.95</v>
      </c>
      <c r="F21" s="3"/>
      <c r="G21" s="2" t="s">
        <v>543</v>
      </c>
      <c r="H21" s="1" t="s">
        <v>543</v>
      </c>
      <c r="I21" s="1" t="s">
        <v>544</v>
      </c>
      <c r="J21" s="8">
        <v>0.95</v>
      </c>
      <c r="L21" s="2" t="s">
        <v>543</v>
      </c>
      <c r="M21" s="1" t="s">
        <v>543</v>
      </c>
      <c r="N21" s="1" t="s">
        <v>544</v>
      </c>
      <c r="O21" s="8">
        <v>0.95</v>
      </c>
    </row>
    <row r="22" spans="2:15">
      <c r="B22" s="1" t="s">
        <v>545</v>
      </c>
      <c r="C22" s="1" t="s">
        <v>546</v>
      </c>
      <c r="D22" s="1" t="s">
        <v>547</v>
      </c>
      <c r="E22" s="1">
        <v>112</v>
      </c>
      <c r="F22" s="3"/>
      <c r="G22" s="1" t="s">
        <v>545</v>
      </c>
      <c r="H22" s="1" t="s">
        <v>546</v>
      </c>
      <c r="I22" s="1" t="s">
        <v>547</v>
      </c>
      <c r="J22" s="1">
        <v>112</v>
      </c>
      <c r="L22" s="1" t="s">
        <v>545</v>
      </c>
      <c r="M22" s="1" t="s">
        <v>546</v>
      </c>
      <c r="N22" s="1" t="s">
        <v>547</v>
      </c>
      <c r="O22" s="1">
        <v>112</v>
      </c>
    </row>
    <row r="23" spans="2:15">
      <c r="B23" s="1" t="s">
        <v>578</v>
      </c>
      <c r="C23" s="1" t="s">
        <v>549</v>
      </c>
      <c r="D23" s="1" t="s">
        <v>550</v>
      </c>
      <c r="E23" s="161">
        <f>(J6*J23+O6*O23)/E6</f>
        <v>9.4600000000000009</v>
      </c>
      <c r="F23" s="3"/>
      <c r="G23" s="1" t="s">
        <v>548</v>
      </c>
      <c r="H23" s="1" t="s">
        <v>549</v>
      </c>
      <c r="I23" s="1" t="s">
        <v>550</v>
      </c>
      <c r="J23" s="1">
        <v>9.4600000000000009</v>
      </c>
      <c r="L23" s="1" t="s">
        <v>548</v>
      </c>
      <c r="M23" s="1" t="s">
        <v>549</v>
      </c>
      <c r="N23" s="1" t="s">
        <v>550</v>
      </c>
      <c r="O23" s="1">
        <f>9.46</f>
        <v>9.4600000000000009</v>
      </c>
    </row>
    <row r="24" spans="2:15">
      <c r="B24" s="1" t="s">
        <v>551</v>
      </c>
      <c r="C24" s="1" t="s">
        <v>552</v>
      </c>
      <c r="D24" s="1" t="s">
        <v>553</v>
      </c>
      <c r="E24" s="1">
        <f>0.0156</f>
        <v>1.5599999999999999E-2</v>
      </c>
      <c r="F24" s="3"/>
      <c r="G24" s="1" t="s">
        <v>551</v>
      </c>
      <c r="H24" s="1" t="s">
        <v>552</v>
      </c>
      <c r="I24" s="1" t="s">
        <v>553</v>
      </c>
      <c r="J24" s="1">
        <v>1.5599999999999999E-2</v>
      </c>
      <c r="L24" s="1" t="s">
        <v>551</v>
      </c>
      <c r="M24" s="1" t="s">
        <v>552</v>
      </c>
      <c r="N24" s="1" t="s">
        <v>553</v>
      </c>
      <c r="O24" s="1">
        <v>1.5599999999999999E-2</v>
      </c>
    </row>
    <row r="25" spans="2:15">
      <c r="F25" s="3"/>
    </row>
    <row r="26" spans="2:15">
      <c r="B26" s="248" t="s">
        <v>554</v>
      </c>
      <c r="C26" s="249"/>
      <c r="D26" s="249"/>
      <c r="E26" s="253"/>
      <c r="F26" s="3"/>
      <c r="G26" s="248" t="s">
        <v>554</v>
      </c>
      <c r="H26" s="249"/>
      <c r="I26" s="249"/>
      <c r="J26" s="253"/>
      <c r="L26" s="248" t="s">
        <v>554</v>
      </c>
      <c r="M26" s="249"/>
      <c r="N26" s="249"/>
      <c r="O26" s="253"/>
    </row>
    <row r="27" spans="2:15">
      <c r="B27" s="1" t="s">
        <v>555</v>
      </c>
      <c r="C27" s="1" t="s">
        <v>556</v>
      </c>
      <c r="D27" s="1" t="s">
        <v>557</v>
      </c>
      <c r="E27" s="4">
        <f>E10*((E22*E21)+E23)*E24</f>
        <v>7124.2157357279984</v>
      </c>
      <c r="F27" s="3"/>
      <c r="G27" s="1" t="s">
        <v>555</v>
      </c>
      <c r="H27" s="1" t="s">
        <v>556</v>
      </c>
      <c r="I27" s="1" t="s">
        <v>557</v>
      </c>
      <c r="J27" s="4">
        <f>J10*((J22*J21)+J23)*J24</f>
        <v>4431.7117353599997</v>
      </c>
      <c r="L27" s="1" t="s">
        <v>555</v>
      </c>
      <c r="M27" s="1" t="s">
        <v>556</v>
      </c>
      <c r="N27" s="1" t="s">
        <v>557</v>
      </c>
      <c r="O27" s="4">
        <f>O10*((O22*O21)+O23)*O24</f>
        <v>2692.5040003679997</v>
      </c>
    </row>
    <row r="28" spans="2:15">
      <c r="B28" s="1" t="s">
        <v>558</v>
      </c>
      <c r="C28" s="1" t="s">
        <v>559</v>
      </c>
      <c r="D28" s="1" t="s">
        <v>557</v>
      </c>
      <c r="E28" s="4">
        <f>E18*((E22*E21)+E23)*E24</f>
        <v>0</v>
      </c>
      <c r="F28" s="3"/>
      <c r="G28" s="1" t="s">
        <v>558</v>
      </c>
      <c r="H28" s="1" t="s">
        <v>559</v>
      </c>
      <c r="I28" s="1" t="s">
        <v>557</v>
      </c>
      <c r="J28" s="4">
        <f>J18*((J22*J21)+J23)*J24</f>
        <v>0</v>
      </c>
      <c r="L28" s="1" t="s">
        <v>558</v>
      </c>
      <c r="M28" s="1" t="s">
        <v>559</v>
      </c>
      <c r="N28" s="1" t="s">
        <v>557</v>
      </c>
      <c r="O28" s="4">
        <f>O18*((O22*O21)+O23)*O24</f>
        <v>0</v>
      </c>
    </row>
    <row r="29" spans="2:15">
      <c r="B29" s="1" t="s">
        <v>579</v>
      </c>
      <c r="C29" s="1" t="s">
        <v>561</v>
      </c>
      <c r="D29" s="1" t="s">
        <v>519</v>
      </c>
      <c r="E29" s="1">
        <v>0.95</v>
      </c>
      <c r="F29" s="3"/>
      <c r="G29" s="1" t="s">
        <v>579</v>
      </c>
      <c r="H29" s="1" t="s">
        <v>561</v>
      </c>
      <c r="I29" s="1" t="s">
        <v>519</v>
      </c>
      <c r="J29" s="1">
        <v>0.95</v>
      </c>
      <c r="L29" s="1" t="s">
        <v>579</v>
      </c>
      <c r="M29" s="1" t="s">
        <v>561</v>
      </c>
      <c r="N29" s="1" t="s">
        <v>519</v>
      </c>
      <c r="O29" s="1">
        <v>0.95</v>
      </c>
    </row>
    <row r="30" spans="2:15">
      <c r="B30" s="1" t="s">
        <v>562</v>
      </c>
      <c r="C30" s="1" t="s">
        <v>563</v>
      </c>
      <c r="D30" s="1" t="s">
        <v>557</v>
      </c>
      <c r="E30" s="1">
        <v>0</v>
      </c>
      <c r="F30" s="3"/>
      <c r="G30" s="1" t="s">
        <v>562</v>
      </c>
      <c r="H30" s="1" t="s">
        <v>563</v>
      </c>
      <c r="I30" s="1" t="s">
        <v>557</v>
      </c>
      <c r="J30" s="1">
        <v>0</v>
      </c>
      <c r="L30" s="1" t="s">
        <v>562</v>
      </c>
      <c r="M30" s="1" t="s">
        <v>563</v>
      </c>
      <c r="N30" s="1" t="s">
        <v>557</v>
      </c>
      <c r="O30" s="1">
        <v>0</v>
      </c>
    </row>
    <row r="31" spans="2:15">
      <c r="B31" s="1" t="s">
        <v>564</v>
      </c>
      <c r="C31" s="1" t="s">
        <v>565</v>
      </c>
      <c r="D31" s="1" t="s">
        <v>557</v>
      </c>
      <c r="E31" s="4">
        <f>((E27-E28)*E29)-E30</f>
        <v>6768.0049489415978</v>
      </c>
      <c r="F31" s="3"/>
      <c r="G31" s="1" t="s">
        <v>564</v>
      </c>
      <c r="H31" s="1" t="s">
        <v>565</v>
      </c>
      <c r="I31" s="1" t="s">
        <v>557</v>
      </c>
      <c r="J31" s="7">
        <f>((J27-J28)*J29)-J30</f>
        <v>4210.1261485919995</v>
      </c>
      <c r="L31" s="1" t="s">
        <v>564</v>
      </c>
      <c r="M31" s="1" t="s">
        <v>565</v>
      </c>
      <c r="N31" s="1" t="s">
        <v>557</v>
      </c>
      <c r="O31" s="7">
        <f>((O27-O28)*O29)-O30</f>
        <v>2557.8788003495997</v>
      </c>
    </row>
    <row r="32" spans="2:15">
      <c r="D32" s="5"/>
      <c r="F32" s="3"/>
      <c r="I32" s="5"/>
      <c r="N32" s="5"/>
    </row>
    <row r="33" spans="2:15">
      <c r="B33" s="251" t="s">
        <v>566</v>
      </c>
      <c r="C33" s="251"/>
      <c r="D33" s="251"/>
      <c r="E33" s="251"/>
      <c r="F33" s="3"/>
      <c r="G33" s="251" t="s">
        <v>566</v>
      </c>
      <c r="H33" s="251"/>
      <c r="I33" s="251"/>
      <c r="J33" s="251"/>
      <c r="L33" s="251" t="s">
        <v>566</v>
      </c>
      <c r="M33" s="251"/>
      <c r="N33" s="251"/>
      <c r="O33" s="251"/>
    </row>
    <row r="34" spans="2:15">
      <c r="B34" s="13" t="s">
        <v>567</v>
      </c>
      <c r="C34" s="1"/>
      <c r="D34" s="14"/>
      <c r="E34" s="23">
        <f>1-E35</f>
        <v>0.95</v>
      </c>
      <c r="F34" s="3"/>
      <c r="G34" s="13" t="s">
        <v>567</v>
      </c>
      <c r="H34" s="1"/>
      <c r="I34" s="14"/>
      <c r="J34" s="23">
        <f>1-J35</f>
        <v>0.95</v>
      </c>
      <c r="L34" s="13" t="s">
        <v>567</v>
      </c>
      <c r="M34" s="1"/>
      <c r="N34" s="14"/>
      <c r="O34" s="23">
        <f>1-O35</f>
        <v>0.95</v>
      </c>
    </row>
    <row r="35" spans="2:15">
      <c r="B35" s="13" t="s">
        <v>568</v>
      </c>
      <c r="C35" s="1" t="s">
        <v>569</v>
      </c>
      <c r="D35" s="14" t="s">
        <v>37</v>
      </c>
      <c r="E35" s="23">
        <v>0.05</v>
      </c>
      <c r="F35" s="3"/>
      <c r="G35" s="13" t="s">
        <v>568</v>
      </c>
      <c r="H35" s="1" t="s">
        <v>569</v>
      </c>
      <c r="I35" s="14" t="s">
        <v>37</v>
      </c>
      <c r="J35" s="23">
        <v>0.05</v>
      </c>
      <c r="L35" s="13" t="s">
        <v>568</v>
      </c>
      <c r="M35" s="1" t="s">
        <v>569</v>
      </c>
      <c r="N35" s="14" t="s">
        <v>37</v>
      </c>
      <c r="O35" s="23">
        <v>0.05</v>
      </c>
    </row>
    <row r="36" spans="2:15">
      <c r="B36" s="15" t="s">
        <v>564</v>
      </c>
      <c r="C36" s="15" t="s">
        <v>571</v>
      </c>
      <c r="D36" s="15" t="s">
        <v>557</v>
      </c>
      <c r="E36" s="25">
        <f>E31*(1-E35)</f>
        <v>6429.6047014945179</v>
      </c>
      <c r="F36" s="3"/>
      <c r="G36" s="15" t="s">
        <v>564</v>
      </c>
      <c r="H36" s="15" t="s">
        <v>571</v>
      </c>
      <c r="I36" s="15" t="s">
        <v>557</v>
      </c>
      <c r="J36" s="25">
        <f>J31*(1-J35)</f>
        <v>3999.6198411623991</v>
      </c>
      <c r="L36" s="15" t="s">
        <v>564</v>
      </c>
      <c r="M36" s="15" t="s">
        <v>571</v>
      </c>
      <c r="N36" s="15" t="s">
        <v>557</v>
      </c>
      <c r="O36" s="25">
        <f>O31*(1-O35)</f>
        <v>2429.9848603321198</v>
      </c>
    </row>
    <row r="37" spans="2:15">
      <c r="B37" s="21" t="s">
        <v>580</v>
      </c>
      <c r="C37" s="20" t="s">
        <v>571</v>
      </c>
      <c r="D37" s="20" t="s">
        <v>557</v>
      </c>
      <c r="E37" s="26">
        <f>J37+O37</f>
        <v>6428</v>
      </c>
      <c r="F37" s="3"/>
      <c r="G37" s="21" t="s">
        <v>580</v>
      </c>
      <c r="H37" s="20" t="s">
        <v>571</v>
      </c>
      <c r="I37" s="20" t="s">
        <v>557</v>
      </c>
      <c r="J37" s="26">
        <f>_xlfn.FLOOR.MATH(J36)</f>
        <v>3999</v>
      </c>
      <c r="L37" s="21" t="s">
        <v>580</v>
      </c>
      <c r="M37" s="20" t="s">
        <v>571</v>
      </c>
      <c r="N37" s="20" t="s">
        <v>557</v>
      </c>
      <c r="O37" s="26">
        <f>_xlfn.FLOOR.MATH(O36)</f>
        <v>2429</v>
      </c>
    </row>
    <row r="38" spans="2:15">
      <c r="C38" s="252"/>
      <c r="D38" s="252"/>
      <c r="F38" s="3"/>
      <c r="H38" s="252"/>
      <c r="I38" s="252"/>
      <c r="M38" s="252"/>
      <c r="N38" s="252"/>
    </row>
    <row r="39" spans="2:15">
      <c r="C39" s="107"/>
      <c r="D39" s="108"/>
      <c r="F39" s="3"/>
      <c r="I39" s="27"/>
    </row>
    <row r="40" spans="2:15">
      <c r="C40" s="107"/>
      <c r="E40" s="27"/>
      <c r="F40" s="3"/>
      <c r="J40" s="27"/>
    </row>
    <row r="41" spans="2:15">
      <c r="E41" s="106"/>
      <c r="F41" s="3"/>
      <c r="J41" s="16"/>
      <c r="O41" s="16"/>
    </row>
    <row r="42" spans="2:15">
      <c r="F42" s="3"/>
    </row>
    <row r="43" spans="2:15">
      <c r="F43" s="3"/>
    </row>
    <row r="47" spans="2:15">
      <c r="E47" s="27"/>
    </row>
  </sheetData>
  <mergeCells count="21">
    <mergeCell ref="C38:D38"/>
    <mergeCell ref="H38:I38"/>
    <mergeCell ref="M38:N38"/>
    <mergeCell ref="B26:E26"/>
    <mergeCell ref="G26:J26"/>
    <mergeCell ref="L26:O26"/>
    <mergeCell ref="B33:E33"/>
    <mergeCell ref="G33:J33"/>
    <mergeCell ref="L33:O33"/>
    <mergeCell ref="B12:E12"/>
    <mergeCell ref="G12:J12"/>
    <mergeCell ref="L12:O12"/>
    <mergeCell ref="B20:E20"/>
    <mergeCell ref="G20:J20"/>
    <mergeCell ref="L20:O20"/>
    <mergeCell ref="B2:E2"/>
    <mergeCell ref="G2:J2"/>
    <mergeCell ref="L2:O2"/>
    <mergeCell ref="B4:E4"/>
    <mergeCell ref="G4:J4"/>
    <mergeCell ref="L4:O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7AE77-A296-48D0-911F-0BFEAC104E5E}">
  <dimension ref="A1:P41"/>
  <sheetViews>
    <sheetView topLeftCell="A8" zoomScale="61" workbookViewId="0">
      <selection activeCell="O7" sqref="O7"/>
    </sheetView>
  </sheetViews>
  <sheetFormatPr defaultRowHeight="14.25"/>
  <cols>
    <col min="2" max="2" width="60.7109375" bestFit="1" customWidth="1"/>
    <col min="3" max="3" width="18.28515625" bestFit="1" customWidth="1"/>
    <col min="4" max="4" width="12.42578125" bestFit="1" customWidth="1"/>
    <col min="5" max="5" width="12.7109375" customWidth="1"/>
    <col min="6" max="6" width="7.28515625" customWidth="1"/>
    <col min="7" max="7" width="60.7109375" bestFit="1" customWidth="1"/>
    <col min="8" max="8" width="18.28515625" bestFit="1" customWidth="1"/>
    <col min="9" max="9" width="12.42578125" bestFit="1" customWidth="1"/>
    <col min="10" max="10" width="12.5703125" customWidth="1"/>
    <col min="11" max="11" width="5" customWidth="1"/>
    <col min="12" max="12" width="60.7109375" bestFit="1" customWidth="1"/>
    <col min="13" max="13" width="18.28515625" bestFit="1" customWidth="1"/>
    <col min="14" max="14" width="12.42578125" bestFit="1" customWidth="1"/>
    <col min="15" max="15" width="12.28515625" customWidth="1"/>
  </cols>
  <sheetData>
    <row r="1" spans="1:16" ht="14.65" customHeight="1"/>
    <row r="2" spans="1:16" ht="15" customHeight="1">
      <c r="B2" s="250" t="s">
        <v>573</v>
      </c>
      <c r="C2" s="250"/>
      <c r="D2" s="250"/>
      <c r="E2" s="250"/>
      <c r="G2" s="250" t="s">
        <v>574</v>
      </c>
      <c r="H2" s="250"/>
      <c r="I2" s="250"/>
      <c r="J2" s="250"/>
      <c r="L2" s="250" t="s">
        <v>575</v>
      </c>
      <c r="M2" s="250"/>
      <c r="N2" s="250"/>
      <c r="O2" s="250"/>
    </row>
    <row r="4" spans="1:16">
      <c r="A4" s="3"/>
      <c r="B4" s="248" t="s">
        <v>516</v>
      </c>
      <c r="C4" s="249"/>
      <c r="D4" s="249"/>
      <c r="E4" s="253"/>
      <c r="F4" s="3"/>
      <c r="G4" s="248" t="s">
        <v>516</v>
      </c>
      <c r="H4" s="249"/>
      <c r="I4" s="249"/>
      <c r="J4" s="253"/>
      <c r="K4" s="3"/>
      <c r="L4" s="248" t="s">
        <v>516</v>
      </c>
      <c r="M4" s="249"/>
      <c r="N4" s="249"/>
      <c r="O4" s="253"/>
      <c r="P4" s="3"/>
    </row>
    <row r="5" spans="1:16">
      <c r="B5" s="1" t="s">
        <v>517</v>
      </c>
      <c r="C5" s="1" t="s">
        <v>518</v>
      </c>
      <c r="D5" s="1" t="s">
        <v>519</v>
      </c>
      <c r="E5" s="37">
        <v>0.02</v>
      </c>
      <c r="F5" s="3"/>
      <c r="G5" s="1" t="s">
        <v>517</v>
      </c>
      <c r="H5" s="1" t="s">
        <v>518</v>
      </c>
      <c r="I5" s="1" t="s">
        <v>519</v>
      </c>
      <c r="J5" s="37">
        <v>0.02</v>
      </c>
      <c r="L5" s="1" t="s">
        <v>517</v>
      </c>
      <c r="M5" s="1" t="s">
        <v>518</v>
      </c>
      <c r="N5" s="1" t="s">
        <v>519</v>
      </c>
      <c r="O5" s="109">
        <f>J5</f>
        <v>0.02</v>
      </c>
    </row>
    <row r="6" spans="1:16">
      <c r="B6" s="1" t="s">
        <v>581</v>
      </c>
      <c r="C6" s="1" t="s">
        <v>521</v>
      </c>
      <c r="D6" s="1"/>
      <c r="E6" s="4">
        <f>'Total PTDs'!AM20</f>
        <v>1148400</v>
      </c>
      <c r="F6" s="3"/>
      <c r="G6" s="1" t="s">
        <v>520</v>
      </c>
      <c r="H6" s="1" t="s">
        <v>521</v>
      </c>
      <c r="I6" s="1"/>
      <c r="J6" s="4">
        <f>'Total PTDs'!AH20</f>
        <v>714600</v>
      </c>
      <c r="L6" s="1" t="s">
        <v>520</v>
      </c>
      <c r="M6" s="1" t="s">
        <v>521</v>
      </c>
      <c r="N6" s="1"/>
      <c r="O6" s="4">
        <f>'Total PTDs'!AL20</f>
        <v>433800</v>
      </c>
    </row>
    <row r="7" spans="1:16">
      <c r="B7" s="1" t="s">
        <v>522</v>
      </c>
      <c r="C7" s="1" t="s">
        <v>523</v>
      </c>
      <c r="D7" s="1" t="s">
        <v>524</v>
      </c>
      <c r="E7" s="12">
        <f>J7</f>
        <v>4.0000000000000002E-4</v>
      </c>
      <c r="F7" s="3"/>
      <c r="G7" s="1" t="s">
        <v>522</v>
      </c>
      <c r="H7" s="1" t="s">
        <v>523</v>
      </c>
      <c r="I7" s="1" t="s">
        <v>524</v>
      </c>
      <c r="J7" s="12">
        <v>4.0000000000000002E-4</v>
      </c>
      <c r="L7" s="1" t="s">
        <v>522</v>
      </c>
      <c r="M7" s="1" t="s">
        <v>523</v>
      </c>
      <c r="N7" s="1" t="s">
        <v>524</v>
      </c>
      <c r="O7" s="12">
        <f>J7</f>
        <v>4.0000000000000002E-4</v>
      </c>
    </row>
    <row r="8" spans="1:16" ht="28.5">
      <c r="B8" s="2" t="s">
        <v>577</v>
      </c>
      <c r="C8" s="1" t="s">
        <v>526</v>
      </c>
      <c r="D8" s="1" t="s">
        <v>527</v>
      </c>
      <c r="E8" s="1">
        <v>7.5</v>
      </c>
      <c r="F8" s="3"/>
      <c r="G8" s="2" t="s">
        <v>577</v>
      </c>
      <c r="H8" s="1" t="s">
        <v>526</v>
      </c>
      <c r="I8" s="1" t="s">
        <v>527</v>
      </c>
      <c r="J8" s="1">
        <v>7.5</v>
      </c>
      <c r="L8" s="2" t="s">
        <v>577</v>
      </c>
      <c r="M8" s="1" t="s">
        <v>526</v>
      </c>
      <c r="N8" s="1" t="s">
        <v>527</v>
      </c>
      <c r="O8" s="1">
        <v>7.5</v>
      </c>
    </row>
    <row r="9" spans="1:16">
      <c r="B9" s="2" t="s">
        <v>528</v>
      </c>
      <c r="C9" s="1" t="s">
        <v>529</v>
      </c>
      <c r="D9" s="1" t="s">
        <v>527</v>
      </c>
      <c r="E9" s="1">
        <v>0</v>
      </c>
      <c r="F9" s="3"/>
      <c r="G9" s="2" t="s">
        <v>528</v>
      </c>
      <c r="H9" s="1" t="s">
        <v>529</v>
      </c>
      <c r="I9" s="1" t="s">
        <v>527</v>
      </c>
      <c r="J9" s="1">
        <v>0</v>
      </c>
      <c r="L9" s="2" t="s">
        <v>528</v>
      </c>
      <c r="M9" s="1" t="s">
        <v>529</v>
      </c>
      <c r="N9" s="1" t="s">
        <v>527</v>
      </c>
      <c r="O9" s="1">
        <v>0</v>
      </c>
    </row>
    <row r="10" spans="1:16">
      <c r="B10" s="1" t="s">
        <v>530</v>
      </c>
      <c r="C10" s="1" t="s">
        <v>531</v>
      </c>
      <c r="D10" s="1" t="s">
        <v>532</v>
      </c>
      <c r="E10" s="4">
        <f>(1-E5)*E6*E7*(E8+E9)</f>
        <v>3376.2959999999998</v>
      </c>
      <c r="F10" s="3"/>
      <c r="G10" s="1" t="s">
        <v>530</v>
      </c>
      <c r="H10" s="1" t="s">
        <v>531</v>
      </c>
      <c r="I10" s="1" t="s">
        <v>532</v>
      </c>
      <c r="J10" s="7">
        <f>(1-J5)*J6*J7*(J8+J9)</f>
        <v>2100.924</v>
      </c>
      <c r="L10" s="1" t="s">
        <v>530</v>
      </c>
      <c r="M10" s="1" t="s">
        <v>531</v>
      </c>
      <c r="N10" s="1" t="s">
        <v>532</v>
      </c>
      <c r="O10" s="7">
        <f>(1-O5)*O6*O7*(O8+O9)</f>
        <v>1275.3720000000001</v>
      </c>
    </row>
    <row r="11" spans="1:16">
      <c r="F11" s="3"/>
    </row>
    <row r="12" spans="1:16">
      <c r="B12" s="248" t="s">
        <v>533</v>
      </c>
      <c r="C12" s="249"/>
      <c r="D12" s="249"/>
      <c r="E12" s="253"/>
      <c r="F12" s="3"/>
      <c r="G12" s="248" t="s">
        <v>533</v>
      </c>
      <c r="H12" s="249"/>
      <c r="I12" s="249"/>
      <c r="J12" s="253"/>
      <c r="L12" s="248" t="s">
        <v>533</v>
      </c>
      <c r="M12" s="249"/>
      <c r="N12" s="249"/>
      <c r="O12" s="253"/>
    </row>
    <row r="13" spans="1:16">
      <c r="B13" s="1" t="s">
        <v>534</v>
      </c>
      <c r="C13" s="1" t="s">
        <v>518</v>
      </c>
      <c r="D13" s="1" t="s">
        <v>519</v>
      </c>
      <c r="E13" s="37">
        <v>0.02</v>
      </c>
      <c r="F13" s="3"/>
      <c r="G13" s="1" t="s">
        <v>534</v>
      </c>
      <c r="H13" s="1" t="s">
        <v>518</v>
      </c>
      <c r="I13" s="1" t="s">
        <v>519</v>
      </c>
      <c r="J13" s="109">
        <f>J5</f>
        <v>0.02</v>
      </c>
      <c r="L13" s="1" t="s">
        <v>534</v>
      </c>
      <c r="M13" s="1" t="s">
        <v>518</v>
      </c>
      <c r="N13" s="1" t="s">
        <v>519</v>
      </c>
      <c r="O13" s="109">
        <f>O5</f>
        <v>0.02</v>
      </c>
    </row>
    <row r="14" spans="1:16">
      <c r="B14" s="1" t="s">
        <v>520</v>
      </c>
      <c r="C14" s="1" t="s">
        <v>521</v>
      </c>
      <c r="D14" s="1"/>
      <c r="E14" s="4">
        <f>E6</f>
        <v>1148400</v>
      </c>
      <c r="F14" s="3"/>
      <c r="G14" s="1" t="s">
        <v>520</v>
      </c>
      <c r="H14" s="1" t="s">
        <v>521</v>
      </c>
      <c r="I14" s="1"/>
      <c r="J14" s="4">
        <f>J6</f>
        <v>714600</v>
      </c>
      <c r="L14" s="1" t="s">
        <v>520</v>
      </c>
      <c r="M14" s="1" t="s">
        <v>521</v>
      </c>
      <c r="N14" s="1"/>
      <c r="O14" s="4">
        <f>O6</f>
        <v>433800</v>
      </c>
    </row>
    <row r="15" spans="1:16">
      <c r="B15" s="1" t="s">
        <v>535</v>
      </c>
      <c r="C15" s="1" t="s">
        <v>536</v>
      </c>
      <c r="D15" s="1" t="s">
        <v>524</v>
      </c>
      <c r="E15" s="12">
        <f>E7</f>
        <v>4.0000000000000002E-4</v>
      </c>
      <c r="F15" s="3"/>
      <c r="G15" s="1" t="s">
        <v>535</v>
      </c>
      <c r="H15" s="1" t="s">
        <v>536</v>
      </c>
      <c r="I15" s="1" t="s">
        <v>524</v>
      </c>
      <c r="J15" s="12">
        <f>J7</f>
        <v>4.0000000000000002E-4</v>
      </c>
      <c r="L15" s="1" t="s">
        <v>535</v>
      </c>
      <c r="M15" s="1" t="s">
        <v>536</v>
      </c>
      <c r="N15" s="1" t="s">
        <v>524</v>
      </c>
      <c r="O15" s="12">
        <f>O7</f>
        <v>4.0000000000000002E-4</v>
      </c>
    </row>
    <row r="16" spans="1:16">
      <c r="B16" s="1" t="s">
        <v>537</v>
      </c>
      <c r="C16" s="1" t="s">
        <v>529</v>
      </c>
      <c r="D16" s="1" t="s">
        <v>527</v>
      </c>
      <c r="E16" s="1">
        <v>0</v>
      </c>
      <c r="F16" s="3"/>
      <c r="G16" s="1" t="s">
        <v>537</v>
      </c>
      <c r="H16" s="1" t="s">
        <v>529</v>
      </c>
      <c r="I16" s="1" t="s">
        <v>527</v>
      </c>
      <c r="J16" s="1">
        <v>0</v>
      </c>
      <c r="L16" s="1" t="s">
        <v>537</v>
      </c>
      <c r="M16" s="1" t="s">
        <v>529</v>
      </c>
      <c r="N16" s="1" t="s">
        <v>527</v>
      </c>
      <c r="O16" s="1">
        <v>0</v>
      </c>
    </row>
    <row r="17" spans="2:15">
      <c r="B17" s="1" t="s">
        <v>538</v>
      </c>
      <c r="C17" s="1" t="s">
        <v>539</v>
      </c>
      <c r="D17" s="1" t="s">
        <v>527</v>
      </c>
      <c r="E17" s="22">
        <v>0</v>
      </c>
      <c r="F17" s="3"/>
      <c r="G17" s="1" t="s">
        <v>538</v>
      </c>
      <c r="H17" s="1" t="s">
        <v>539</v>
      </c>
      <c r="I17" s="1" t="s">
        <v>527</v>
      </c>
      <c r="J17" s="22">
        <v>0</v>
      </c>
      <c r="L17" s="1" t="s">
        <v>538</v>
      </c>
      <c r="M17" s="1" t="s">
        <v>539</v>
      </c>
      <c r="N17" s="1" t="s">
        <v>527</v>
      </c>
      <c r="O17" s="22">
        <v>0</v>
      </c>
    </row>
    <row r="18" spans="2:15">
      <c r="B18" s="1" t="s">
        <v>540</v>
      </c>
      <c r="C18" s="1" t="s">
        <v>541</v>
      </c>
      <c r="D18" s="1" t="s">
        <v>532</v>
      </c>
      <c r="E18" s="7">
        <f>(1-E13)*E14*E15*(E16+E17)</f>
        <v>0</v>
      </c>
      <c r="F18" s="3"/>
      <c r="G18" s="1" t="s">
        <v>540</v>
      </c>
      <c r="H18" s="1" t="s">
        <v>541</v>
      </c>
      <c r="I18" s="1" t="s">
        <v>532</v>
      </c>
      <c r="J18" s="7">
        <f>(1-J13)*J14*J15*(J16+J17)</f>
        <v>0</v>
      </c>
      <c r="L18" s="1" t="s">
        <v>540</v>
      </c>
      <c r="M18" s="1" t="s">
        <v>541</v>
      </c>
      <c r="N18" s="1" t="s">
        <v>532</v>
      </c>
      <c r="O18" s="7">
        <f>(1-O13)*O14*O15*(O16+O17)</f>
        <v>0</v>
      </c>
    </row>
    <row r="19" spans="2:15">
      <c r="F19" s="3"/>
    </row>
    <row r="20" spans="2:15">
      <c r="B20" s="248" t="s">
        <v>542</v>
      </c>
      <c r="C20" s="249"/>
      <c r="D20" s="249"/>
      <c r="E20" s="253"/>
      <c r="F20" s="3"/>
      <c r="G20" s="248" t="s">
        <v>542</v>
      </c>
      <c r="H20" s="249"/>
      <c r="I20" s="249"/>
      <c r="J20" s="253"/>
      <c r="L20" s="248" t="s">
        <v>542</v>
      </c>
      <c r="M20" s="249"/>
      <c r="N20" s="249"/>
      <c r="O20" s="253"/>
    </row>
    <row r="21" spans="2:15">
      <c r="B21" s="2" t="s">
        <v>543</v>
      </c>
      <c r="C21" s="1" t="s">
        <v>543</v>
      </c>
      <c r="D21" s="1" t="s">
        <v>544</v>
      </c>
      <c r="E21" s="8">
        <v>0.95</v>
      </c>
      <c r="F21" s="3"/>
      <c r="G21" s="2" t="s">
        <v>543</v>
      </c>
      <c r="H21" s="1" t="s">
        <v>543</v>
      </c>
      <c r="I21" s="1" t="s">
        <v>544</v>
      </c>
      <c r="J21" s="8">
        <v>0.95</v>
      </c>
      <c r="L21" s="2" t="s">
        <v>543</v>
      </c>
      <c r="M21" s="1" t="s">
        <v>543</v>
      </c>
      <c r="N21" s="1" t="s">
        <v>544</v>
      </c>
      <c r="O21" s="8">
        <v>0.95</v>
      </c>
    </row>
    <row r="22" spans="2:15">
      <c r="B22" s="1" t="s">
        <v>545</v>
      </c>
      <c r="C22" s="1" t="s">
        <v>546</v>
      </c>
      <c r="D22" s="1" t="s">
        <v>547</v>
      </c>
      <c r="E22" s="1">
        <v>112</v>
      </c>
      <c r="F22" s="3"/>
      <c r="G22" s="1" t="s">
        <v>545</v>
      </c>
      <c r="H22" s="1" t="s">
        <v>546</v>
      </c>
      <c r="I22" s="1" t="s">
        <v>547</v>
      </c>
      <c r="J22" s="1">
        <v>112</v>
      </c>
      <c r="L22" s="1" t="s">
        <v>545</v>
      </c>
      <c r="M22" s="1" t="s">
        <v>546</v>
      </c>
      <c r="N22" s="1" t="s">
        <v>547</v>
      </c>
      <c r="O22" s="1">
        <v>112</v>
      </c>
    </row>
    <row r="23" spans="2:15">
      <c r="B23" s="1" t="s">
        <v>578</v>
      </c>
      <c r="C23" s="1" t="s">
        <v>549</v>
      </c>
      <c r="D23" s="1" t="s">
        <v>550</v>
      </c>
      <c r="E23" s="161">
        <f>(J6*J23+O6*O23)/E6</f>
        <v>9.4600000000000009</v>
      </c>
      <c r="F23" s="3"/>
      <c r="G23" s="1" t="s">
        <v>548</v>
      </c>
      <c r="H23" s="1" t="s">
        <v>549</v>
      </c>
      <c r="I23" s="1" t="s">
        <v>550</v>
      </c>
      <c r="J23" s="1">
        <v>9.4600000000000009</v>
      </c>
      <c r="L23" s="1" t="s">
        <v>548</v>
      </c>
      <c r="M23" s="1" t="s">
        <v>549</v>
      </c>
      <c r="N23" s="1" t="s">
        <v>550</v>
      </c>
      <c r="O23" s="1">
        <f>9.46</f>
        <v>9.4600000000000009</v>
      </c>
    </row>
    <row r="24" spans="2:15">
      <c r="B24" s="1" t="s">
        <v>551</v>
      </c>
      <c r="C24" s="1" t="s">
        <v>552</v>
      </c>
      <c r="D24" s="1" t="s">
        <v>553</v>
      </c>
      <c r="E24" s="1">
        <f>0.0156</f>
        <v>1.5599999999999999E-2</v>
      </c>
      <c r="F24" s="3"/>
      <c r="G24" s="1" t="s">
        <v>551</v>
      </c>
      <c r="H24" s="1" t="s">
        <v>552</v>
      </c>
      <c r="I24" s="1" t="s">
        <v>553</v>
      </c>
      <c r="J24" s="1">
        <v>1.5599999999999999E-2</v>
      </c>
      <c r="L24" s="1" t="s">
        <v>551</v>
      </c>
      <c r="M24" s="1" t="s">
        <v>552</v>
      </c>
      <c r="N24" s="1" t="s">
        <v>553</v>
      </c>
      <c r="O24" s="1">
        <v>1.5599999999999999E-2</v>
      </c>
    </row>
    <row r="25" spans="2:15">
      <c r="F25" s="3"/>
    </row>
    <row r="26" spans="2:15">
      <c r="B26" s="248" t="s">
        <v>554</v>
      </c>
      <c r="C26" s="249"/>
      <c r="D26" s="249"/>
      <c r="E26" s="253"/>
      <c r="F26" s="3"/>
      <c r="G26" s="248" t="s">
        <v>554</v>
      </c>
      <c r="H26" s="249"/>
      <c r="I26" s="249"/>
      <c r="J26" s="253"/>
      <c r="L26" s="248" t="s">
        <v>554</v>
      </c>
      <c r="M26" s="249"/>
      <c r="N26" s="249"/>
      <c r="O26" s="253"/>
    </row>
    <row r="27" spans="2:15">
      <c r="B27" s="1" t="s">
        <v>555</v>
      </c>
      <c r="C27" s="1" t="s">
        <v>556</v>
      </c>
      <c r="D27" s="1" t="s">
        <v>557</v>
      </c>
      <c r="E27" s="4">
        <f>E10*((E22*E21)+E23)*E24</f>
        <v>6102.3714111359986</v>
      </c>
      <c r="F27" s="3"/>
      <c r="G27" s="1" t="s">
        <v>555</v>
      </c>
      <c r="H27" s="1" t="s">
        <v>556</v>
      </c>
      <c r="I27" s="1" t="s">
        <v>557</v>
      </c>
      <c r="J27" s="4">
        <f>J10*((J22*J21)+J23)*J24</f>
        <v>3797.2436523839992</v>
      </c>
      <c r="L27" s="1" t="s">
        <v>555</v>
      </c>
      <c r="M27" s="1" t="s">
        <v>556</v>
      </c>
      <c r="N27" s="1" t="s">
        <v>557</v>
      </c>
      <c r="O27" s="4">
        <f>O10*((O22*O21)+O23)*O24</f>
        <v>2305.1277587519994</v>
      </c>
    </row>
    <row r="28" spans="2:15">
      <c r="B28" s="1" t="s">
        <v>558</v>
      </c>
      <c r="C28" s="1" t="s">
        <v>559</v>
      </c>
      <c r="D28" s="1" t="s">
        <v>557</v>
      </c>
      <c r="E28" s="4">
        <f>E18*((E22*E21)+E23)*E24</f>
        <v>0</v>
      </c>
      <c r="F28" s="3"/>
      <c r="G28" s="1" t="s">
        <v>558</v>
      </c>
      <c r="H28" s="1" t="s">
        <v>559</v>
      </c>
      <c r="I28" s="1" t="s">
        <v>557</v>
      </c>
      <c r="J28" s="4">
        <f>J18*((J22*J21)+J23)*J24</f>
        <v>0</v>
      </c>
      <c r="L28" s="1" t="s">
        <v>558</v>
      </c>
      <c r="M28" s="1" t="s">
        <v>559</v>
      </c>
      <c r="N28" s="1" t="s">
        <v>557</v>
      </c>
      <c r="O28" s="4">
        <f>O18*((O22*O21)+O23)*O24</f>
        <v>0</v>
      </c>
    </row>
    <row r="29" spans="2:15">
      <c r="B29" s="1" t="s">
        <v>579</v>
      </c>
      <c r="C29" s="1" t="s">
        <v>561</v>
      </c>
      <c r="D29" s="1" t="s">
        <v>519</v>
      </c>
      <c r="E29" s="1">
        <v>0.95</v>
      </c>
      <c r="F29" s="3"/>
      <c r="G29" s="1" t="s">
        <v>579</v>
      </c>
      <c r="H29" s="1" t="s">
        <v>561</v>
      </c>
      <c r="I29" s="1" t="s">
        <v>519</v>
      </c>
      <c r="J29" s="1">
        <v>0.95</v>
      </c>
      <c r="L29" s="1" t="s">
        <v>579</v>
      </c>
      <c r="M29" s="1" t="s">
        <v>561</v>
      </c>
      <c r="N29" s="1" t="s">
        <v>519</v>
      </c>
      <c r="O29" s="1">
        <v>0.95</v>
      </c>
    </row>
    <row r="30" spans="2:15">
      <c r="B30" s="1" t="s">
        <v>562</v>
      </c>
      <c r="C30" s="1" t="s">
        <v>563</v>
      </c>
      <c r="D30" s="1" t="s">
        <v>557</v>
      </c>
      <c r="E30" s="1">
        <v>0</v>
      </c>
      <c r="F30" s="3"/>
      <c r="G30" s="1" t="s">
        <v>562</v>
      </c>
      <c r="H30" s="1" t="s">
        <v>563</v>
      </c>
      <c r="I30" s="1" t="s">
        <v>557</v>
      </c>
      <c r="J30" s="1">
        <v>0</v>
      </c>
      <c r="L30" s="1" t="s">
        <v>562</v>
      </c>
      <c r="M30" s="1" t="s">
        <v>563</v>
      </c>
      <c r="N30" s="1" t="s">
        <v>557</v>
      </c>
      <c r="O30" s="1">
        <v>0</v>
      </c>
    </row>
    <row r="31" spans="2:15">
      <c r="B31" s="1" t="s">
        <v>564</v>
      </c>
      <c r="C31" s="1" t="s">
        <v>565</v>
      </c>
      <c r="D31" s="1" t="s">
        <v>557</v>
      </c>
      <c r="E31" s="4">
        <f>((E27-E28)*E29)-E30</f>
        <v>5797.2528405791982</v>
      </c>
      <c r="F31" s="3"/>
      <c r="G31" s="1" t="s">
        <v>564</v>
      </c>
      <c r="H31" s="1" t="s">
        <v>565</v>
      </c>
      <c r="I31" s="1" t="s">
        <v>557</v>
      </c>
      <c r="J31" s="7">
        <f>((J27-J28)*J29)-J30</f>
        <v>3607.381469764799</v>
      </c>
      <c r="L31" s="1" t="s">
        <v>564</v>
      </c>
      <c r="M31" s="1" t="s">
        <v>565</v>
      </c>
      <c r="N31" s="1" t="s">
        <v>557</v>
      </c>
      <c r="O31" s="7">
        <f>((O27-O28)*O29)-O30</f>
        <v>2189.8713708143991</v>
      </c>
    </row>
    <row r="32" spans="2:15">
      <c r="D32" s="5"/>
      <c r="F32" s="3"/>
      <c r="I32" s="5"/>
      <c r="N32" s="5"/>
    </row>
    <row r="33" spans="2:15">
      <c r="B33" s="251" t="s">
        <v>566</v>
      </c>
      <c r="C33" s="251"/>
      <c r="D33" s="251"/>
      <c r="E33" s="251"/>
      <c r="F33" s="3"/>
      <c r="G33" s="251" t="s">
        <v>566</v>
      </c>
      <c r="H33" s="251"/>
      <c r="I33" s="251"/>
      <c r="J33" s="251"/>
      <c r="L33" s="251" t="s">
        <v>566</v>
      </c>
      <c r="M33" s="251"/>
      <c r="N33" s="251"/>
      <c r="O33" s="251"/>
    </row>
    <row r="34" spans="2:15">
      <c r="B34" s="13" t="s">
        <v>567</v>
      </c>
      <c r="C34" s="1"/>
      <c r="D34" s="14"/>
      <c r="E34" s="23">
        <f>1-E35</f>
        <v>0.95</v>
      </c>
      <c r="F34" s="3"/>
      <c r="G34" s="13" t="s">
        <v>567</v>
      </c>
      <c r="H34" s="1"/>
      <c r="I34" s="14"/>
      <c r="J34" s="23">
        <f>1-J35</f>
        <v>0.95</v>
      </c>
      <c r="L34" s="13" t="s">
        <v>567</v>
      </c>
      <c r="M34" s="1"/>
      <c r="N34" s="14"/>
      <c r="O34" s="23">
        <f>1-O35</f>
        <v>0.95</v>
      </c>
    </row>
    <row r="35" spans="2:15">
      <c r="B35" s="13" t="s">
        <v>568</v>
      </c>
      <c r="C35" s="1" t="s">
        <v>569</v>
      </c>
      <c r="D35" s="14" t="s">
        <v>37</v>
      </c>
      <c r="E35" s="23">
        <v>0.05</v>
      </c>
      <c r="F35" s="3"/>
      <c r="G35" s="13" t="s">
        <v>568</v>
      </c>
      <c r="H35" s="1" t="s">
        <v>569</v>
      </c>
      <c r="I35" s="14" t="s">
        <v>37</v>
      </c>
      <c r="J35" s="23">
        <v>0.05</v>
      </c>
      <c r="L35" s="13" t="s">
        <v>568</v>
      </c>
      <c r="M35" s="1" t="s">
        <v>569</v>
      </c>
      <c r="N35" s="14" t="s">
        <v>37</v>
      </c>
      <c r="O35" s="23">
        <v>0.05</v>
      </c>
    </row>
    <row r="36" spans="2:15">
      <c r="B36" s="15" t="s">
        <v>564</v>
      </c>
      <c r="C36" s="15" t="s">
        <v>571</v>
      </c>
      <c r="D36" s="15" t="s">
        <v>557</v>
      </c>
      <c r="E36" s="25">
        <f>E31*(1-E35)</f>
        <v>5507.390198550238</v>
      </c>
      <c r="F36" s="3"/>
      <c r="G36" s="15" t="s">
        <v>564</v>
      </c>
      <c r="H36" s="15" t="s">
        <v>571</v>
      </c>
      <c r="I36" s="15" t="s">
        <v>557</v>
      </c>
      <c r="J36" s="25">
        <f>J31*(1-J35)</f>
        <v>3427.0123962765588</v>
      </c>
      <c r="L36" s="15" t="s">
        <v>564</v>
      </c>
      <c r="M36" s="15" t="s">
        <v>571</v>
      </c>
      <c r="N36" s="15" t="s">
        <v>557</v>
      </c>
      <c r="O36" s="25">
        <f>O31*(1-O35)</f>
        <v>2080.3778022736792</v>
      </c>
    </row>
    <row r="37" spans="2:15">
      <c r="B37" s="21" t="s">
        <v>580</v>
      </c>
      <c r="C37" s="20" t="s">
        <v>571</v>
      </c>
      <c r="D37" s="20" t="s">
        <v>557</v>
      </c>
      <c r="E37" s="26">
        <f>J37+O37</f>
        <v>5507</v>
      </c>
      <c r="F37" s="3"/>
      <c r="G37" s="21" t="s">
        <v>580</v>
      </c>
      <c r="H37" s="20" t="s">
        <v>571</v>
      </c>
      <c r="I37" s="20" t="s">
        <v>557</v>
      </c>
      <c r="J37" s="26">
        <f>_xlfn.FLOOR.MATH(J36)</f>
        <v>3427</v>
      </c>
      <c r="L37" s="21" t="s">
        <v>580</v>
      </c>
      <c r="M37" s="20" t="s">
        <v>571</v>
      </c>
      <c r="N37" s="20" t="s">
        <v>557</v>
      </c>
      <c r="O37" s="26">
        <f>_xlfn.FLOOR.MATH(O36)</f>
        <v>2080</v>
      </c>
    </row>
    <row r="38" spans="2:15">
      <c r="C38" s="252"/>
      <c r="D38" s="252"/>
      <c r="F38" s="3"/>
      <c r="H38" s="252"/>
      <c r="I38" s="252"/>
      <c r="M38" s="252"/>
      <c r="N38" s="252"/>
    </row>
    <row r="39" spans="2:15">
      <c r="I39" s="27"/>
    </row>
    <row r="41" spans="2:15">
      <c r="E41" s="16"/>
      <c r="J41" s="16"/>
      <c r="O41" s="16"/>
    </row>
  </sheetData>
  <mergeCells count="21">
    <mergeCell ref="C38:D38"/>
    <mergeCell ref="H38:I38"/>
    <mergeCell ref="M38:N38"/>
    <mergeCell ref="B26:E26"/>
    <mergeCell ref="G26:J26"/>
    <mergeCell ref="L26:O26"/>
    <mergeCell ref="B33:E33"/>
    <mergeCell ref="G33:J33"/>
    <mergeCell ref="L33:O33"/>
    <mergeCell ref="B12:E12"/>
    <mergeCell ref="G12:J12"/>
    <mergeCell ref="L12:O12"/>
    <mergeCell ref="B20:E20"/>
    <mergeCell ref="G20:J20"/>
    <mergeCell ref="L20:O20"/>
    <mergeCell ref="B2:E2"/>
    <mergeCell ref="G2:J2"/>
    <mergeCell ref="L2:O2"/>
    <mergeCell ref="B4:E4"/>
    <mergeCell ref="G4:J4"/>
    <mergeCell ref="L4:O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84076-D091-44AE-AAA2-2ECCD84CBCE7}">
  <dimension ref="A2:P41"/>
  <sheetViews>
    <sheetView zoomScale="56" workbookViewId="0">
      <selection activeCell="O7" sqref="O7"/>
    </sheetView>
  </sheetViews>
  <sheetFormatPr defaultRowHeight="14.25"/>
  <cols>
    <col min="2" max="2" width="60.7109375" bestFit="1" customWidth="1"/>
    <col min="3" max="3" width="18.28515625" bestFit="1" customWidth="1"/>
    <col min="4" max="4" width="12.42578125" bestFit="1" customWidth="1"/>
    <col min="5" max="5" width="12.7109375" customWidth="1"/>
    <col min="6" max="6" width="7.28515625" customWidth="1"/>
    <col min="7" max="7" width="60.7109375" bestFit="1" customWidth="1"/>
    <col min="8" max="8" width="18.28515625" bestFit="1" customWidth="1"/>
    <col min="9" max="9" width="12.42578125" bestFit="1" customWidth="1"/>
    <col min="10" max="10" width="12.5703125" customWidth="1"/>
    <col min="11" max="11" width="5" customWidth="1"/>
    <col min="12" max="12" width="60.7109375" bestFit="1" customWidth="1"/>
    <col min="13" max="13" width="18.28515625" bestFit="1" customWidth="1"/>
    <col min="14" max="14" width="12.42578125" bestFit="1" customWidth="1"/>
    <col min="15" max="15" width="12.28515625" customWidth="1"/>
  </cols>
  <sheetData>
    <row r="2" spans="1:16" ht="15" customHeight="1">
      <c r="B2" s="250" t="s">
        <v>573</v>
      </c>
      <c r="C2" s="250"/>
      <c r="D2" s="250"/>
      <c r="E2" s="250"/>
      <c r="G2" s="250" t="s">
        <v>574</v>
      </c>
      <c r="H2" s="250"/>
      <c r="I2" s="250"/>
      <c r="J2" s="250"/>
      <c r="L2" s="250" t="s">
        <v>575</v>
      </c>
      <c r="M2" s="250"/>
      <c r="N2" s="250"/>
      <c r="O2" s="250"/>
    </row>
    <row r="4" spans="1:16">
      <c r="A4" s="3"/>
      <c r="B4" s="248" t="s">
        <v>516</v>
      </c>
      <c r="C4" s="249"/>
      <c r="D4" s="249"/>
      <c r="E4" s="253"/>
      <c r="F4" s="3"/>
      <c r="G4" s="248" t="s">
        <v>516</v>
      </c>
      <c r="H4" s="249"/>
      <c r="I4" s="249"/>
      <c r="J4" s="253"/>
      <c r="K4" s="3"/>
      <c r="L4" s="248" t="s">
        <v>516</v>
      </c>
      <c r="M4" s="249"/>
      <c r="N4" s="249"/>
      <c r="O4" s="253"/>
      <c r="P4" s="3"/>
    </row>
    <row r="5" spans="1:16">
      <c r="B5" s="1" t="s">
        <v>517</v>
      </c>
      <c r="C5" s="1" t="s">
        <v>518</v>
      </c>
      <c r="D5" s="1" t="s">
        <v>519</v>
      </c>
      <c r="E5" s="37">
        <v>0.02</v>
      </c>
      <c r="F5" s="3"/>
      <c r="G5" s="1" t="s">
        <v>517</v>
      </c>
      <c r="H5" s="1" t="s">
        <v>518</v>
      </c>
      <c r="I5" s="1" t="s">
        <v>519</v>
      </c>
      <c r="J5" s="37">
        <v>0.02</v>
      </c>
      <c r="L5" s="1" t="s">
        <v>517</v>
      </c>
      <c r="M5" s="1" t="s">
        <v>518</v>
      </c>
      <c r="N5" s="1" t="s">
        <v>519</v>
      </c>
      <c r="O5" s="109">
        <f>J5</f>
        <v>0.02</v>
      </c>
    </row>
    <row r="6" spans="1:16">
      <c r="B6" s="1" t="s">
        <v>581</v>
      </c>
      <c r="C6" s="1" t="s">
        <v>521</v>
      </c>
      <c r="D6" s="1"/>
      <c r="E6" s="4">
        <f>'Total PTDs'!AM21</f>
        <v>1176000</v>
      </c>
      <c r="F6" s="3"/>
      <c r="G6" s="1" t="s">
        <v>520</v>
      </c>
      <c r="H6" s="1" t="s">
        <v>521</v>
      </c>
      <c r="I6" s="1"/>
      <c r="J6" s="4">
        <f>'Total PTDs'!AH21</f>
        <v>731700</v>
      </c>
      <c r="L6" s="1" t="s">
        <v>520</v>
      </c>
      <c r="M6" s="1" t="s">
        <v>521</v>
      </c>
      <c r="N6" s="1"/>
      <c r="O6" s="4">
        <f>'Total PTDs'!AL21</f>
        <v>444300</v>
      </c>
    </row>
    <row r="7" spans="1:16">
      <c r="B7" s="1" t="s">
        <v>522</v>
      </c>
      <c r="C7" s="1" t="s">
        <v>523</v>
      </c>
      <c r="D7" s="1" t="s">
        <v>524</v>
      </c>
      <c r="E7" s="12">
        <f>J7</f>
        <v>4.0000000000000002E-4</v>
      </c>
      <c r="F7" s="3"/>
      <c r="G7" s="1" t="s">
        <v>522</v>
      </c>
      <c r="H7" s="1" t="s">
        <v>523</v>
      </c>
      <c r="I7" s="1" t="s">
        <v>524</v>
      </c>
      <c r="J7" s="12">
        <v>4.0000000000000002E-4</v>
      </c>
      <c r="L7" s="1" t="s">
        <v>522</v>
      </c>
      <c r="M7" s="1" t="s">
        <v>523</v>
      </c>
      <c r="N7" s="1" t="s">
        <v>524</v>
      </c>
      <c r="O7" s="12">
        <f>J7</f>
        <v>4.0000000000000002E-4</v>
      </c>
    </row>
    <row r="8" spans="1:16" ht="28.5">
      <c r="B8" s="2" t="s">
        <v>577</v>
      </c>
      <c r="C8" s="1" t="s">
        <v>526</v>
      </c>
      <c r="D8" s="1" t="s">
        <v>527</v>
      </c>
      <c r="E8" s="1">
        <v>7.5</v>
      </c>
      <c r="F8" s="3"/>
      <c r="G8" s="2" t="s">
        <v>577</v>
      </c>
      <c r="H8" s="1" t="s">
        <v>526</v>
      </c>
      <c r="I8" s="1" t="s">
        <v>527</v>
      </c>
      <c r="J8" s="1">
        <v>7.5</v>
      </c>
      <c r="L8" s="2" t="s">
        <v>577</v>
      </c>
      <c r="M8" s="1" t="s">
        <v>526</v>
      </c>
      <c r="N8" s="1" t="s">
        <v>527</v>
      </c>
      <c r="O8" s="1">
        <v>7.5</v>
      </c>
    </row>
    <row r="9" spans="1:16">
      <c r="B9" s="2" t="s">
        <v>528</v>
      </c>
      <c r="C9" s="1" t="s">
        <v>529</v>
      </c>
      <c r="D9" s="1" t="s">
        <v>527</v>
      </c>
      <c r="E9" s="1">
        <v>0</v>
      </c>
      <c r="F9" s="3"/>
      <c r="G9" s="2" t="s">
        <v>528</v>
      </c>
      <c r="H9" s="1" t="s">
        <v>529</v>
      </c>
      <c r="I9" s="1" t="s">
        <v>527</v>
      </c>
      <c r="J9" s="1">
        <v>0</v>
      </c>
      <c r="L9" s="2" t="s">
        <v>528</v>
      </c>
      <c r="M9" s="1" t="s">
        <v>529</v>
      </c>
      <c r="N9" s="1" t="s">
        <v>527</v>
      </c>
      <c r="O9" s="1">
        <v>0</v>
      </c>
    </row>
    <row r="10" spans="1:16">
      <c r="B10" s="1" t="s">
        <v>530</v>
      </c>
      <c r="C10" s="1" t="s">
        <v>531</v>
      </c>
      <c r="D10" s="1" t="s">
        <v>532</v>
      </c>
      <c r="E10" s="4">
        <f>(1-E5)*E6*E7*(E8+E9)</f>
        <v>3457.44</v>
      </c>
      <c r="F10" s="3"/>
      <c r="G10" s="1" t="s">
        <v>530</v>
      </c>
      <c r="H10" s="1" t="s">
        <v>531</v>
      </c>
      <c r="I10" s="1" t="s">
        <v>532</v>
      </c>
      <c r="J10" s="7">
        <f>(1-J5)*J6*J7*(J8+J9)</f>
        <v>2151.1980000000003</v>
      </c>
      <c r="L10" s="1" t="s">
        <v>530</v>
      </c>
      <c r="M10" s="1" t="s">
        <v>531</v>
      </c>
      <c r="N10" s="1" t="s">
        <v>532</v>
      </c>
      <c r="O10" s="7">
        <f>(1-O5)*O6*O7*(O8+O9)</f>
        <v>1306.2420000000002</v>
      </c>
    </row>
    <row r="11" spans="1:16">
      <c r="F11" s="3"/>
    </row>
    <row r="12" spans="1:16">
      <c r="B12" s="248" t="s">
        <v>533</v>
      </c>
      <c r="C12" s="249"/>
      <c r="D12" s="249"/>
      <c r="E12" s="253"/>
      <c r="F12" s="3"/>
      <c r="G12" s="248" t="s">
        <v>533</v>
      </c>
      <c r="H12" s="249"/>
      <c r="I12" s="249"/>
      <c r="J12" s="253"/>
      <c r="L12" s="248" t="s">
        <v>533</v>
      </c>
      <c r="M12" s="249"/>
      <c r="N12" s="249"/>
      <c r="O12" s="253"/>
    </row>
    <row r="13" spans="1:16">
      <c r="B13" s="1" t="s">
        <v>534</v>
      </c>
      <c r="C13" s="1" t="s">
        <v>518</v>
      </c>
      <c r="D13" s="1" t="s">
        <v>519</v>
      </c>
      <c r="E13" s="37">
        <v>0.02</v>
      </c>
      <c r="F13" s="3"/>
      <c r="G13" s="1" t="s">
        <v>534</v>
      </c>
      <c r="H13" s="1" t="s">
        <v>518</v>
      </c>
      <c r="I13" s="1" t="s">
        <v>519</v>
      </c>
      <c r="J13" s="109">
        <f>J5</f>
        <v>0.02</v>
      </c>
      <c r="L13" s="1" t="s">
        <v>534</v>
      </c>
      <c r="M13" s="1" t="s">
        <v>518</v>
      </c>
      <c r="N13" s="1" t="s">
        <v>519</v>
      </c>
      <c r="O13" s="109">
        <f>O5</f>
        <v>0.02</v>
      </c>
    </row>
    <row r="14" spans="1:16">
      <c r="B14" s="1" t="s">
        <v>520</v>
      </c>
      <c r="C14" s="1" t="s">
        <v>521</v>
      </c>
      <c r="D14" s="1"/>
      <c r="E14" s="4">
        <f>E6</f>
        <v>1176000</v>
      </c>
      <c r="F14" s="3"/>
      <c r="G14" s="1" t="s">
        <v>520</v>
      </c>
      <c r="H14" s="1" t="s">
        <v>521</v>
      </c>
      <c r="I14" s="1"/>
      <c r="J14" s="4">
        <f>J6</f>
        <v>731700</v>
      </c>
      <c r="L14" s="1" t="s">
        <v>520</v>
      </c>
      <c r="M14" s="1" t="s">
        <v>521</v>
      </c>
      <c r="N14" s="1"/>
      <c r="O14" s="4">
        <f>O6</f>
        <v>444300</v>
      </c>
    </row>
    <row r="15" spans="1:16">
      <c r="B15" s="1" t="s">
        <v>535</v>
      </c>
      <c r="C15" s="1" t="s">
        <v>536</v>
      </c>
      <c r="D15" s="1" t="s">
        <v>524</v>
      </c>
      <c r="E15" s="12">
        <f>E7</f>
        <v>4.0000000000000002E-4</v>
      </c>
      <c r="F15" s="3"/>
      <c r="G15" s="1" t="s">
        <v>535</v>
      </c>
      <c r="H15" s="1" t="s">
        <v>536</v>
      </c>
      <c r="I15" s="1" t="s">
        <v>524</v>
      </c>
      <c r="J15" s="12">
        <f>J7</f>
        <v>4.0000000000000002E-4</v>
      </c>
      <c r="L15" s="1" t="s">
        <v>535</v>
      </c>
      <c r="M15" s="1" t="s">
        <v>536</v>
      </c>
      <c r="N15" s="1" t="s">
        <v>524</v>
      </c>
      <c r="O15" s="12">
        <f>O7</f>
        <v>4.0000000000000002E-4</v>
      </c>
    </row>
    <row r="16" spans="1:16">
      <c r="B16" s="1" t="s">
        <v>537</v>
      </c>
      <c r="C16" s="1" t="s">
        <v>529</v>
      </c>
      <c r="D16" s="1" t="s">
        <v>527</v>
      </c>
      <c r="E16" s="1">
        <v>0</v>
      </c>
      <c r="F16" s="3"/>
      <c r="G16" s="1" t="s">
        <v>537</v>
      </c>
      <c r="H16" s="1" t="s">
        <v>529</v>
      </c>
      <c r="I16" s="1" t="s">
        <v>527</v>
      </c>
      <c r="J16" s="1">
        <v>0</v>
      </c>
      <c r="L16" s="1" t="s">
        <v>537</v>
      </c>
      <c r="M16" s="1" t="s">
        <v>529</v>
      </c>
      <c r="N16" s="1" t="s">
        <v>527</v>
      </c>
      <c r="O16" s="1">
        <v>0</v>
      </c>
    </row>
    <row r="17" spans="2:15">
      <c r="B17" s="1" t="s">
        <v>538</v>
      </c>
      <c r="C17" s="1" t="s">
        <v>539</v>
      </c>
      <c r="D17" s="1" t="s">
        <v>527</v>
      </c>
      <c r="E17" s="22">
        <v>0</v>
      </c>
      <c r="F17" s="3"/>
      <c r="G17" s="1" t="s">
        <v>538</v>
      </c>
      <c r="H17" s="1" t="s">
        <v>539</v>
      </c>
      <c r="I17" s="1" t="s">
        <v>527</v>
      </c>
      <c r="J17" s="22">
        <v>0</v>
      </c>
      <c r="L17" s="1" t="s">
        <v>538</v>
      </c>
      <c r="M17" s="1" t="s">
        <v>539</v>
      </c>
      <c r="N17" s="1" t="s">
        <v>527</v>
      </c>
      <c r="O17" s="22">
        <v>0</v>
      </c>
    </row>
    <row r="18" spans="2:15">
      <c r="B18" s="1" t="s">
        <v>540</v>
      </c>
      <c r="C18" s="1" t="s">
        <v>541</v>
      </c>
      <c r="D18" s="1" t="s">
        <v>532</v>
      </c>
      <c r="E18" s="7">
        <f>(1-E13)*E14*E15*(E16+E17)</f>
        <v>0</v>
      </c>
      <c r="F18" s="3"/>
      <c r="G18" s="1" t="s">
        <v>540</v>
      </c>
      <c r="H18" s="1" t="s">
        <v>541</v>
      </c>
      <c r="I18" s="1" t="s">
        <v>532</v>
      </c>
      <c r="J18" s="7">
        <f>(1-J13)*J14*J15*(J16+J17)</f>
        <v>0</v>
      </c>
      <c r="L18" s="1" t="s">
        <v>540</v>
      </c>
      <c r="M18" s="1" t="s">
        <v>541</v>
      </c>
      <c r="N18" s="1" t="s">
        <v>532</v>
      </c>
      <c r="O18" s="7">
        <f>(1-O13)*O14*O15*(O16+O17)</f>
        <v>0</v>
      </c>
    </row>
    <row r="19" spans="2:15">
      <c r="F19" s="3"/>
    </row>
    <row r="20" spans="2:15">
      <c r="B20" s="248" t="s">
        <v>542</v>
      </c>
      <c r="C20" s="249"/>
      <c r="D20" s="249"/>
      <c r="E20" s="253"/>
      <c r="F20" s="3"/>
      <c r="G20" s="248" t="s">
        <v>542</v>
      </c>
      <c r="H20" s="249"/>
      <c r="I20" s="249"/>
      <c r="J20" s="253"/>
      <c r="L20" s="248" t="s">
        <v>542</v>
      </c>
      <c r="M20" s="249"/>
      <c r="N20" s="249"/>
      <c r="O20" s="253"/>
    </row>
    <row r="21" spans="2:15">
      <c r="B21" s="2" t="s">
        <v>543</v>
      </c>
      <c r="C21" s="1" t="s">
        <v>543</v>
      </c>
      <c r="D21" s="1" t="s">
        <v>544</v>
      </c>
      <c r="E21" s="8">
        <v>0.95</v>
      </c>
      <c r="F21" s="3"/>
      <c r="G21" s="2" t="s">
        <v>543</v>
      </c>
      <c r="H21" s="1" t="s">
        <v>543</v>
      </c>
      <c r="I21" s="1" t="s">
        <v>544</v>
      </c>
      <c r="J21" s="8">
        <v>0.95</v>
      </c>
      <c r="L21" s="2" t="s">
        <v>543</v>
      </c>
      <c r="M21" s="1" t="s">
        <v>543</v>
      </c>
      <c r="N21" s="1" t="s">
        <v>544</v>
      </c>
      <c r="O21" s="8">
        <v>0.95</v>
      </c>
    </row>
    <row r="22" spans="2:15">
      <c r="B22" s="1" t="s">
        <v>545</v>
      </c>
      <c r="C22" s="1" t="s">
        <v>546</v>
      </c>
      <c r="D22" s="1" t="s">
        <v>547</v>
      </c>
      <c r="E22" s="1">
        <v>112</v>
      </c>
      <c r="F22" s="3"/>
      <c r="G22" s="1" t="s">
        <v>545</v>
      </c>
      <c r="H22" s="1" t="s">
        <v>546</v>
      </c>
      <c r="I22" s="1" t="s">
        <v>547</v>
      </c>
      <c r="J22" s="1">
        <v>112</v>
      </c>
      <c r="L22" s="1" t="s">
        <v>545</v>
      </c>
      <c r="M22" s="1" t="s">
        <v>546</v>
      </c>
      <c r="N22" s="1" t="s">
        <v>547</v>
      </c>
      <c r="O22" s="1">
        <v>112</v>
      </c>
    </row>
    <row r="23" spans="2:15">
      <c r="B23" s="1" t="s">
        <v>578</v>
      </c>
      <c r="C23" s="1" t="s">
        <v>549</v>
      </c>
      <c r="D23" s="1" t="s">
        <v>550</v>
      </c>
      <c r="E23" s="161">
        <f>(J6*J23+O6*O23)/E6</f>
        <v>9.4600000000000009</v>
      </c>
      <c r="F23" s="3"/>
      <c r="G23" s="1" t="s">
        <v>548</v>
      </c>
      <c r="H23" s="1" t="s">
        <v>549</v>
      </c>
      <c r="I23" s="1" t="s">
        <v>550</v>
      </c>
      <c r="J23" s="1">
        <v>9.4600000000000009</v>
      </c>
      <c r="L23" s="1" t="s">
        <v>548</v>
      </c>
      <c r="M23" s="1" t="s">
        <v>549</v>
      </c>
      <c r="N23" s="1" t="s">
        <v>550</v>
      </c>
      <c r="O23" s="1">
        <f>9.46</f>
        <v>9.4600000000000009</v>
      </c>
    </row>
    <row r="24" spans="2:15">
      <c r="B24" s="1" t="s">
        <v>551</v>
      </c>
      <c r="C24" s="1" t="s">
        <v>552</v>
      </c>
      <c r="D24" s="1" t="s">
        <v>553</v>
      </c>
      <c r="E24" s="1">
        <f>0.0156</f>
        <v>1.5599999999999999E-2</v>
      </c>
      <c r="F24" s="3"/>
      <c r="G24" s="1" t="s">
        <v>551</v>
      </c>
      <c r="H24" s="1" t="s">
        <v>552</v>
      </c>
      <c r="I24" s="1" t="s">
        <v>553</v>
      </c>
      <c r="J24" s="1">
        <v>1.5599999999999999E-2</v>
      </c>
      <c r="L24" s="1" t="s">
        <v>551</v>
      </c>
      <c r="M24" s="1" t="s">
        <v>552</v>
      </c>
      <c r="N24" s="1" t="s">
        <v>553</v>
      </c>
      <c r="O24" s="1">
        <v>1.5599999999999999E-2</v>
      </c>
    </row>
    <row r="25" spans="2:15">
      <c r="F25" s="3"/>
    </row>
    <row r="26" spans="2:15">
      <c r="B26" s="248" t="s">
        <v>554</v>
      </c>
      <c r="C26" s="249"/>
      <c r="D26" s="249"/>
      <c r="E26" s="253"/>
      <c r="F26" s="3"/>
      <c r="G26" s="248" t="s">
        <v>554</v>
      </c>
      <c r="H26" s="249"/>
      <c r="I26" s="249"/>
      <c r="J26" s="253"/>
      <c r="L26" s="248" t="s">
        <v>554</v>
      </c>
      <c r="M26" s="249"/>
      <c r="N26" s="249"/>
      <c r="O26" s="253"/>
    </row>
    <row r="27" spans="2:15">
      <c r="B27" s="1" t="s">
        <v>555</v>
      </c>
      <c r="C27" s="1" t="s">
        <v>556</v>
      </c>
      <c r="D27" s="1" t="s">
        <v>557</v>
      </c>
      <c r="E27" s="4">
        <f>E10*((E22*E21)+E23)*E24</f>
        <v>6249.0323750399994</v>
      </c>
      <c r="F27" s="3"/>
      <c r="G27" s="1" t="s">
        <v>555</v>
      </c>
      <c r="H27" s="1" t="s">
        <v>556</v>
      </c>
      <c r="I27" s="1" t="s">
        <v>557</v>
      </c>
      <c r="J27" s="4">
        <f>J10*((J22*J21)+J23)*J24</f>
        <v>3888.1096843679998</v>
      </c>
      <c r="L27" s="1" t="s">
        <v>555</v>
      </c>
      <c r="M27" s="1" t="s">
        <v>556</v>
      </c>
      <c r="N27" s="1" t="s">
        <v>557</v>
      </c>
      <c r="O27" s="4">
        <f>O10*((O22*O21)+O23)*O24</f>
        <v>2360.922690672</v>
      </c>
    </row>
    <row r="28" spans="2:15">
      <c r="B28" s="1" t="s">
        <v>558</v>
      </c>
      <c r="C28" s="1" t="s">
        <v>559</v>
      </c>
      <c r="D28" s="1" t="s">
        <v>557</v>
      </c>
      <c r="E28" s="4">
        <f>E18*((E22*E21)+E23)*E24</f>
        <v>0</v>
      </c>
      <c r="F28" s="3"/>
      <c r="G28" s="1" t="s">
        <v>558</v>
      </c>
      <c r="H28" s="1" t="s">
        <v>559</v>
      </c>
      <c r="I28" s="1" t="s">
        <v>557</v>
      </c>
      <c r="J28" s="4">
        <f>J18*((J22*J21)+J23)*J24</f>
        <v>0</v>
      </c>
      <c r="L28" s="1" t="s">
        <v>558</v>
      </c>
      <c r="M28" s="1" t="s">
        <v>559</v>
      </c>
      <c r="N28" s="1" t="s">
        <v>557</v>
      </c>
      <c r="O28" s="4">
        <f>O18*((O22*O21)+O23)*O24</f>
        <v>0</v>
      </c>
    </row>
    <row r="29" spans="2:15">
      <c r="B29" s="1" t="s">
        <v>579</v>
      </c>
      <c r="C29" s="1" t="s">
        <v>561</v>
      </c>
      <c r="D29" s="1" t="s">
        <v>519</v>
      </c>
      <c r="E29" s="1">
        <v>0.95</v>
      </c>
      <c r="F29" s="3"/>
      <c r="G29" s="1" t="s">
        <v>579</v>
      </c>
      <c r="H29" s="1" t="s">
        <v>561</v>
      </c>
      <c r="I29" s="1" t="s">
        <v>519</v>
      </c>
      <c r="J29" s="1">
        <v>0.95</v>
      </c>
      <c r="L29" s="1" t="s">
        <v>579</v>
      </c>
      <c r="M29" s="1" t="s">
        <v>561</v>
      </c>
      <c r="N29" s="1" t="s">
        <v>519</v>
      </c>
      <c r="O29" s="1">
        <v>0.95</v>
      </c>
    </row>
    <row r="30" spans="2:15">
      <c r="B30" s="1" t="s">
        <v>562</v>
      </c>
      <c r="C30" s="1" t="s">
        <v>563</v>
      </c>
      <c r="D30" s="1" t="s">
        <v>557</v>
      </c>
      <c r="E30" s="1">
        <v>0</v>
      </c>
      <c r="F30" s="3"/>
      <c r="G30" s="1" t="s">
        <v>562</v>
      </c>
      <c r="H30" s="1" t="s">
        <v>563</v>
      </c>
      <c r="I30" s="1" t="s">
        <v>557</v>
      </c>
      <c r="J30" s="1">
        <v>0</v>
      </c>
      <c r="L30" s="1" t="s">
        <v>562</v>
      </c>
      <c r="M30" s="1" t="s">
        <v>563</v>
      </c>
      <c r="N30" s="1" t="s">
        <v>557</v>
      </c>
      <c r="O30" s="1">
        <v>0</v>
      </c>
    </row>
    <row r="31" spans="2:15">
      <c r="B31" s="1" t="s">
        <v>564</v>
      </c>
      <c r="C31" s="1" t="s">
        <v>565</v>
      </c>
      <c r="D31" s="1" t="s">
        <v>557</v>
      </c>
      <c r="E31" s="4">
        <f>((E27-E28)*E29)-E30</f>
        <v>5936.5807562879991</v>
      </c>
      <c r="F31" s="3"/>
      <c r="G31" s="1" t="s">
        <v>564</v>
      </c>
      <c r="H31" s="1" t="s">
        <v>565</v>
      </c>
      <c r="I31" s="1" t="s">
        <v>557</v>
      </c>
      <c r="J31" s="7">
        <f>((J27-J28)*J29)-J30</f>
        <v>3693.7042001495997</v>
      </c>
      <c r="L31" s="1" t="s">
        <v>564</v>
      </c>
      <c r="M31" s="1" t="s">
        <v>565</v>
      </c>
      <c r="N31" s="1" t="s">
        <v>557</v>
      </c>
      <c r="O31" s="7">
        <f>((O27-O28)*O29)-O30</f>
        <v>2242.8765561383998</v>
      </c>
    </row>
    <row r="32" spans="2:15">
      <c r="D32" s="5"/>
      <c r="F32" s="3"/>
      <c r="I32" s="5"/>
      <c r="N32" s="5"/>
    </row>
    <row r="33" spans="2:15">
      <c r="B33" s="251" t="s">
        <v>566</v>
      </c>
      <c r="C33" s="251"/>
      <c r="D33" s="251"/>
      <c r="E33" s="251"/>
      <c r="F33" s="3"/>
      <c r="G33" s="251" t="s">
        <v>566</v>
      </c>
      <c r="H33" s="251"/>
      <c r="I33" s="251"/>
      <c r="J33" s="251"/>
      <c r="L33" s="251" t="s">
        <v>566</v>
      </c>
      <c r="M33" s="251"/>
      <c r="N33" s="251"/>
      <c r="O33" s="251"/>
    </row>
    <row r="34" spans="2:15">
      <c r="B34" s="13" t="s">
        <v>567</v>
      </c>
      <c r="C34" s="1"/>
      <c r="D34" s="14"/>
      <c r="E34" s="23">
        <f>1-E35</f>
        <v>0.95</v>
      </c>
      <c r="F34" s="3"/>
      <c r="G34" s="13" t="s">
        <v>567</v>
      </c>
      <c r="H34" s="1"/>
      <c r="I34" s="14"/>
      <c r="J34" s="23">
        <f>1-J35</f>
        <v>0.95</v>
      </c>
      <c r="L34" s="13" t="s">
        <v>567</v>
      </c>
      <c r="M34" s="1"/>
      <c r="N34" s="14"/>
      <c r="O34" s="23">
        <f>1-O35</f>
        <v>0.95</v>
      </c>
    </row>
    <row r="35" spans="2:15">
      <c r="B35" s="13" t="s">
        <v>568</v>
      </c>
      <c r="C35" s="1" t="s">
        <v>569</v>
      </c>
      <c r="D35" s="14" t="s">
        <v>37</v>
      </c>
      <c r="E35" s="23">
        <v>0.05</v>
      </c>
      <c r="F35" s="3"/>
      <c r="G35" s="13" t="s">
        <v>568</v>
      </c>
      <c r="H35" s="1" t="s">
        <v>569</v>
      </c>
      <c r="I35" s="14" t="s">
        <v>37</v>
      </c>
      <c r="J35" s="23">
        <v>0.05</v>
      </c>
      <c r="L35" s="13" t="s">
        <v>568</v>
      </c>
      <c r="M35" s="1" t="s">
        <v>569</v>
      </c>
      <c r="N35" s="14" t="s">
        <v>37</v>
      </c>
      <c r="O35" s="23">
        <v>0.05</v>
      </c>
    </row>
    <row r="36" spans="2:15">
      <c r="B36" s="15" t="s">
        <v>564</v>
      </c>
      <c r="C36" s="15" t="s">
        <v>571</v>
      </c>
      <c r="D36" s="15" t="s">
        <v>557</v>
      </c>
      <c r="E36" s="25">
        <f>E31*(1-E35)</f>
        <v>5639.7517184735989</v>
      </c>
      <c r="F36" s="3"/>
      <c r="G36" s="15" t="s">
        <v>564</v>
      </c>
      <c r="H36" s="15" t="s">
        <v>571</v>
      </c>
      <c r="I36" s="15" t="s">
        <v>557</v>
      </c>
      <c r="J36" s="25">
        <f>J31*(1-J35)</f>
        <v>3509.0189901421195</v>
      </c>
      <c r="L36" s="15" t="s">
        <v>564</v>
      </c>
      <c r="M36" s="15" t="s">
        <v>571</v>
      </c>
      <c r="N36" s="15" t="s">
        <v>557</v>
      </c>
      <c r="O36" s="25">
        <f>O31*(1-O35)</f>
        <v>2130.7327283314798</v>
      </c>
    </row>
    <row r="37" spans="2:15">
      <c r="B37" s="21" t="s">
        <v>580</v>
      </c>
      <c r="C37" s="20" t="s">
        <v>571</v>
      </c>
      <c r="D37" s="20" t="s">
        <v>557</v>
      </c>
      <c r="E37" s="26">
        <f>J37+O37</f>
        <v>5639</v>
      </c>
      <c r="F37" s="3"/>
      <c r="G37" s="21" t="s">
        <v>580</v>
      </c>
      <c r="H37" s="20" t="s">
        <v>571</v>
      </c>
      <c r="I37" s="20" t="s">
        <v>557</v>
      </c>
      <c r="J37" s="26">
        <f>_xlfn.FLOOR.MATH(J36)</f>
        <v>3509</v>
      </c>
      <c r="L37" s="21" t="s">
        <v>580</v>
      </c>
      <c r="M37" s="20" t="s">
        <v>571</v>
      </c>
      <c r="N37" s="20" t="s">
        <v>557</v>
      </c>
      <c r="O37" s="26">
        <f>_xlfn.FLOOR.MATH(O36)</f>
        <v>2130</v>
      </c>
    </row>
    <row r="38" spans="2:15">
      <c r="C38" s="252"/>
      <c r="D38" s="252"/>
      <c r="F38" s="3"/>
      <c r="H38" s="252"/>
      <c r="I38" s="252"/>
      <c r="M38" s="252"/>
      <c r="N38" s="252"/>
    </row>
    <row r="39" spans="2:15">
      <c r="I39" s="27"/>
    </row>
    <row r="41" spans="2:15">
      <c r="E41" s="16"/>
      <c r="J41" s="16"/>
      <c r="O41" s="16"/>
    </row>
  </sheetData>
  <mergeCells count="21">
    <mergeCell ref="C38:D38"/>
    <mergeCell ref="H38:I38"/>
    <mergeCell ref="M38:N38"/>
    <mergeCell ref="B26:E26"/>
    <mergeCell ref="G26:J26"/>
    <mergeCell ref="L26:O26"/>
    <mergeCell ref="B33:E33"/>
    <mergeCell ref="G33:J33"/>
    <mergeCell ref="L33:O33"/>
    <mergeCell ref="B12:E12"/>
    <mergeCell ref="G12:J12"/>
    <mergeCell ref="L12:O12"/>
    <mergeCell ref="B20:E20"/>
    <mergeCell ref="G20:J20"/>
    <mergeCell ref="L20:O20"/>
    <mergeCell ref="B2:E2"/>
    <mergeCell ref="G2:J2"/>
    <mergeCell ref="L2:O2"/>
    <mergeCell ref="B4:E4"/>
    <mergeCell ref="G4:J4"/>
    <mergeCell ref="L4:O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72638-600A-457F-99BF-289032D69CF8}">
  <dimension ref="A2:P41"/>
  <sheetViews>
    <sheetView topLeftCell="G1" workbookViewId="0">
      <selection activeCell="O7" sqref="O7"/>
    </sheetView>
  </sheetViews>
  <sheetFormatPr defaultRowHeight="14.25"/>
  <cols>
    <col min="2" max="2" width="60.7109375" bestFit="1" customWidth="1"/>
    <col min="3" max="3" width="18.28515625" bestFit="1" customWidth="1"/>
    <col min="4" max="4" width="12.42578125" bestFit="1" customWidth="1"/>
    <col min="5" max="5" width="12.7109375" customWidth="1"/>
    <col min="6" max="6" width="7.28515625" customWidth="1"/>
    <col min="7" max="7" width="60.7109375" bestFit="1" customWidth="1"/>
    <col min="8" max="8" width="18.28515625" bestFit="1" customWidth="1"/>
    <col min="9" max="9" width="12.42578125" bestFit="1" customWidth="1"/>
    <col min="10" max="10" width="12.5703125" customWidth="1"/>
    <col min="11" max="11" width="5" customWidth="1"/>
    <col min="12" max="12" width="60.7109375" bestFit="1" customWidth="1"/>
    <col min="13" max="13" width="18.28515625" bestFit="1" customWidth="1"/>
    <col min="14" max="14" width="12.42578125" bestFit="1" customWidth="1"/>
    <col min="15" max="15" width="12.28515625" customWidth="1"/>
  </cols>
  <sheetData>
    <row r="2" spans="1:16" ht="15" customHeight="1">
      <c r="B2" s="250" t="s">
        <v>573</v>
      </c>
      <c r="C2" s="250"/>
      <c r="D2" s="250"/>
      <c r="E2" s="250"/>
      <c r="G2" s="250" t="s">
        <v>574</v>
      </c>
      <c r="H2" s="250"/>
      <c r="I2" s="250"/>
      <c r="J2" s="250"/>
      <c r="L2" s="250" t="s">
        <v>575</v>
      </c>
      <c r="M2" s="250"/>
      <c r="N2" s="250"/>
      <c r="O2" s="250"/>
    </row>
    <row r="4" spans="1:16">
      <c r="A4" s="3"/>
      <c r="B4" s="248" t="s">
        <v>516</v>
      </c>
      <c r="C4" s="249"/>
      <c r="D4" s="249"/>
      <c r="E4" s="253"/>
      <c r="F4" s="3"/>
      <c r="G4" s="248" t="s">
        <v>516</v>
      </c>
      <c r="H4" s="249"/>
      <c r="I4" s="249"/>
      <c r="J4" s="253"/>
      <c r="K4" s="3"/>
      <c r="L4" s="248" t="s">
        <v>516</v>
      </c>
      <c r="M4" s="249"/>
      <c r="N4" s="249"/>
      <c r="O4" s="253"/>
      <c r="P4" s="3"/>
    </row>
    <row r="5" spans="1:16">
      <c r="B5" s="1" t="s">
        <v>517</v>
      </c>
      <c r="C5" s="1" t="s">
        <v>518</v>
      </c>
      <c r="D5" s="1" t="s">
        <v>519</v>
      </c>
      <c r="E5" s="37">
        <v>0.02</v>
      </c>
      <c r="F5" s="3"/>
      <c r="G5" s="1" t="s">
        <v>517</v>
      </c>
      <c r="H5" s="1" t="s">
        <v>518</v>
      </c>
      <c r="I5" s="1" t="s">
        <v>519</v>
      </c>
      <c r="J5" s="37">
        <v>0.02</v>
      </c>
      <c r="L5" s="1" t="s">
        <v>517</v>
      </c>
      <c r="M5" s="1" t="s">
        <v>518</v>
      </c>
      <c r="N5" s="1" t="s">
        <v>519</v>
      </c>
      <c r="O5" s="109">
        <f>J5</f>
        <v>0.02</v>
      </c>
    </row>
    <row r="6" spans="1:16">
      <c r="B6" s="1" t="s">
        <v>520</v>
      </c>
      <c r="C6" s="1" t="s">
        <v>521</v>
      </c>
      <c r="D6" s="1"/>
      <c r="E6" s="4">
        <f>'Total PTDs'!AM22</f>
        <v>1352325</v>
      </c>
      <c r="F6" s="3"/>
      <c r="G6" s="1" t="s">
        <v>520</v>
      </c>
      <c r="H6" s="1" t="s">
        <v>521</v>
      </c>
      <c r="I6" s="1"/>
      <c r="J6" s="4">
        <f>'Total PTDs'!AH22</f>
        <v>841035</v>
      </c>
      <c r="L6" s="1" t="s">
        <v>520</v>
      </c>
      <c r="M6" s="1" t="s">
        <v>521</v>
      </c>
      <c r="N6" s="1"/>
      <c r="O6" s="4">
        <f>'Total PTDs'!AL22</f>
        <v>511290</v>
      </c>
    </row>
    <row r="7" spans="1:16">
      <c r="B7" s="1" t="s">
        <v>522</v>
      </c>
      <c r="C7" s="1" t="s">
        <v>523</v>
      </c>
      <c r="D7" s="1" t="s">
        <v>524</v>
      </c>
      <c r="E7" s="12">
        <f>J7</f>
        <v>4.0000000000000002E-4</v>
      </c>
      <c r="F7" s="3"/>
      <c r="G7" s="1" t="s">
        <v>522</v>
      </c>
      <c r="H7" s="1" t="s">
        <v>523</v>
      </c>
      <c r="I7" s="1" t="s">
        <v>524</v>
      </c>
      <c r="J7" s="12">
        <v>4.0000000000000002E-4</v>
      </c>
      <c r="L7" s="1" t="s">
        <v>522</v>
      </c>
      <c r="M7" s="1" t="s">
        <v>523</v>
      </c>
      <c r="N7" s="1" t="s">
        <v>524</v>
      </c>
      <c r="O7" s="12">
        <f>J7</f>
        <v>4.0000000000000002E-4</v>
      </c>
    </row>
    <row r="8" spans="1:16" ht="28.5">
      <c r="B8" s="2" t="s">
        <v>577</v>
      </c>
      <c r="C8" s="1" t="s">
        <v>526</v>
      </c>
      <c r="D8" s="1" t="s">
        <v>527</v>
      </c>
      <c r="E8" s="1">
        <v>7.5</v>
      </c>
      <c r="F8" s="3"/>
      <c r="G8" s="2" t="s">
        <v>577</v>
      </c>
      <c r="H8" s="1" t="s">
        <v>526</v>
      </c>
      <c r="I8" s="1" t="s">
        <v>527</v>
      </c>
      <c r="J8" s="1">
        <v>7.5</v>
      </c>
      <c r="L8" s="2" t="s">
        <v>577</v>
      </c>
      <c r="M8" s="1" t="s">
        <v>526</v>
      </c>
      <c r="N8" s="1" t="s">
        <v>527</v>
      </c>
      <c r="O8" s="1">
        <v>7.5</v>
      </c>
    </row>
    <row r="9" spans="1:16">
      <c r="B9" s="2" t="s">
        <v>528</v>
      </c>
      <c r="C9" s="1" t="s">
        <v>529</v>
      </c>
      <c r="D9" s="1" t="s">
        <v>527</v>
      </c>
      <c r="E9" s="1">
        <v>0</v>
      </c>
      <c r="F9" s="3"/>
      <c r="G9" s="2" t="s">
        <v>528</v>
      </c>
      <c r="H9" s="1" t="s">
        <v>529</v>
      </c>
      <c r="I9" s="1" t="s">
        <v>527</v>
      </c>
      <c r="J9" s="1">
        <v>0</v>
      </c>
      <c r="L9" s="2" t="s">
        <v>528</v>
      </c>
      <c r="M9" s="1" t="s">
        <v>529</v>
      </c>
      <c r="N9" s="1" t="s">
        <v>527</v>
      </c>
      <c r="O9" s="1">
        <v>0</v>
      </c>
    </row>
    <row r="10" spans="1:16">
      <c r="B10" s="1" t="s">
        <v>530</v>
      </c>
      <c r="C10" s="1" t="s">
        <v>531</v>
      </c>
      <c r="D10" s="1" t="s">
        <v>532</v>
      </c>
      <c r="E10" s="4">
        <f>(1-E5)*E6*E7*(E8+E9)</f>
        <v>3975.8355000000001</v>
      </c>
      <c r="F10" s="3"/>
      <c r="G10" s="1" t="s">
        <v>530</v>
      </c>
      <c r="H10" s="1" t="s">
        <v>531</v>
      </c>
      <c r="I10" s="1" t="s">
        <v>532</v>
      </c>
      <c r="J10" s="7">
        <f>(1-J5)*J6*J7*(J8+J9)</f>
        <v>2472.6428999999998</v>
      </c>
      <c r="L10" s="1" t="s">
        <v>530</v>
      </c>
      <c r="M10" s="1" t="s">
        <v>531</v>
      </c>
      <c r="N10" s="1" t="s">
        <v>532</v>
      </c>
      <c r="O10" s="7">
        <f>(1-O5)*O6*O7*(O8+O9)</f>
        <v>1503.1926000000003</v>
      </c>
    </row>
    <row r="11" spans="1:16">
      <c r="F11" s="3"/>
    </row>
    <row r="12" spans="1:16">
      <c r="B12" s="248" t="s">
        <v>533</v>
      </c>
      <c r="C12" s="249"/>
      <c r="D12" s="249"/>
      <c r="E12" s="253"/>
      <c r="F12" s="3"/>
      <c r="G12" s="248" t="s">
        <v>533</v>
      </c>
      <c r="H12" s="249"/>
      <c r="I12" s="249"/>
      <c r="J12" s="253"/>
      <c r="L12" s="248" t="s">
        <v>533</v>
      </c>
      <c r="M12" s="249"/>
      <c r="N12" s="249"/>
      <c r="O12" s="253"/>
    </row>
    <row r="13" spans="1:16">
      <c r="B13" s="1" t="s">
        <v>534</v>
      </c>
      <c r="C13" s="1" t="s">
        <v>518</v>
      </c>
      <c r="D13" s="1" t="s">
        <v>519</v>
      </c>
      <c r="E13" s="37">
        <v>0.02</v>
      </c>
      <c r="F13" s="3"/>
      <c r="G13" s="1" t="s">
        <v>534</v>
      </c>
      <c r="H13" s="1" t="s">
        <v>518</v>
      </c>
      <c r="I13" s="1" t="s">
        <v>519</v>
      </c>
      <c r="J13" s="109">
        <f>J5</f>
        <v>0.02</v>
      </c>
      <c r="L13" s="1" t="s">
        <v>534</v>
      </c>
      <c r="M13" s="1" t="s">
        <v>518</v>
      </c>
      <c r="N13" s="1" t="s">
        <v>519</v>
      </c>
      <c r="O13" s="109">
        <f>O5</f>
        <v>0.02</v>
      </c>
    </row>
    <row r="14" spans="1:16">
      <c r="B14" s="1" t="s">
        <v>520</v>
      </c>
      <c r="C14" s="1" t="s">
        <v>521</v>
      </c>
      <c r="D14" s="1"/>
      <c r="E14" s="4">
        <f>E6</f>
        <v>1352325</v>
      </c>
      <c r="F14" s="3"/>
      <c r="G14" s="1" t="s">
        <v>520</v>
      </c>
      <c r="H14" s="1" t="s">
        <v>521</v>
      </c>
      <c r="I14" s="1"/>
      <c r="J14" s="4">
        <f>J6</f>
        <v>841035</v>
      </c>
      <c r="L14" s="1" t="s">
        <v>520</v>
      </c>
      <c r="M14" s="1" t="s">
        <v>521</v>
      </c>
      <c r="N14" s="1"/>
      <c r="O14" s="4">
        <f>O6</f>
        <v>511290</v>
      </c>
    </row>
    <row r="15" spans="1:16">
      <c r="B15" s="1" t="s">
        <v>535</v>
      </c>
      <c r="C15" s="1" t="s">
        <v>536</v>
      </c>
      <c r="D15" s="1" t="s">
        <v>524</v>
      </c>
      <c r="E15" s="12">
        <f>E7</f>
        <v>4.0000000000000002E-4</v>
      </c>
      <c r="F15" s="3"/>
      <c r="G15" s="1" t="s">
        <v>535</v>
      </c>
      <c r="H15" s="1" t="s">
        <v>536</v>
      </c>
      <c r="I15" s="1" t="s">
        <v>524</v>
      </c>
      <c r="J15" s="12">
        <f>J7</f>
        <v>4.0000000000000002E-4</v>
      </c>
      <c r="L15" s="1" t="s">
        <v>535</v>
      </c>
      <c r="M15" s="1" t="s">
        <v>536</v>
      </c>
      <c r="N15" s="1" t="s">
        <v>524</v>
      </c>
      <c r="O15" s="12">
        <f>O7</f>
        <v>4.0000000000000002E-4</v>
      </c>
    </row>
    <row r="16" spans="1:16">
      <c r="B16" s="1" t="s">
        <v>537</v>
      </c>
      <c r="C16" s="1" t="s">
        <v>529</v>
      </c>
      <c r="D16" s="1" t="s">
        <v>527</v>
      </c>
      <c r="E16" s="1">
        <v>0</v>
      </c>
      <c r="F16" s="3"/>
      <c r="G16" s="1" t="s">
        <v>537</v>
      </c>
      <c r="H16" s="1" t="s">
        <v>529</v>
      </c>
      <c r="I16" s="1" t="s">
        <v>527</v>
      </c>
      <c r="J16" s="1">
        <v>0</v>
      </c>
      <c r="L16" s="1" t="s">
        <v>537</v>
      </c>
      <c r="M16" s="1" t="s">
        <v>529</v>
      </c>
      <c r="N16" s="1" t="s">
        <v>527</v>
      </c>
      <c r="O16" s="1">
        <v>0</v>
      </c>
    </row>
    <row r="17" spans="2:15">
      <c r="B17" s="1" t="s">
        <v>538</v>
      </c>
      <c r="C17" s="1" t="s">
        <v>539</v>
      </c>
      <c r="D17" s="1" t="s">
        <v>527</v>
      </c>
      <c r="E17" s="22">
        <v>0</v>
      </c>
      <c r="F17" s="3"/>
      <c r="G17" s="1" t="s">
        <v>538</v>
      </c>
      <c r="H17" s="1" t="s">
        <v>539</v>
      </c>
      <c r="I17" s="1" t="s">
        <v>527</v>
      </c>
      <c r="J17" s="22">
        <v>0</v>
      </c>
      <c r="L17" s="1" t="s">
        <v>538</v>
      </c>
      <c r="M17" s="1" t="s">
        <v>539</v>
      </c>
      <c r="N17" s="1" t="s">
        <v>527</v>
      </c>
      <c r="O17" s="22">
        <v>0</v>
      </c>
    </row>
    <row r="18" spans="2:15">
      <c r="B18" s="1" t="s">
        <v>540</v>
      </c>
      <c r="C18" s="1" t="s">
        <v>541</v>
      </c>
      <c r="D18" s="1" t="s">
        <v>532</v>
      </c>
      <c r="E18" s="7">
        <f>(1-E13)*E14*E15*(E16+E17)</f>
        <v>0</v>
      </c>
      <c r="F18" s="3"/>
      <c r="G18" s="1" t="s">
        <v>540</v>
      </c>
      <c r="H18" s="1" t="s">
        <v>541</v>
      </c>
      <c r="I18" s="1" t="s">
        <v>532</v>
      </c>
      <c r="J18" s="7">
        <f>(1-J13)*J14*J15*(J16+J17)</f>
        <v>0</v>
      </c>
      <c r="L18" s="1" t="s">
        <v>540</v>
      </c>
      <c r="M18" s="1" t="s">
        <v>541</v>
      </c>
      <c r="N18" s="1" t="s">
        <v>532</v>
      </c>
      <c r="O18" s="7">
        <f>(1-O13)*O14*O15*(O16+O17)</f>
        <v>0</v>
      </c>
    </row>
    <row r="19" spans="2:15">
      <c r="F19" s="3"/>
    </row>
    <row r="20" spans="2:15">
      <c r="B20" s="248" t="s">
        <v>542</v>
      </c>
      <c r="C20" s="249"/>
      <c r="D20" s="249"/>
      <c r="E20" s="253"/>
      <c r="F20" s="3"/>
      <c r="G20" s="248" t="s">
        <v>542</v>
      </c>
      <c r="H20" s="249"/>
      <c r="I20" s="249"/>
      <c r="J20" s="253"/>
      <c r="L20" s="248" t="s">
        <v>542</v>
      </c>
      <c r="M20" s="249"/>
      <c r="N20" s="249"/>
      <c r="O20" s="253"/>
    </row>
    <row r="21" spans="2:15">
      <c r="B21" s="2" t="s">
        <v>543</v>
      </c>
      <c r="C21" s="1" t="s">
        <v>543</v>
      </c>
      <c r="D21" s="1" t="s">
        <v>544</v>
      </c>
      <c r="E21" s="8">
        <v>0.95</v>
      </c>
      <c r="F21" s="3"/>
      <c r="G21" s="2" t="s">
        <v>543</v>
      </c>
      <c r="H21" s="1" t="s">
        <v>543</v>
      </c>
      <c r="I21" s="1" t="s">
        <v>544</v>
      </c>
      <c r="J21" s="8">
        <v>0.95</v>
      </c>
      <c r="L21" s="2" t="s">
        <v>543</v>
      </c>
      <c r="M21" s="1" t="s">
        <v>543</v>
      </c>
      <c r="N21" s="1" t="s">
        <v>544</v>
      </c>
      <c r="O21" s="8">
        <v>0.95</v>
      </c>
    </row>
    <row r="22" spans="2:15">
      <c r="B22" s="1" t="s">
        <v>545</v>
      </c>
      <c r="C22" s="1" t="s">
        <v>546</v>
      </c>
      <c r="D22" s="1" t="s">
        <v>547</v>
      </c>
      <c r="E22" s="1">
        <v>112</v>
      </c>
      <c r="F22" s="3"/>
      <c r="G22" s="1" t="s">
        <v>545</v>
      </c>
      <c r="H22" s="1" t="s">
        <v>546</v>
      </c>
      <c r="I22" s="1" t="s">
        <v>547</v>
      </c>
      <c r="J22" s="1">
        <v>112</v>
      </c>
      <c r="L22" s="1" t="s">
        <v>545</v>
      </c>
      <c r="M22" s="1" t="s">
        <v>546</v>
      </c>
      <c r="N22" s="1" t="s">
        <v>547</v>
      </c>
      <c r="O22" s="1">
        <v>112</v>
      </c>
    </row>
    <row r="23" spans="2:15">
      <c r="B23" s="1" t="s">
        <v>578</v>
      </c>
      <c r="C23" s="1" t="s">
        <v>549</v>
      </c>
      <c r="D23" s="1" t="s">
        <v>550</v>
      </c>
      <c r="E23" s="161">
        <f>(J6*J23+O6*O23)/E6</f>
        <v>9.4600000000000009</v>
      </c>
      <c r="F23" s="3"/>
      <c r="G23" s="1" t="s">
        <v>548</v>
      </c>
      <c r="H23" s="1" t="s">
        <v>549</v>
      </c>
      <c r="I23" s="1" t="s">
        <v>550</v>
      </c>
      <c r="J23" s="1">
        <v>9.4600000000000009</v>
      </c>
      <c r="L23" s="1" t="s">
        <v>548</v>
      </c>
      <c r="M23" s="1" t="s">
        <v>549</v>
      </c>
      <c r="N23" s="1" t="s">
        <v>550</v>
      </c>
      <c r="O23" s="1">
        <f>9.46</f>
        <v>9.4600000000000009</v>
      </c>
    </row>
    <row r="24" spans="2:15">
      <c r="B24" s="1" t="s">
        <v>551</v>
      </c>
      <c r="C24" s="1" t="s">
        <v>552</v>
      </c>
      <c r="D24" s="1" t="s">
        <v>553</v>
      </c>
      <c r="E24" s="1">
        <f>0.0156</f>
        <v>1.5599999999999999E-2</v>
      </c>
      <c r="F24" s="3"/>
      <c r="G24" s="1" t="s">
        <v>551</v>
      </c>
      <c r="H24" s="1" t="s">
        <v>552</v>
      </c>
      <c r="I24" s="1" t="s">
        <v>553</v>
      </c>
      <c r="J24" s="1">
        <v>1.5599999999999999E-2</v>
      </c>
      <c r="L24" s="1" t="s">
        <v>551</v>
      </c>
      <c r="M24" s="1" t="s">
        <v>552</v>
      </c>
      <c r="N24" s="1" t="s">
        <v>553</v>
      </c>
      <c r="O24" s="1">
        <v>1.5599999999999999E-2</v>
      </c>
    </row>
    <row r="25" spans="2:15">
      <c r="F25" s="3"/>
    </row>
    <row r="26" spans="2:15">
      <c r="B26" s="248" t="s">
        <v>554</v>
      </c>
      <c r="C26" s="249"/>
      <c r="D26" s="249"/>
      <c r="E26" s="253"/>
      <c r="F26" s="3"/>
      <c r="G26" s="248" t="s">
        <v>554</v>
      </c>
      <c r="H26" s="249"/>
      <c r="I26" s="249"/>
      <c r="J26" s="253"/>
      <c r="L26" s="248" t="s">
        <v>554</v>
      </c>
      <c r="M26" s="249"/>
      <c r="N26" s="249"/>
      <c r="O26" s="253"/>
    </row>
    <row r="27" spans="2:15">
      <c r="B27" s="1" t="s">
        <v>555</v>
      </c>
      <c r="C27" s="1" t="s">
        <v>556</v>
      </c>
      <c r="D27" s="1" t="s">
        <v>557</v>
      </c>
      <c r="E27" s="4">
        <f>E10*((E22*E21)+E23)*E24</f>
        <v>7185.9886960679996</v>
      </c>
      <c r="F27" s="3"/>
      <c r="G27" s="1" t="s">
        <v>555</v>
      </c>
      <c r="H27" s="1" t="s">
        <v>556</v>
      </c>
      <c r="I27" s="1" t="s">
        <v>557</v>
      </c>
      <c r="J27" s="4">
        <f>J10*((J22*J21)+J23)*J24</f>
        <v>4469.0943397463989</v>
      </c>
      <c r="L27" s="1" t="s">
        <v>555</v>
      </c>
      <c r="M27" s="1" t="s">
        <v>556</v>
      </c>
      <c r="N27" s="1" t="s">
        <v>557</v>
      </c>
      <c r="O27" s="4">
        <f>O10*((O22*O21)+O23)*O24</f>
        <v>2716.8943563215998</v>
      </c>
    </row>
    <row r="28" spans="2:15">
      <c r="B28" s="1" t="s">
        <v>558</v>
      </c>
      <c r="C28" s="1" t="s">
        <v>559</v>
      </c>
      <c r="D28" s="1" t="s">
        <v>557</v>
      </c>
      <c r="E28" s="4">
        <f>E18*((E22*E21)+E23)*E24</f>
        <v>0</v>
      </c>
      <c r="F28" s="3"/>
      <c r="G28" s="1" t="s">
        <v>558</v>
      </c>
      <c r="H28" s="1" t="s">
        <v>559</v>
      </c>
      <c r="I28" s="1" t="s">
        <v>557</v>
      </c>
      <c r="J28" s="4">
        <f>J18*((J22*J21)+J23)*J24</f>
        <v>0</v>
      </c>
      <c r="L28" s="1" t="s">
        <v>558</v>
      </c>
      <c r="M28" s="1" t="s">
        <v>559</v>
      </c>
      <c r="N28" s="1" t="s">
        <v>557</v>
      </c>
      <c r="O28" s="4">
        <f>O18*((O22*O21)+O23)*O24</f>
        <v>0</v>
      </c>
    </row>
    <row r="29" spans="2:15">
      <c r="B29" s="1" t="s">
        <v>579</v>
      </c>
      <c r="C29" s="1" t="s">
        <v>561</v>
      </c>
      <c r="D29" s="1" t="s">
        <v>519</v>
      </c>
      <c r="E29" s="1">
        <v>0.95</v>
      </c>
      <c r="F29" s="3"/>
      <c r="G29" s="1" t="s">
        <v>579</v>
      </c>
      <c r="H29" s="1" t="s">
        <v>561</v>
      </c>
      <c r="I29" s="1" t="s">
        <v>519</v>
      </c>
      <c r="J29" s="1">
        <v>0.95</v>
      </c>
      <c r="L29" s="1" t="s">
        <v>579</v>
      </c>
      <c r="M29" s="1" t="s">
        <v>561</v>
      </c>
      <c r="N29" s="1" t="s">
        <v>519</v>
      </c>
      <c r="O29" s="1">
        <v>0.95</v>
      </c>
    </row>
    <row r="30" spans="2:15">
      <c r="B30" s="1" t="s">
        <v>562</v>
      </c>
      <c r="C30" s="1" t="s">
        <v>563</v>
      </c>
      <c r="D30" s="1" t="s">
        <v>557</v>
      </c>
      <c r="E30" s="1">
        <v>0</v>
      </c>
      <c r="F30" s="3"/>
      <c r="G30" s="1" t="s">
        <v>562</v>
      </c>
      <c r="H30" s="1" t="s">
        <v>563</v>
      </c>
      <c r="I30" s="1" t="s">
        <v>557</v>
      </c>
      <c r="J30" s="1">
        <v>0</v>
      </c>
      <c r="L30" s="1" t="s">
        <v>562</v>
      </c>
      <c r="M30" s="1" t="s">
        <v>563</v>
      </c>
      <c r="N30" s="1" t="s">
        <v>557</v>
      </c>
      <c r="O30" s="1">
        <v>0</v>
      </c>
    </row>
    <row r="31" spans="2:15">
      <c r="B31" s="1" t="s">
        <v>564</v>
      </c>
      <c r="C31" s="1" t="s">
        <v>565</v>
      </c>
      <c r="D31" s="1" t="s">
        <v>557</v>
      </c>
      <c r="E31" s="4">
        <f>((E27-E28)*E29)-E30</f>
        <v>6826.6892612645997</v>
      </c>
      <c r="F31" s="3"/>
      <c r="G31" s="1" t="s">
        <v>564</v>
      </c>
      <c r="H31" s="1" t="s">
        <v>565</v>
      </c>
      <c r="I31" s="1" t="s">
        <v>557</v>
      </c>
      <c r="J31" s="7">
        <f>((J27-J28)*J29)-J30</f>
        <v>4245.6396227590785</v>
      </c>
      <c r="L31" s="1" t="s">
        <v>564</v>
      </c>
      <c r="M31" s="1" t="s">
        <v>565</v>
      </c>
      <c r="N31" s="1" t="s">
        <v>557</v>
      </c>
      <c r="O31" s="7">
        <f>((O27-O28)*O29)-O30</f>
        <v>2581.0496385055199</v>
      </c>
    </row>
    <row r="32" spans="2:15">
      <c r="D32" s="5"/>
      <c r="F32" s="3"/>
      <c r="I32" s="5"/>
      <c r="N32" s="5"/>
    </row>
    <row r="33" spans="2:15">
      <c r="B33" s="251" t="s">
        <v>566</v>
      </c>
      <c r="C33" s="251"/>
      <c r="D33" s="251"/>
      <c r="E33" s="251"/>
      <c r="F33" s="3"/>
      <c r="G33" s="251" t="s">
        <v>566</v>
      </c>
      <c r="H33" s="251"/>
      <c r="I33" s="251"/>
      <c r="J33" s="251"/>
      <c r="L33" s="251" t="s">
        <v>566</v>
      </c>
      <c r="M33" s="251"/>
      <c r="N33" s="251"/>
      <c r="O33" s="251"/>
    </row>
    <row r="34" spans="2:15">
      <c r="B34" s="13" t="s">
        <v>567</v>
      </c>
      <c r="C34" s="1"/>
      <c r="D34" s="14"/>
      <c r="E34" s="23">
        <f>1-E35</f>
        <v>0.95</v>
      </c>
      <c r="F34" s="3"/>
      <c r="G34" s="13" t="s">
        <v>567</v>
      </c>
      <c r="H34" s="1"/>
      <c r="I34" s="14"/>
      <c r="J34" s="23">
        <f>1-J35</f>
        <v>0.95</v>
      </c>
      <c r="L34" s="13" t="s">
        <v>567</v>
      </c>
      <c r="M34" s="1"/>
      <c r="N34" s="14"/>
      <c r="O34" s="23">
        <f>1-O35</f>
        <v>0.95</v>
      </c>
    </row>
    <row r="35" spans="2:15">
      <c r="B35" s="13" t="s">
        <v>568</v>
      </c>
      <c r="C35" s="1" t="s">
        <v>569</v>
      </c>
      <c r="D35" s="14" t="s">
        <v>37</v>
      </c>
      <c r="E35" s="23">
        <v>0.05</v>
      </c>
      <c r="F35" s="3"/>
      <c r="G35" s="13" t="s">
        <v>568</v>
      </c>
      <c r="H35" s="1" t="s">
        <v>569</v>
      </c>
      <c r="I35" s="14" t="s">
        <v>37</v>
      </c>
      <c r="J35" s="23">
        <v>0.05</v>
      </c>
      <c r="L35" s="13" t="s">
        <v>568</v>
      </c>
      <c r="M35" s="1" t="s">
        <v>569</v>
      </c>
      <c r="N35" s="14" t="s">
        <v>37</v>
      </c>
      <c r="O35" s="23">
        <v>0.05</v>
      </c>
    </row>
    <row r="36" spans="2:15">
      <c r="B36" s="15" t="s">
        <v>564</v>
      </c>
      <c r="C36" s="15" t="s">
        <v>571</v>
      </c>
      <c r="D36" s="15" t="s">
        <v>557</v>
      </c>
      <c r="E36" s="25">
        <f>E31*(1-E35)</f>
        <v>6485.3547982013697</v>
      </c>
      <c r="F36" s="3"/>
      <c r="G36" s="15" t="s">
        <v>564</v>
      </c>
      <c r="H36" s="15" t="s">
        <v>571</v>
      </c>
      <c r="I36" s="15" t="s">
        <v>557</v>
      </c>
      <c r="J36" s="25">
        <f>J31*(1-J35)</f>
        <v>4033.3576416211245</v>
      </c>
      <c r="L36" s="15" t="s">
        <v>564</v>
      </c>
      <c r="M36" s="15" t="s">
        <v>571</v>
      </c>
      <c r="N36" s="15" t="s">
        <v>557</v>
      </c>
      <c r="O36" s="25">
        <f>O31*(1-O35)</f>
        <v>2451.9971565802439</v>
      </c>
    </row>
    <row r="37" spans="2:15">
      <c r="B37" s="21" t="s">
        <v>580</v>
      </c>
      <c r="C37" s="20" t="s">
        <v>571</v>
      </c>
      <c r="D37" s="20" t="s">
        <v>557</v>
      </c>
      <c r="E37" s="26">
        <f>J37+O37</f>
        <v>6484</v>
      </c>
      <c r="F37" s="3"/>
      <c r="G37" s="21" t="s">
        <v>580</v>
      </c>
      <c r="H37" s="20" t="s">
        <v>571</v>
      </c>
      <c r="I37" s="20" t="s">
        <v>557</v>
      </c>
      <c r="J37" s="26">
        <f>_xlfn.FLOOR.MATH(J36)</f>
        <v>4033</v>
      </c>
      <c r="L37" s="21" t="s">
        <v>580</v>
      </c>
      <c r="M37" s="20" t="s">
        <v>571</v>
      </c>
      <c r="N37" s="20" t="s">
        <v>557</v>
      </c>
      <c r="O37" s="26">
        <f>_xlfn.FLOOR.MATH(O36)</f>
        <v>2451</v>
      </c>
    </row>
    <row r="38" spans="2:15">
      <c r="C38" s="252"/>
      <c r="D38" s="252"/>
      <c r="F38" s="3"/>
      <c r="H38" s="252"/>
      <c r="I38" s="252"/>
      <c r="M38" s="252"/>
      <c r="N38" s="252"/>
    </row>
    <row r="39" spans="2:15">
      <c r="I39" s="27"/>
    </row>
    <row r="41" spans="2:15">
      <c r="E41" s="16"/>
      <c r="J41" s="16"/>
      <c r="O41" s="16"/>
    </row>
  </sheetData>
  <mergeCells count="21">
    <mergeCell ref="C38:D38"/>
    <mergeCell ref="H38:I38"/>
    <mergeCell ref="M38:N38"/>
    <mergeCell ref="B26:E26"/>
    <mergeCell ref="G26:J26"/>
    <mergeCell ref="L26:O26"/>
    <mergeCell ref="B33:E33"/>
    <mergeCell ref="G33:J33"/>
    <mergeCell ref="L33:O33"/>
    <mergeCell ref="B12:E12"/>
    <mergeCell ref="G12:J12"/>
    <mergeCell ref="L12:O12"/>
    <mergeCell ref="B20:E20"/>
    <mergeCell ref="G20:J20"/>
    <mergeCell ref="L20:O20"/>
    <mergeCell ref="B2:E2"/>
    <mergeCell ref="G2:J2"/>
    <mergeCell ref="L2:O2"/>
    <mergeCell ref="B4:E4"/>
    <mergeCell ref="G4:J4"/>
    <mergeCell ref="L4:O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D8FF0EBC1E34CAA966933F5D9F9ED" ma:contentTypeVersion="19" ma:contentTypeDescription="Create a new document." ma:contentTypeScope="" ma:versionID="9eb1bf08cc29ea9418feaaa960cb77d7">
  <xsd:schema xmlns:xsd="http://www.w3.org/2001/XMLSchema" xmlns:xs="http://www.w3.org/2001/XMLSchema" xmlns:p="http://schemas.microsoft.com/office/2006/metadata/properties" xmlns:ns1="http://schemas.microsoft.com/sharepoint/v3" xmlns:ns2="8bcd9205-aa71-43b1-82fe-dcc00a36dd04" xmlns:ns3="83a6049c-05c8-4e22-bd03-2c19a5f84a8b" targetNamespace="http://schemas.microsoft.com/office/2006/metadata/properties" ma:root="true" ma:fieldsID="6f853d6009e99f35033fb835818bee78" ns1:_="" ns2:_="" ns3:_="">
    <xsd:import namespace="http://schemas.microsoft.com/sharepoint/v3"/>
    <xsd:import namespace="8bcd9205-aa71-43b1-82fe-dcc00a36dd04"/>
    <xsd:import namespace="83a6049c-05c8-4e22-bd03-2c19a5f84a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PublishingStartDate" minOccurs="0"/>
                <xsd:element ref="ns1:PublishingExpirationDat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d9205-aa71-43b1-82fe-dcc00a36d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905b797-93a9-4c36-9d72-1ad65c8e50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6049c-05c8-4e22-bd03-2c19a5f84a8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97f6c16-a42c-4dfe-b35d-62a0e7d34d20}" ma:internalName="TaxCatchAll" ma:showField="CatchAllData" ma:web="83a6049c-05c8-4e22-bd03-2c19a5f84a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cd9205-aa71-43b1-82fe-dcc00a36dd04">
      <Terms xmlns="http://schemas.microsoft.com/office/infopath/2007/PartnerControls"/>
    </lcf76f155ced4ddcb4097134ff3c332f>
    <TaxCatchAll xmlns="83a6049c-05c8-4e22-bd03-2c19a5f84a8b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EDD57F-6F79-41C9-AB4E-79E9AC9C3AB8}"/>
</file>

<file path=customXml/itemProps2.xml><?xml version="1.0" encoding="utf-8"?>
<ds:datastoreItem xmlns:ds="http://schemas.openxmlformats.org/officeDocument/2006/customXml" ds:itemID="{71F84EBD-A1B0-411C-8FEB-DD32148E2745}"/>
</file>

<file path=customXml/itemProps3.xml><?xml version="1.0" encoding="utf-8"?>
<ds:datastoreItem xmlns:ds="http://schemas.openxmlformats.org/officeDocument/2006/customXml" ds:itemID="{A41E6441-94D6-4513-A6B3-A70BF250EC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fcogarcia344</dc:creator>
  <cp:keywords/>
  <dc:description/>
  <cp:lastModifiedBy>Megan Jones</cp:lastModifiedBy>
  <cp:revision/>
  <dcterms:created xsi:type="dcterms:W3CDTF">2010-03-10T10:40:43Z</dcterms:created>
  <dcterms:modified xsi:type="dcterms:W3CDTF">2024-05-17T11:27:15Z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0x010100467D8FF0EBC1E34CAA966933F5D9F9ED</vt:lpwstr>
  </property>
  <property fmtid="{D5CDD505-2E9C-101B-9397-08002B2CF9AE}" pid="3" name="MediaServiceImageTags">
    <vt:lpwstr/>
  </property>
</Properties>
</file>