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2balance.sharepoint.com/Shared Documents/Projects/GS1247 - IKR/6. Sierra Leone/P1&amp;2/6 - Verification/MP3-MP2/R2 (Email)/"/>
    </mc:Choice>
  </mc:AlternateContent>
  <xr:revisionPtr revIDLastSave="69" documentId="8_{FB3BB4BC-95D7-4FD7-A27D-734ACD2FEC38}" xr6:coauthVersionLast="47" xr6:coauthVersionMax="47" xr10:uidLastSave="{1021FBEF-1342-4AFB-890E-8BB8B77F674E}"/>
  <bookViews>
    <workbookView xWindow="-110" yWindow="-110" windowWidth="19420" windowHeight="10420" tabRatio="778" firstSheet="1" activeTab="4" xr2:uid="{00000000-000D-0000-FFFF-FFFF00000000}"/>
  </bookViews>
  <sheets>
    <sheet name="Summary" sheetId="24" r:id="rId1"/>
    <sheet name="Total PTDs" sheetId="45" r:id="rId2"/>
    <sheet name="SDG Impacts " sheetId="42" r:id="rId3"/>
    <sheet name="Uncapped ERs" sheetId="47" r:id="rId4"/>
    <sheet name="GS7475" sheetId="25" r:id="rId5"/>
    <sheet name="GS7476" sheetId="46" r:id="rId6"/>
    <sheet name="GS7477" sheetId="28" r:id="rId7"/>
    <sheet name="GS7478" sheetId="29" r:id="rId8"/>
    <sheet name="GS7479" sheetId="30" r:id="rId9"/>
    <sheet name="GS7480" sheetId="31" r:id="rId10"/>
    <sheet name="GS7481" sheetId="32" r:id="rId11"/>
    <sheet name="GS7482" sheetId="35" r:id="rId12"/>
    <sheet name="GS7483" sheetId="36" r:id="rId13"/>
    <sheet name="GS7484" sheetId="37" r:id="rId14"/>
    <sheet name="Treatment Capacity" sheetId="43" r:id="rId1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25" l="1"/>
  <c r="V155" i="45"/>
  <c r="Q155" i="45"/>
  <c r="R155" i="45"/>
  <c r="S155" i="45"/>
  <c r="T155" i="45"/>
  <c r="U155" i="45"/>
  <c r="P155" i="45"/>
  <c r="L153" i="45"/>
  <c r="L152" i="45"/>
  <c r="L151" i="45"/>
  <c r="L150" i="45"/>
  <c r="L149" i="45"/>
  <c r="L148" i="45"/>
  <c r="L147" i="45"/>
  <c r="L146" i="45"/>
  <c r="L145" i="45"/>
  <c r="L144" i="45"/>
  <c r="L143" i="45"/>
  <c r="L142" i="45"/>
  <c r="L141" i="45"/>
  <c r="L140" i="45"/>
  <c r="L137" i="45"/>
  <c r="L136" i="45"/>
  <c r="L135" i="45"/>
  <c r="L134" i="45"/>
  <c r="L133" i="45"/>
  <c r="L132" i="45"/>
  <c r="L131" i="45"/>
  <c r="L130" i="45"/>
  <c r="L129" i="45"/>
  <c r="L128" i="45"/>
  <c r="L127" i="45"/>
  <c r="L126" i="45"/>
  <c r="L125" i="45"/>
  <c r="L124" i="45"/>
  <c r="L121" i="45"/>
  <c r="L120" i="45"/>
  <c r="L119" i="45"/>
  <c r="L118" i="45"/>
  <c r="L117" i="45"/>
  <c r="L116" i="45"/>
  <c r="L115" i="45"/>
  <c r="L114" i="45"/>
  <c r="L113" i="45"/>
  <c r="L112" i="45"/>
  <c r="L111" i="45"/>
  <c r="L110" i="45"/>
  <c r="L109" i="45"/>
  <c r="L108" i="45"/>
  <c r="L105" i="45"/>
  <c r="L104" i="45"/>
  <c r="L103" i="45"/>
  <c r="L102" i="45"/>
  <c r="L101" i="45"/>
  <c r="L100" i="45"/>
  <c r="L99" i="45"/>
  <c r="L98" i="45"/>
  <c r="L97" i="45"/>
  <c r="L96" i="45"/>
  <c r="L95" i="45"/>
  <c r="L94" i="45"/>
  <c r="L93" i="45"/>
  <c r="L90" i="45"/>
  <c r="L89" i="45"/>
  <c r="L88" i="45"/>
  <c r="L87" i="45"/>
  <c r="L86" i="45"/>
  <c r="L85" i="45"/>
  <c r="L84" i="45"/>
  <c r="L83" i="45"/>
  <c r="L82" i="45"/>
  <c r="L81" i="45"/>
  <c r="L80" i="45"/>
  <c r="L79" i="45"/>
  <c r="L78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0" i="45"/>
  <c r="L59" i="45"/>
  <c r="L58" i="45"/>
  <c r="L57" i="45"/>
  <c r="L56" i="45"/>
  <c r="L55" i="45"/>
  <c r="L54" i="45"/>
  <c r="L53" i="45"/>
  <c r="L52" i="45"/>
  <c r="L51" i="45"/>
  <c r="L50" i="45"/>
  <c r="L61" i="45" s="1"/>
  <c r="L49" i="45"/>
  <c r="L46" i="45"/>
  <c r="L45" i="45"/>
  <c r="L44" i="45"/>
  <c r="L43" i="45"/>
  <c r="L42" i="45"/>
  <c r="L41" i="45"/>
  <c r="L40" i="45"/>
  <c r="L39" i="45"/>
  <c r="L38" i="45"/>
  <c r="L37" i="45"/>
  <c r="L36" i="45"/>
  <c r="L35" i="45"/>
  <c r="L34" i="45"/>
  <c r="L31" i="45"/>
  <c r="L30" i="45"/>
  <c r="L29" i="45"/>
  <c r="L28" i="45"/>
  <c r="L27" i="45"/>
  <c r="L26" i="45"/>
  <c r="L25" i="45"/>
  <c r="L24" i="45"/>
  <c r="L23" i="45"/>
  <c r="L22" i="45"/>
  <c r="L21" i="45"/>
  <c r="L20" i="45"/>
  <c r="L19" i="45"/>
  <c r="L16" i="45"/>
  <c r="L15" i="45"/>
  <c r="L14" i="45"/>
  <c r="L13" i="45"/>
  <c r="L12" i="45"/>
  <c r="L11" i="45"/>
  <c r="L10" i="45"/>
  <c r="L9" i="45"/>
  <c r="L8" i="45"/>
  <c r="L7" i="45"/>
  <c r="L6" i="45"/>
  <c r="L5" i="45"/>
  <c r="L4" i="45"/>
  <c r="N7" i="45"/>
  <c r="Y5" i="45"/>
  <c r="Y6" i="45"/>
  <c r="O154" i="45" l="1"/>
  <c r="M154" i="45"/>
  <c r="O138" i="45"/>
  <c r="M138" i="45"/>
  <c r="O122" i="45"/>
  <c r="M122" i="45"/>
  <c r="O106" i="45"/>
  <c r="M106" i="45"/>
  <c r="O91" i="45"/>
  <c r="M91" i="45"/>
  <c r="O76" i="45"/>
  <c r="M76" i="45"/>
  <c r="O61" i="45"/>
  <c r="M61" i="45"/>
  <c r="O47" i="45"/>
  <c r="M47" i="45"/>
  <c r="O32" i="45"/>
  <c r="M32" i="45"/>
  <c r="O17" i="45"/>
  <c r="M17" i="45"/>
  <c r="D7" i="42"/>
  <c r="N20" i="45" l="1"/>
  <c r="N21" i="45"/>
  <c r="N22" i="45"/>
  <c r="N23" i="45"/>
  <c r="N24" i="45"/>
  <c r="N25" i="45"/>
  <c r="N26" i="45"/>
  <c r="N27" i="45"/>
  <c r="N28" i="45"/>
  <c r="N29" i="45"/>
  <c r="N30" i="45"/>
  <c r="N31" i="45"/>
  <c r="N35" i="45"/>
  <c r="N36" i="45"/>
  <c r="N37" i="45"/>
  <c r="N38" i="45"/>
  <c r="N39" i="45"/>
  <c r="N40" i="45"/>
  <c r="N41" i="45"/>
  <c r="N42" i="45"/>
  <c r="T42" i="45" s="1"/>
  <c r="N43" i="45"/>
  <c r="N44" i="45"/>
  <c r="N45" i="45"/>
  <c r="N46" i="45"/>
  <c r="N50" i="45"/>
  <c r="N51" i="45"/>
  <c r="N52" i="45"/>
  <c r="N53" i="45"/>
  <c r="N54" i="45"/>
  <c r="N55" i="45"/>
  <c r="N56" i="45"/>
  <c r="N57" i="45"/>
  <c r="T57" i="45" s="1"/>
  <c r="N58" i="45"/>
  <c r="N59" i="45"/>
  <c r="N60" i="45"/>
  <c r="N64" i="45"/>
  <c r="N65" i="45"/>
  <c r="N66" i="45"/>
  <c r="N67" i="45"/>
  <c r="N68" i="45"/>
  <c r="N69" i="45"/>
  <c r="N70" i="45"/>
  <c r="T70" i="45" s="1"/>
  <c r="N71" i="45"/>
  <c r="N72" i="45"/>
  <c r="N73" i="45"/>
  <c r="N74" i="45"/>
  <c r="N75" i="45"/>
  <c r="N79" i="45"/>
  <c r="N80" i="45"/>
  <c r="N81" i="45"/>
  <c r="N82" i="45"/>
  <c r="N83" i="45"/>
  <c r="N84" i="45"/>
  <c r="T84" i="45" s="1"/>
  <c r="N85" i="45"/>
  <c r="N86" i="45"/>
  <c r="N87" i="45"/>
  <c r="N88" i="45"/>
  <c r="N89" i="45"/>
  <c r="N90" i="45"/>
  <c r="V80" i="45"/>
  <c r="V87" i="45"/>
  <c r="N94" i="45"/>
  <c r="N95" i="45"/>
  <c r="N96" i="45"/>
  <c r="N97" i="45"/>
  <c r="N98" i="45"/>
  <c r="N99" i="45"/>
  <c r="T99" i="45" s="1"/>
  <c r="N100" i="45"/>
  <c r="N101" i="45"/>
  <c r="N102" i="45"/>
  <c r="N103" i="45"/>
  <c r="N104" i="45"/>
  <c r="N105" i="45"/>
  <c r="V100" i="45"/>
  <c r="N109" i="45"/>
  <c r="N110" i="45"/>
  <c r="N111" i="45"/>
  <c r="N112" i="45"/>
  <c r="N113" i="45"/>
  <c r="Q113" i="45" s="1"/>
  <c r="N114" i="45"/>
  <c r="N115" i="45"/>
  <c r="N116" i="45"/>
  <c r="N117" i="45"/>
  <c r="N118" i="45"/>
  <c r="N119" i="45"/>
  <c r="N120" i="45"/>
  <c r="N121" i="45"/>
  <c r="T121" i="45" s="1"/>
  <c r="N125" i="45"/>
  <c r="N126" i="45"/>
  <c r="N127" i="45"/>
  <c r="N128" i="45"/>
  <c r="N129" i="45"/>
  <c r="N130" i="45"/>
  <c r="N131" i="45"/>
  <c r="N132" i="45"/>
  <c r="N133" i="45"/>
  <c r="N134" i="45"/>
  <c r="N135" i="45"/>
  <c r="N136" i="45"/>
  <c r="N137" i="45"/>
  <c r="N141" i="45"/>
  <c r="N142" i="45"/>
  <c r="N143" i="45"/>
  <c r="N144" i="45"/>
  <c r="N145" i="45"/>
  <c r="N146" i="45"/>
  <c r="N147" i="45"/>
  <c r="T147" i="45" s="1"/>
  <c r="N148" i="45"/>
  <c r="N149" i="45"/>
  <c r="N150" i="45"/>
  <c r="N151" i="45"/>
  <c r="N152" i="45"/>
  <c r="N153" i="45"/>
  <c r="V150" i="45"/>
  <c r="V152" i="45"/>
  <c r="N140" i="45"/>
  <c r="N124" i="45"/>
  <c r="N108" i="45"/>
  <c r="N93" i="45"/>
  <c r="N78" i="45"/>
  <c r="N63" i="45"/>
  <c r="N49" i="45"/>
  <c r="N34" i="45"/>
  <c r="N19" i="45"/>
  <c r="V25" i="45"/>
  <c r="N5" i="45"/>
  <c r="N6" i="45"/>
  <c r="N8" i="45"/>
  <c r="N9" i="45"/>
  <c r="N10" i="45"/>
  <c r="N11" i="45"/>
  <c r="N12" i="45"/>
  <c r="N13" i="45"/>
  <c r="N14" i="45"/>
  <c r="N15" i="45"/>
  <c r="N16" i="45"/>
  <c r="V15" i="45"/>
  <c r="N4" i="45"/>
  <c r="J23" i="25"/>
  <c r="E141" i="45"/>
  <c r="E142" i="45"/>
  <c r="E143" i="45"/>
  <c r="E144" i="45"/>
  <c r="E145" i="45"/>
  <c r="V145" i="45" s="1"/>
  <c r="E146" i="45"/>
  <c r="E147" i="45"/>
  <c r="E148" i="45"/>
  <c r="E149" i="45"/>
  <c r="E150" i="45"/>
  <c r="E151" i="45"/>
  <c r="V151" i="45" s="1"/>
  <c r="E152" i="45"/>
  <c r="E153" i="45"/>
  <c r="V153" i="45" s="1"/>
  <c r="E109" i="45"/>
  <c r="V109" i="45" s="1"/>
  <c r="E110" i="45"/>
  <c r="E111" i="45"/>
  <c r="E112" i="45"/>
  <c r="E113" i="45"/>
  <c r="V113" i="45" s="1"/>
  <c r="E114" i="45"/>
  <c r="E115" i="45"/>
  <c r="E116" i="45"/>
  <c r="V116" i="45" s="1"/>
  <c r="E117" i="45"/>
  <c r="E118" i="45"/>
  <c r="E119" i="45"/>
  <c r="E120" i="45"/>
  <c r="E121" i="45"/>
  <c r="V121" i="45" s="1"/>
  <c r="E94" i="45"/>
  <c r="E95" i="45"/>
  <c r="E96" i="45"/>
  <c r="V96" i="45" s="1"/>
  <c r="E97" i="45"/>
  <c r="E98" i="45"/>
  <c r="V98" i="45" s="1"/>
  <c r="E99" i="45"/>
  <c r="E100" i="45"/>
  <c r="E101" i="45"/>
  <c r="E102" i="45"/>
  <c r="E103" i="45"/>
  <c r="E104" i="45"/>
  <c r="V104" i="45" s="1"/>
  <c r="E105" i="45"/>
  <c r="E79" i="45"/>
  <c r="E80" i="45"/>
  <c r="E81" i="45"/>
  <c r="V81" i="45" s="1"/>
  <c r="E82" i="45"/>
  <c r="E83" i="45"/>
  <c r="V83" i="45" s="1"/>
  <c r="E84" i="45"/>
  <c r="E85" i="45"/>
  <c r="V85" i="45" s="1"/>
  <c r="E86" i="45"/>
  <c r="E87" i="45"/>
  <c r="E88" i="45"/>
  <c r="E89" i="45"/>
  <c r="E90" i="45"/>
  <c r="E125" i="45"/>
  <c r="V125" i="45" s="1"/>
  <c r="E126" i="45"/>
  <c r="V126" i="45" s="1"/>
  <c r="E127" i="45"/>
  <c r="E128" i="45"/>
  <c r="V128" i="45" s="1"/>
  <c r="E129" i="45"/>
  <c r="E130" i="45"/>
  <c r="E131" i="45"/>
  <c r="V131" i="45" s="1"/>
  <c r="E132" i="45"/>
  <c r="E133" i="45"/>
  <c r="V133" i="45" s="1"/>
  <c r="E134" i="45"/>
  <c r="E135" i="45"/>
  <c r="V135" i="45" s="1"/>
  <c r="E136" i="45"/>
  <c r="V136" i="45" s="1"/>
  <c r="E137" i="45"/>
  <c r="E140" i="45"/>
  <c r="V140" i="45" s="1"/>
  <c r="E124" i="45"/>
  <c r="E108" i="45"/>
  <c r="E93" i="45"/>
  <c r="E78" i="45"/>
  <c r="E64" i="45"/>
  <c r="V64" i="45" s="1"/>
  <c r="E65" i="45"/>
  <c r="V65" i="45" s="1"/>
  <c r="E66" i="45"/>
  <c r="E67" i="45"/>
  <c r="E68" i="45"/>
  <c r="V68" i="45" s="1"/>
  <c r="E69" i="45"/>
  <c r="V69" i="45" s="1"/>
  <c r="E70" i="45"/>
  <c r="E71" i="45"/>
  <c r="E72" i="45"/>
  <c r="E73" i="45"/>
  <c r="V73" i="45" s="1"/>
  <c r="E74" i="45"/>
  <c r="E75" i="45"/>
  <c r="E63" i="45"/>
  <c r="E50" i="45"/>
  <c r="E51" i="45"/>
  <c r="E52" i="45"/>
  <c r="E53" i="45"/>
  <c r="E54" i="45"/>
  <c r="V54" i="45" s="1"/>
  <c r="E55" i="45"/>
  <c r="E56" i="45"/>
  <c r="E57" i="45"/>
  <c r="E58" i="45"/>
  <c r="E59" i="45"/>
  <c r="V59" i="45" s="1"/>
  <c r="E60" i="45"/>
  <c r="E49" i="45"/>
  <c r="E35" i="45"/>
  <c r="V35" i="45" s="1"/>
  <c r="E36" i="45"/>
  <c r="V36" i="45" s="1"/>
  <c r="E37" i="45"/>
  <c r="E38" i="45"/>
  <c r="V38" i="45" s="1"/>
  <c r="E39" i="45"/>
  <c r="E40" i="45"/>
  <c r="V40" i="45" s="1"/>
  <c r="E41" i="45"/>
  <c r="V41" i="45" s="1"/>
  <c r="E42" i="45"/>
  <c r="E43" i="45"/>
  <c r="V43" i="45" s="1"/>
  <c r="E44" i="45"/>
  <c r="E45" i="45"/>
  <c r="V45" i="45" s="1"/>
  <c r="E46" i="45"/>
  <c r="V46" i="45" s="1"/>
  <c r="E34" i="45"/>
  <c r="E20" i="45"/>
  <c r="V20" i="45" s="1"/>
  <c r="E21" i="45"/>
  <c r="E22" i="45"/>
  <c r="V22" i="45" s="1"/>
  <c r="E23" i="45"/>
  <c r="E24" i="45"/>
  <c r="V24" i="45" s="1"/>
  <c r="E25" i="45"/>
  <c r="E26" i="45"/>
  <c r="E27" i="45"/>
  <c r="V27" i="45" s="1"/>
  <c r="E28" i="45"/>
  <c r="E29" i="45"/>
  <c r="E30" i="45"/>
  <c r="V30" i="45" s="1"/>
  <c r="E31" i="45"/>
  <c r="E19" i="45"/>
  <c r="E5" i="45"/>
  <c r="E6" i="45"/>
  <c r="V6" i="45" s="1"/>
  <c r="E7" i="45"/>
  <c r="E8" i="45"/>
  <c r="E9" i="45"/>
  <c r="V9" i="45" s="1"/>
  <c r="E10" i="45"/>
  <c r="V10" i="45" s="1"/>
  <c r="E11" i="45"/>
  <c r="V11" i="45" s="1"/>
  <c r="E12" i="45"/>
  <c r="E13" i="45"/>
  <c r="E14" i="45"/>
  <c r="E15" i="45"/>
  <c r="E16" i="45"/>
  <c r="E4" i="45"/>
  <c r="V4" i="45" s="1"/>
  <c r="B154" i="45"/>
  <c r="B138" i="45"/>
  <c r="B122" i="45"/>
  <c r="B106" i="45"/>
  <c r="B91" i="45"/>
  <c r="B76" i="45"/>
  <c r="B61" i="45"/>
  <c r="B47" i="45"/>
  <c r="B32" i="45"/>
  <c r="B17" i="45"/>
  <c r="T23" i="47"/>
  <c r="U23" i="47"/>
  <c r="V23" i="47"/>
  <c r="W23" i="47"/>
  <c r="X23" i="47"/>
  <c r="Y23" i="47"/>
  <c r="Z23" i="47"/>
  <c r="AA23" i="47"/>
  <c r="AB23" i="47"/>
  <c r="S23" i="47"/>
  <c r="AP34" i="47"/>
  <c r="AO34" i="47"/>
  <c r="AN34" i="47"/>
  <c r="AM34" i="47"/>
  <c r="AL34" i="47"/>
  <c r="AK34" i="47"/>
  <c r="AJ34" i="47"/>
  <c r="AI34" i="47"/>
  <c r="AH34" i="47"/>
  <c r="AG34" i="47"/>
  <c r="AP24" i="47"/>
  <c r="AO24" i="47"/>
  <c r="AN24" i="47"/>
  <c r="AM24" i="47"/>
  <c r="AL24" i="47"/>
  <c r="AK24" i="47"/>
  <c r="AJ24" i="47"/>
  <c r="AI24" i="47"/>
  <c r="AH24" i="47"/>
  <c r="AG24" i="47"/>
  <c r="AP23" i="47"/>
  <c r="AO23" i="47"/>
  <c r="AN23" i="47"/>
  <c r="AM23" i="47"/>
  <c r="AL23" i="47"/>
  <c r="AK23" i="47"/>
  <c r="AJ23" i="47"/>
  <c r="AI23" i="47"/>
  <c r="AH23" i="47"/>
  <c r="AG23" i="47"/>
  <c r="AP15" i="47"/>
  <c r="AO15" i="47"/>
  <c r="AN15" i="47"/>
  <c r="AM15" i="47"/>
  <c r="AL15" i="47"/>
  <c r="AK15" i="47"/>
  <c r="AJ15" i="47"/>
  <c r="AI15" i="47"/>
  <c r="AH15" i="47"/>
  <c r="AG15" i="47"/>
  <c r="AB34" i="47"/>
  <c r="AA34" i="47"/>
  <c r="Z34" i="47"/>
  <c r="Y34" i="47"/>
  <c r="X34" i="47"/>
  <c r="W34" i="47"/>
  <c r="V34" i="47"/>
  <c r="U34" i="47"/>
  <c r="T34" i="47"/>
  <c r="S34" i="47"/>
  <c r="AB24" i="47"/>
  <c r="AA24" i="47"/>
  <c r="Z24" i="47"/>
  <c r="Y24" i="47"/>
  <c r="X24" i="47"/>
  <c r="W24" i="47"/>
  <c r="V24" i="47"/>
  <c r="U24" i="47"/>
  <c r="T24" i="47"/>
  <c r="S24" i="47"/>
  <c r="AB15" i="47"/>
  <c r="AA15" i="47"/>
  <c r="Z15" i="47"/>
  <c r="Y15" i="47"/>
  <c r="X15" i="47"/>
  <c r="W15" i="47"/>
  <c r="V15" i="47"/>
  <c r="U15" i="47"/>
  <c r="T15" i="47"/>
  <c r="S15" i="47"/>
  <c r="O23" i="37"/>
  <c r="O23" i="36"/>
  <c r="O23" i="35"/>
  <c r="O23" i="32"/>
  <c r="O23" i="31"/>
  <c r="O23" i="30"/>
  <c r="O23" i="29"/>
  <c r="O23" i="28"/>
  <c r="O23" i="46"/>
  <c r="N34" i="47"/>
  <c r="N24" i="47"/>
  <c r="N15" i="47"/>
  <c r="M34" i="47"/>
  <c r="M24" i="47"/>
  <c r="M15" i="47"/>
  <c r="L34" i="47"/>
  <c r="L24" i="47"/>
  <c r="L15" i="47"/>
  <c r="K34" i="47"/>
  <c r="K24" i="47"/>
  <c r="K15" i="47"/>
  <c r="J34" i="47"/>
  <c r="J24" i="47"/>
  <c r="J15" i="47"/>
  <c r="I34" i="47"/>
  <c r="I24" i="47"/>
  <c r="I15" i="47"/>
  <c r="H34" i="47"/>
  <c r="H24" i="47"/>
  <c r="H15" i="47"/>
  <c r="G34" i="47"/>
  <c r="G24" i="47"/>
  <c r="G15" i="47"/>
  <c r="F34" i="47"/>
  <c r="F24" i="47"/>
  <c r="F15" i="47"/>
  <c r="E34" i="47"/>
  <c r="E24" i="47"/>
  <c r="E15" i="47"/>
  <c r="O23" i="25"/>
  <c r="I154" i="45"/>
  <c r="L13" i="24" s="1"/>
  <c r="I138" i="45"/>
  <c r="L12" i="24" s="1"/>
  <c r="I122" i="45"/>
  <c r="L11" i="24" s="1"/>
  <c r="I106" i="45"/>
  <c r="L10" i="24" s="1"/>
  <c r="I91" i="45"/>
  <c r="L9" i="24"/>
  <c r="I61" i="45"/>
  <c r="L7" i="24" s="1"/>
  <c r="I76" i="45"/>
  <c r="L8" i="24" s="1"/>
  <c r="I47" i="45"/>
  <c r="L6" i="24" s="1"/>
  <c r="I32" i="45"/>
  <c r="L5" i="24" s="1"/>
  <c r="I17" i="45"/>
  <c r="L4" i="24" s="1"/>
  <c r="D208" i="42"/>
  <c r="D209" i="42"/>
  <c r="D203" i="42"/>
  <c r="D204" i="42"/>
  <c r="D186" i="42"/>
  <c r="D187" i="42"/>
  <c r="D181" i="42"/>
  <c r="D182" i="42"/>
  <c r="D164" i="42"/>
  <c r="D165" i="42"/>
  <c r="D159" i="42"/>
  <c r="D160" i="42"/>
  <c r="D142" i="42"/>
  <c r="D143" i="42"/>
  <c r="D137" i="42"/>
  <c r="D138" i="42"/>
  <c r="D120" i="42"/>
  <c r="D121" i="42"/>
  <c r="D115" i="42"/>
  <c r="D116" i="42"/>
  <c r="D98" i="42"/>
  <c r="D99" i="42"/>
  <c r="D93" i="42"/>
  <c r="D94" i="42"/>
  <c r="D76" i="42"/>
  <c r="D77" i="42"/>
  <c r="D71" i="42"/>
  <c r="D72" i="42"/>
  <c r="D54" i="42"/>
  <c r="D55" i="42"/>
  <c r="D49" i="42"/>
  <c r="D50" i="42"/>
  <c r="D27" i="42"/>
  <c r="D32" i="42"/>
  <c r="O34" i="37"/>
  <c r="J34" i="37"/>
  <c r="E34" i="37"/>
  <c r="E24" i="37"/>
  <c r="O15" i="37"/>
  <c r="J15" i="37"/>
  <c r="J13" i="37"/>
  <c r="O7" i="37"/>
  <c r="E7" i="37"/>
  <c r="E15" i="37"/>
  <c r="O5" i="37"/>
  <c r="O34" i="36"/>
  <c r="J34" i="36"/>
  <c r="E34" i="36"/>
  <c r="E24" i="36"/>
  <c r="J15" i="36"/>
  <c r="O13" i="36"/>
  <c r="J13" i="36"/>
  <c r="O7" i="36"/>
  <c r="O15" i="36"/>
  <c r="E7" i="36"/>
  <c r="E15" i="36"/>
  <c r="O5" i="36"/>
  <c r="O34" i="35"/>
  <c r="J34" i="35"/>
  <c r="E34" i="35"/>
  <c r="E24" i="35"/>
  <c r="O15" i="35"/>
  <c r="J15" i="35"/>
  <c r="J13" i="35"/>
  <c r="O7" i="35"/>
  <c r="E7" i="35"/>
  <c r="E15" i="35"/>
  <c r="O5" i="35"/>
  <c r="O13" i="35"/>
  <c r="O34" i="32"/>
  <c r="J34" i="32"/>
  <c r="E34" i="32"/>
  <c r="E24" i="32"/>
  <c r="O15" i="32"/>
  <c r="J15" i="32"/>
  <c r="J13" i="32"/>
  <c r="O7" i="32"/>
  <c r="E7" i="32"/>
  <c r="E15" i="32"/>
  <c r="O5" i="32"/>
  <c r="O34" i="31"/>
  <c r="J34" i="31"/>
  <c r="E34" i="31"/>
  <c r="E24" i="31"/>
  <c r="O15" i="31"/>
  <c r="J15" i="31"/>
  <c r="J13" i="31"/>
  <c r="O7" i="31"/>
  <c r="E7" i="31"/>
  <c r="E15" i="31"/>
  <c r="O5" i="31"/>
  <c r="O34" i="30"/>
  <c r="J34" i="30"/>
  <c r="E34" i="30"/>
  <c r="E24" i="30"/>
  <c r="O15" i="30"/>
  <c r="J15" i="30"/>
  <c r="J13" i="30"/>
  <c r="O7" i="30"/>
  <c r="E7" i="30"/>
  <c r="E15" i="30"/>
  <c r="O5" i="30"/>
  <c r="O13" i="30"/>
  <c r="O34" i="29"/>
  <c r="J34" i="29"/>
  <c r="E34" i="29"/>
  <c r="E24" i="29"/>
  <c r="J15" i="29"/>
  <c r="O13" i="29"/>
  <c r="J13" i="29"/>
  <c r="O7" i="29"/>
  <c r="O15" i="29"/>
  <c r="E7" i="29"/>
  <c r="E15" i="29"/>
  <c r="O5" i="29"/>
  <c r="O34" i="28"/>
  <c r="J34" i="28"/>
  <c r="E34" i="28"/>
  <c r="E24" i="28"/>
  <c r="O15" i="28"/>
  <c r="J15" i="28"/>
  <c r="J13" i="28"/>
  <c r="O7" i="28"/>
  <c r="E7" i="28"/>
  <c r="E15" i="28"/>
  <c r="O5" i="28"/>
  <c r="O13" i="28"/>
  <c r="O34" i="46"/>
  <c r="J34" i="46"/>
  <c r="E34" i="46"/>
  <c r="E24" i="46"/>
  <c r="O15" i="46"/>
  <c r="J15" i="46"/>
  <c r="J13" i="46"/>
  <c r="O7" i="46"/>
  <c r="E7" i="46"/>
  <c r="E15" i="46"/>
  <c r="O5" i="46"/>
  <c r="O13" i="46"/>
  <c r="O13" i="37"/>
  <c r="O13" i="32"/>
  <c r="O13" i="31"/>
  <c r="T153" i="45"/>
  <c r="J153" i="45"/>
  <c r="T152" i="45"/>
  <c r="J152" i="45"/>
  <c r="T151" i="45"/>
  <c r="J151" i="45"/>
  <c r="T150" i="45"/>
  <c r="J150" i="45"/>
  <c r="Q150" i="45" s="1"/>
  <c r="T149" i="45"/>
  <c r="J149" i="45"/>
  <c r="J148" i="45"/>
  <c r="J147" i="45"/>
  <c r="Q147" i="45" s="1"/>
  <c r="T146" i="45"/>
  <c r="J146" i="45"/>
  <c r="Q144" i="45"/>
  <c r="T140" i="45"/>
  <c r="T137" i="45"/>
  <c r="J137" i="45"/>
  <c r="T136" i="45"/>
  <c r="J136" i="45"/>
  <c r="T135" i="45"/>
  <c r="J135" i="45"/>
  <c r="T134" i="45"/>
  <c r="J134" i="45"/>
  <c r="T133" i="45"/>
  <c r="J133" i="45"/>
  <c r="Q133" i="45" s="1"/>
  <c r="T132" i="45"/>
  <c r="J132" i="45"/>
  <c r="T131" i="45"/>
  <c r="J131" i="45"/>
  <c r="Q131" i="45" s="1"/>
  <c r="T130" i="45"/>
  <c r="J130" i="45"/>
  <c r="T125" i="45"/>
  <c r="T124" i="45"/>
  <c r="J121" i="45"/>
  <c r="J120" i="45"/>
  <c r="T119" i="45"/>
  <c r="J119" i="45"/>
  <c r="Q119" i="45" s="1"/>
  <c r="T118" i="45"/>
  <c r="J118" i="45"/>
  <c r="T117" i="45"/>
  <c r="J117" i="45"/>
  <c r="T116" i="45"/>
  <c r="J116" i="45"/>
  <c r="J115" i="45"/>
  <c r="Q115" i="45" s="1"/>
  <c r="J114" i="45"/>
  <c r="T110" i="45"/>
  <c r="T108" i="45"/>
  <c r="T105" i="45"/>
  <c r="J105" i="45"/>
  <c r="J104" i="45"/>
  <c r="Q104" i="45" s="1"/>
  <c r="T103" i="45"/>
  <c r="J103" i="45"/>
  <c r="Q103" i="45" s="1"/>
  <c r="J102" i="45"/>
  <c r="T101" i="45"/>
  <c r="J101" i="45"/>
  <c r="T100" i="45"/>
  <c r="J100" i="45"/>
  <c r="Q100" i="45" s="1"/>
  <c r="S100" i="45"/>
  <c r="J99" i="45"/>
  <c r="T98" i="45"/>
  <c r="J98" i="45"/>
  <c r="T97" i="45"/>
  <c r="T96" i="45"/>
  <c r="Q95" i="45"/>
  <c r="T93" i="45"/>
  <c r="J90" i="45"/>
  <c r="T89" i="45"/>
  <c r="J89" i="45"/>
  <c r="T88" i="45"/>
  <c r="J88" i="45"/>
  <c r="Q88" i="45" s="1"/>
  <c r="T87" i="45"/>
  <c r="J87" i="45"/>
  <c r="Q87" i="45" s="1"/>
  <c r="J86" i="45"/>
  <c r="T85" i="45"/>
  <c r="J85" i="45"/>
  <c r="J84" i="45"/>
  <c r="T83" i="45"/>
  <c r="J83" i="45"/>
  <c r="T80" i="45"/>
  <c r="T79" i="45"/>
  <c r="T78" i="45"/>
  <c r="T75" i="45"/>
  <c r="J75" i="45"/>
  <c r="J74" i="45"/>
  <c r="T73" i="45"/>
  <c r="J73" i="45"/>
  <c r="T72" i="45"/>
  <c r="J72" i="45"/>
  <c r="J71" i="45"/>
  <c r="J70" i="45"/>
  <c r="T69" i="45"/>
  <c r="J69" i="45"/>
  <c r="J68" i="45"/>
  <c r="Q68" i="45" s="1"/>
  <c r="J67" i="45"/>
  <c r="T66" i="45"/>
  <c r="J66" i="45"/>
  <c r="Q66" i="45" s="1"/>
  <c r="T65" i="45"/>
  <c r="J65" i="45"/>
  <c r="J64" i="45"/>
  <c r="Q64" i="45" s="1"/>
  <c r="T63" i="45"/>
  <c r="J63" i="45"/>
  <c r="Q63" i="45" s="1"/>
  <c r="T60" i="45"/>
  <c r="J60" i="45"/>
  <c r="Q60" i="45" s="1"/>
  <c r="T59" i="45"/>
  <c r="J59" i="45"/>
  <c r="T58" i="45"/>
  <c r="J58" i="45"/>
  <c r="Q58" i="45" s="1"/>
  <c r="J57" i="45"/>
  <c r="T56" i="45"/>
  <c r="J56" i="45"/>
  <c r="Q56" i="45" s="1"/>
  <c r="J55" i="45"/>
  <c r="J54" i="45"/>
  <c r="Q54" i="45" s="1"/>
  <c r="T53" i="45"/>
  <c r="J53" i="45"/>
  <c r="Q53" i="45" s="1"/>
  <c r="T52" i="45"/>
  <c r="J52" i="45"/>
  <c r="T51" i="45"/>
  <c r="J51" i="45"/>
  <c r="T50" i="45"/>
  <c r="J50" i="45"/>
  <c r="T49" i="45"/>
  <c r="J49" i="45"/>
  <c r="Q49" i="45" s="1"/>
  <c r="T46" i="45"/>
  <c r="J46" i="45"/>
  <c r="T45" i="45"/>
  <c r="J45" i="45"/>
  <c r="Q45" i="45" s="1"/>
  <c r="T44" i="45"/>
  <c r="J44" i="45"/>
  <c r="T43" i="45"/>
  <c r="J43" i="45"/>
  <c r="J42" i="45"/>
  <c r="T41" i="45"/>
  <c r="J41" i="45"/>
  <c r="Q41" i="45" s="1"/>
  <c r="T40" i="45"/>
  <c r="J40" i="45"/>
  <c r="T39" i="45"/>
  <c r="J39" i="45"/>
  <c r="J38" i="45"/>
  <c r="T37" i="45"/>
  <c r="J37" i="45"/>
  <c r="T36" i="45"/>
  <c r="J36" i="45"/>
  <c r="T35" i="45"/>
  <c r="J35" i="45"/>
  <c r="Q35" i="45" s="1"/>
  <c r="J34" i="45"/>
  <c r="T31" i="45"/>
  <c r="J31" i="45"/>
  <c r="Q31" i="45" s="1"/>
  <c r="T30" i="45"/>
  <c r="J30" i="45"/>
  <c r="T29" i="45"/>
  <c r="J29" i="45"/>
  <c r="Q29" i="45" s="1"/>
  <c r="T28" i="45"/>
  <c r="J28" i="45"/>
  <c r="T27" i="45"/>
  <c r="J27" i="45"/>
  <c r="T26" i="45"/>
  <c r="J26" i="45"/>
  <c r="T25" i="45"/>
  <c r="J25" i="45"/>
  <c r="J24" i="45"/>
  <c r="T23" i="45"/>
  <c r="J23" i="45"/>
  <c r="T22" i="45"/>
  <c r="J22" i="45"/>
  <c r="Q22" i="45" s="1"/>
  <c r="T21" i="45"/>
  <c r="J21" i="45"/>
  <c r="J20" i="45"/>
  <c r="T19" i="45"/>
  <c r="J19" i="45"/>
  <c r="Q19" i="45" s="1"/>
  <c r="T16" i="45"/>
  <c r="J16" i="45"/>
  <c r="Q16" i="45" s="1"/>
  <c r="T15" i="45"/>
  <c r="J15" i="45"/>
  <c r="S15" i="45"/>
  <c r="T14" i="45"/>
  <c r="J14" i="45"/>
  <c r="T13" i="45"/>
  <c r="J13" i="45"/>
  <c r="J12" i="45"/>
  <c r="J11" i="45"/>
  <c r="T10" i="45"/>
  <c r="J10" i="45"/>
  <c r="J9" i="45"/>
  <c r="T8" i="45"/>
  <c r="J8" i="45"/>
  <c r="Q8" i="45" s="1"/>
  <c r="T7" i="45"/>
  <c r="J7" i="45"/>
  <c r="T6" i="45"/>
  <c r="J6" i="45"/>
  <c r="T5" i="45"/>
  <c r="J5" i="45"/>
  <c r="T4" i="45"/>
  <c r="J4" i="45"/>
  <c r="Q46" i="45"/>
  <c r="Q82" i="45"/>
  <c r="T82" i="45"/>
  <c r="Q79" i="45"/>
  <c r="Q97" i="45"/>
  <c r="Q111" i="45"/>
  <c r="T111" i="45"/>
  <c r="Q129" i="45"/>
  <c r="T129" i="45"/>
  <c r="Q110" i="45"/>
  <c r="Q120" i="45"/>
  <c r="T120" i="45"/>
  <c r="Q80" i="45"/>
  <c r="Q94" i="45"/>
  <c r="T94" i="45"/>
  <c r="Q112" i="45"/>
  <c r="Q126" i="45"/>
  <c r="T126" i="45"/>
  <c r="Q96" i="45"/>
  <c r="Q128" i="45"/>
  <c r="T128" i="45"/>
  <c r="Q81" i="45"/>
  <c r="Q109" i="45"/>
  <c r="T109" i="45"/>
  <c r="Q127" i="45"/>
  <c r="T127" i="45"/>
  <c r="Q149" i="45"/>
  <c r="Q65" i="45"/>
  <c r="Q89" i="45"/>
  <c r="Q36" i="45"/>
  <c r="Q137" i="45"/>
  <c r="P80" i="45"/>
  <c r="Q21" i="45"/>
  <c r="Q117" i="45"/>
  <c r="Q14" i="45"/>
  <c r="Q51" i="45"/>
  <c r="Q118" i="45"/>
  <c r="Q75" i="45"/>
  <c r="Q30" i="45"/>
  <c r="Q43" i="45"/>
  <c r="Q59" i="45"/>
  <c r="Q39" i="45"/>
  <c r="Q151" i="45"/>
  <c r="Q105" i="45"/>
  <c r="Q135" i="45"/>
  <c r="Q108" i="45"/>
  <c r="Q124" i="45"/>
  <c r="N138" i="45"/>
  <c r="Q140" i="45"/>
  <c r="Q69" i="45"/>
  <c r="Q4" i="45"/>
  <c r="Q10" i="45"/>
  <c r="Q73" i="45"/>
  <c r="Q130" i="45"/>
  <c r="Q25" i="45"/>
  <c r="P15" i="45"/>
  <c r="Q15" i="45"/>
  <c r="Q13" i="45"/>
  <c r="Q52" i="45"/>
  <c r="Q83" i="45"/>
  <c r="Q93" i="45"/>
  <c r="Q78" i="45"/>
  <c r="Q125" i="45"/>
  <c r="C18" i="43"/>
  <c r="A21" i="43"/>
  <c r="C21" i="43"/>
  <c r="C7" i="43"/>
  <c r="A10" i="43"/>
  <c r="C10" i="43"/>
  <c r="O5" i="25"/>
  <c r="O7" i="25"/>
  <c r="E24" i="25"/>
  <c r="E7" i="25"/>
  <c r="H13" i="24"/>
  <c r="H12" i="24"/>
  <c r="H11" i="24"/>
  <c r="H10" i="24"/>
  <c r="H8" i="24"/>
  <c r="H7" i="24"/>
  <c r="H6" i="24"/>
  <c r="H4" i="24"/>
  <c r="H9" i="24"/>
  <c r="D28" i="42"/>
  <c r="H5" i="24"/>
  <c r="H14" i="24"/>
  <c r="I13" i="24"/>
  <c r="I12" i="24"/>
  <c r="I11" i="24"/>
  <c r="I10" i="24"/>
  <c r="I9" i="24"/>
  <c r="I8" i="24"/>
  <c r="I7" i="24"/>
  <c r="I6" i="24"/>
  <c r="D33" i="42"/>
  <c r="I5" i="24"/>
  <c r="F12" i="42"/>
  <c r="D12" i="42"/>
  <c r="I4" i="24"/>
  <c r="I14" i="24"/>
  <c r="E34" i="25"/>
  <c r="B14" i="24"/>
  <c r="O34" i="25"/>
  <c r="J34" i="25"/>
  <c r="E15" i="25"/>
  <c r="O15" i="25"/>
  <c r="O13" i="25"/>
  <c r="J15" i="25"/>
  <c r="J13" i="25"/>
  <c r="V39" i="45" l="1"/>
  <c r="S39" i="45"/>
  <c r="U39" i="45" s="1"/>
  <c r="P39" i="45"/>
  <c r="R39" i="45" s="1"/>
  <c r="V50" i="45"/>
  <c r="S50" i="45"/>
  <c r="U50" i="45" s="1"/>
  <c r="S101" i="45"/>
  <c r="U101" i="45" s="1"/>
  <c r="V101" i="45"/>
  <c r="V88" i="45"/>
  <c r="S88" i="45"/>
  <c r="U88" i="45" s="1"/>
  <c r="S79" i="45"/>
  <c r="U79" i="45" s="1"/>
  <c r="V79" i="45"/>
  <c r="V34" i="45"/>
  <c r="S34" i="45"/>
  <c r="S144" i="45"/>
  <c r="V144" i="45"/>
  <c r="P144" i="45"/>
  <c r="R144" i="45" s="1"/>
  <c r="V7" i="45"/>
  <c r="S7" i="45"/>
  <c r="U7" i="45" s="1"/>
  <c r="V58" i="45"/>
  <c r="S58" i="45"/>
  <c r="U58" i="45" s="1"/>
  <c r="V142" i="45"/>
  <c r="P142" i="45"/>
  <c r="S142" i="45"/>
  <c r="S57" i="45"/>
  <c r="U57" i="45" s="1"/>
  <c r="V57" i="45"/>
  <c r="S56" i="45"/>
  <c r="U56" i="45" s="1"/>
  <c r="V56" i="45"/>
  <c r="S16" i="45"/>
  <c r="U16" i="45" s="1"/>
  <c r="V16" i="45"/>
  <c r="S8" i="45"/>
  <c r="U8" i="45" s="1"/>
  <c r="V8" i="45"/>
  <c r="S70" i="45"/>
  <c r="U70" i="45" s="1"/>
  <c r="V70" i="45"/>
  <c r="V93" i="45"/>
  <c r="V106" i="45" s="1"/>
  <c r="P93" i="45"/>
  <c r="R93" i="45" s="1"/>
  <c r="S102" i="45"/>
  <c r="U102" i="45" s="1"/>
  <c r="V102" i="45"/>
  <c r="S94" i="45"/>
  <c r="U94" i="45" s="1"/>
  <c r="V94" i="45"/>
  <c r="P94" i="45"/>
  <c r="R94" i="45" s="1"/>
  <c r="V114" i="45"/>
  <c r="S114" i="45"/>
  <c r="S143" i="45"/>
  <c r="V143" i="45"/>
  <c r="R80" i="45"/>
  <c r="P14" i="45"/>
  <c r="V14" i="45"/>
  <c r="S26" i="45"/>
  <c r="U26" i="45" s="1"/>
  <c r="V26" i="45"/>
  <c r="S63" i="45"/>
  <c r="U63" i="45" s="1"/>
  <c r="V63" i="45"/>
  <c r="S124" i="45"/>
  <c r="V124" i="45"/>
  <c r="S89" i="45"/>
  <c r="U89" i="45" s="1"/>
  <c r="V89" i="45"/>
  <c r="V120" i="45"/>
  <c r="V112" i="45"/>
  <c r="V149" i="45"/>
  <c r="P141" i="45"/>
  <c r="V141" i="45"/>
  <c r="V13" i="45"/>
  <c r="S5" i="45"/>
  <c r="U5" i="45" s="1"/>
  <c r="V5" i="45"/>
  <c r="S37" i="45"/>
  <c r="U37" i="45" s="1"/>
  <c r="V37" i="45"/>
  <c r="V75" i="45"/>
  <c r="S67" i="45"/>
  <c r="V67" i="45"/>
  <c r="V99" i="45"/>
  <c r="V119" i="45"/>
  <c r="P111" i="45"/>
  <c r="R111" i="45" s="1"/>
  <c r="V111" i="45"/>
  <c r="S148" i="45"/>
  <c r="U148" i="45" s="1"/>
  <c r="V148" i="45"/>
  <c r="V12" i="45"/>
  <c r="V19" i="45"/>
  <c r="S44" i="45"/>
  <c r="V44" i="45"/>
  <c r="S55" i="45"/>
  <c r="V55" i="45"/>
  <c r="V74" i="45"/>
  <c r="V66" i="45"/>
  <c r="S137" i="45"/>
  <c r="U137" i="45" s="1"/>
  <c r="V137" i="45"/>
  <c r="S129" i="45"/>
  <c r="U129" i="45" s="1"/>
  <c r="V129" i="45"/>
  <c r="V118" i="45"/>
  <c r="S110" i="45"/>
  <c r="V110" i="45"/>
  <c r="S147" i="45"/>
  <c r="U147" i="45" s="1"/>
  <c r="V147" i="45"/>
  <c r="P114" i="45"/>
  <c r="P31" i="45"/>
  <c r="R31" i="45" s="1"/>
  <c r="V31" i="45"/>
  <c r="S23" i="45"/>
  <c r="V23" i="45"/>
  <c r="V32" i="45" s="1"/>
  <c r="P86" i="45"/>
  <c r="V86" i="45"/>
  <c r="V105" i="45"/>
  <c r="V97" i="45"/>
  <c r="P117" i="45"/>
  <c r="R117" i="45" s="1"/>
  <c r="V117" i="45"/>
  <c r="S146" i="45"/>
  <c r="V146" i="45"/>
  <c r="P34" i="45"/>
  <c r="P42" i="45"/>
  <c r="V42" i="45"/>
  <c r="S49" i="45"/>
  <c r="U49" i="45" s="1"/>
  <c r="V49" i="45"/>
  <c r="S53" i="45"/>
  <c r="U53" i="45" s="1"/>
  <c r="V53" i="45"/>
  <c r="S72" i="45"/>
  <c r="U72" i="45" s="1"/>
  <c r="V72" i="45"/>
  <c r="S127" i="45"/>
  <c r="V127" i="45"/>
  <c r="V29" i="45"/>
  <c r="V21" i="45"/>
  <c r="V52" i="45"/>
  <c r="V71" i="45"/>
  <c r="V78" i="45"/>
  <c r="V84" i="45"/>
  <c r="V103" i="45"/>
  <c r="V95" i="45"/>
  <c r="V115" i="45"/>
  <c r="P7" i="45"/>
  <c r="S28" i="45"/>
  <c r="U28" i="45" s="1"/>
  <c r="V28" i="45"/>
  <c r="S51" i="45"/>
  <c r="U51" i="45" s="1"/>
  <c r="V51" i="45"/>
  <c r="P108" i="45"/>
  <c r="R108" i="45" s="1"/>
  <c r="V108" i="45"/>
  <c r="S130" i="45"/>
  <c r="V130" i="45"/>
  <c r="P50" i="45"/>
  <c r="R50" i="45" s="1"/>
  <c r="S132" i="45"/>
  <c r="U132" i="45" s="1"/>
  <c r="V132" i="45"/>
  <c r="V90" i="45"/>
  <c r="P82" i="45"/>
  <c r="R82" i="45" s="1"/>
  <c r="V82" i="45"/>
  <c r="S68" i="45"/>
  <c r="P68" i="45"/>
  <c r="R68" i="45" s="1"/>
  <c r="P81" i="45"/>
  <c r="R81" i="45" s="1"/>
  <c r="S81" i="45"/>
  <c r="S112" i="45"/>
  <c r="P112" i="45"/>
  <c r="R112" i="45" s="1"/>
  <c r="S75" i="45"/>
  <c r="U75" i="45" s="1"/>
  <c r="P75" i="45"/>
  <c r="R75" i="45" s="1"/>
  <c r="P12" i="45"/>
  <c r="S12" i="45"/>
  <c r="P36" i="45"/>
  <c r="R36" i="45" s="1"/>
  <c r="S36" i="45"/>
  <c r="U36" i="45" s="1"/>
  <c r="S98" i="45"/>
  <c r="U98" i="45" s="1"/>
  <c r="P98" i="45"/>
  <c r="S118" i="45"/>
  <c r="U118" i="45" s="1"/>
  <c r="P118" i="45"/>
  <c r="R118" i="45" s="1"/>
  <c r="P43" i="45"/>
  <c r="R43" i="45" s="1"/>
  <c r="S43" i="45"/>
  <c r="U43" i="45" s="1"/>
  <c r="P54" i="45"/>
  <c r="R54" i="45" s="1"/>
  <c r="S54" i="45"/>
  <c r="S73" i="45"/>
  <c r="U73" i="45" s="1"/>
  <c r="P73" i="45"/>
  <c r="R73" i="45" s="1"/>
  <c r="P65" i="45"/>
  <c r="R65" i="45" s="1"/>
  <c r="S65" i="45"/>
  <c r="U65" i="45" s="1"/>
  <c r="S136" i="45"/>
  <c r="U136" i="45" s="1"/>
  <c r="P136" i="45"/>
  <c r="P128" i="45"/>
  <c r="R128" i="45" s="1"/>
  <c r="S128" i="45"/>
  <c r="U128" i="45" s="1"/>
  <c r="P97" i="45"/>
  <c r="R97" i="45" s="1"/>
  <c r="S97" i="45"/>
  <c r="U97" i="45" s="1"/>
  <c r="S109" i="45"/>
  <c r="U109" i="45" s="1"/>
  <c r="P109" i="45"/>
  <c r="R109" i="45" s="1"/>
  <c r="S64" i="45"/>
  <c r="P64" i="45"/>
  <c r="R64" i="45" s="1"/>
  <c r="S135" i="45"/>
  <c r="U135" i="45" s="1"/>
  <c r="P135" i="45"/>
  <c r="R135" i="45" s="1"/>
  <c r="S85" i="45"/>
  <c r="P85" i="45"/>
  <c r="P104" i="45"/>
  <c r="R104" i="45" s="1"/>
  <c r="S104" i="45"/>
  <c r="S96" i="45"/>
  <c r="P96" i="45"/>
  <c r="R96" i="45" s="1"/>
  <c r="P153" i="45"/>
  <c r="S153" i="45"/>
  <c r="U153" i="45" s="1"/>
  <c r="P46" i="45"/>
  <c r="R46" i="45" s="1"/>
  <c r="S46" i="45"/>
  <c r="U46" i="45" s="1"/>
  <c r="P120" i="45"/>
  <c r="R120" i="45" s="1"/>
  <c r="S120" i="45"/>
  <c r="U120" i="45" s="1"/>
  <c r="P149" i="45"/>
  <c r="S149" i="45"/>
  <c r="U149" i="45" s="1"/>
  <c r="S13" i="45"/>
  <c r="U13" i="45" s="1"/>
  <c r="P13" i="45"/>
  <c r="R13" i="45" s="1"/>
  <c r="S99" i="45"/>
  <c r="U99" i="45" s="1"/>
  <c r="P99" i="45"/>
  <c r="R99" i="45" s="1"/>
  <c r="P30" i="45"/>
  <c r="R30" i="45" s="1"/>
  <c r="S30" i="45"/>
  <c r="U30" i="45" s="1"/>
  <c r="S126" i="45"/>
  <c r="P126" i="45"/>
  <c r="R126" i="45" s="1"/>
  <c r="S22" i="45"/>
  <c r="U22" i="45" s="1"/>
  <c r="P22" i="45"/>
  <c r="R22" i="45" s="1"/>
  <c r="P20" i="45"/>
  <c r="S20" i="45"/>
  <c r="S59" i="45"/>
  <c r="U59" i="45" s="1"/>
  <c r="P59" i="45"/>
  <c r="R59" i="45" s="1"/>
  <c r="P133" i="45"/>
  <c r="R133" i="45" s="1"/>
  <c r="S133" i="45"/>
  <c r="S125" i="45"/>
  <c r="U125" i="45" s="1"/>
  <c r="P125" i="45"/>
  <c r="P27" i="45"/>
  <c r="S27" i="45"/>
  <c r="U27" i="45" s="1"/>
  <c r="P113" i="45"/>
  <c r="R113" i="45" s="1"/>
  <c r="S113" i="45"/>
  <c r="P25" i="45"/>
  <c r="Q27" i="45"/>
  <c r="P26" i="45"/>
  <c r="J122" i="45"/>
  <c r="K11" i="24" s="1"/>
  <c r="D168" i="42" s="1"/>
  <c r="D171" i="42" s="1"/>
  <c r="J11" i="24" s="1"/>
  <c r="P151" i="45"/>
  <c r="R151" i="45" s="1"/>
  <c r="Q148" i="45"/>
  <c r="Q50" i="45"/>
  <c r="L14" i="24"/>
  <c r="R15" i="45"/>
  <c r="P67" i="45"/>
  <c r="P58" i="45"/>
  <c r="R58" i="45" s="1"/>
  <c r="P28" i="45"/>
  <c r="P55" i="45"/>
  <c r="Q71" i="45"/>
  <c r="N61" i="45"/>
  <c r="S80" i="45"/>
  <c r="U80" i="45" s="1"/>
  <c r="S111" i="45"/>
  <c r="U111" i="45" s="1"/>
  <c r="P137" i="45"/>
  <c r="R137" i="45" s="1"/>
  <c r="P129" i="45"/>
  <c r="R129" i="45" s="1"/>
  <c r="S108" i="45"/>
  <c r="P143" i="45"/>
  <c r="L122" i="45"/>
  <c r="P8" i="45"/>
  <c r="R8" i="45" s="1"/>
  <c r="L106" i="45"/>
  <c r="S86" i="45"/>
  <c r="S151" i="45"/>
  <c r="U151" i="45" s="1"/>
  <c r="L47" i="45"/>
  <c r="S117" i="45"/>
  <c r="U117" i="45" s="1"/>
  <c r="P79" i="45"/>
  <c r="R79" i="45" s="1"/>
  <c r="S152" i="45"/>
  <c r="U152" i="45" s="1"/>
  <c r="R149" i="45"/>
  <c r="S25" i="45"/>
  <c r="U25" i="45" s="1"/>
  <c r="P102" i="45"/>
  <c r="R25" i="45"/>
  <c r="U23" i="45"/>
  <c r="R27" i="45"/>
  <c r="U44" i="45"/>
  <c r="P57" i="45"/>
  <c r="T71" i="45"/>
  <c r="Q70" i="45"/>
  <c r="L76" i="45"/>
  <c r="P70" i="45"/>
  <c r="R70" i="45" s="1"/>
  <c r="U85" i="45"/>
  <c r="U100" i="45"/>
  <c r="U96" i="45"/>
  <c r="U110" i="45"/>
  <c r="Q121" i="45"/>
  <c r="S116" i="45"/>
  <c r="U116" i="45" s="1"/>
  <c r="U130" i="45"/>
  <c r="U133" i="45"/>
  <c r="R125" i="45"/>
  <c r="U126" i="45"/>
  <c r="U127" i="45"/>
  <c r="R153" i="45"/>
  <c r="R143" i="45"/>
  <c r="T148" i="45"/>
  <c r="U146" i="45"/>
  <c r="L154" i="45"/>
  <c r="P148" i="45"/>
  <c r="U124" i="45"/>
  <c r="R14" i="45"/>
  <c r="U15" i="45"/>
  <c r="S9" i="45"/>
  <c r="P9" i="45"/>
  <c r="S41" i="45"/>
  <c r="U41" i="45" s="1"/>
  <c r="P41" i="45"/>
  <c r="R41" i="45" s="1"/>
  <c r="S52" i="45"/>
  <c r="U52" i="45" s="1"/>
  <c r="P52" i="45"/>
  <c r="R52" i="45" s="1"/>
  <c r="S71" i="45"/>
  <c r="P71" i="45"/>
  <c r="R71" i="45" s="1"/>
  <c r="S78" i="45"/>
  <c r="L91" i="45"/>
  <c r="P78" i="45"/>
  <c r="S84" i="45"/>
  <c r="U84" i="45" s="1"/>
  <c r="P84" i="45"/>
  <c r="P95" i="45"/>
  <c r="R95" i="45" s="1"/>
  <c r="S95" i="45"/>
  <c r="S115" i="45"/>
  <c r="P115" i="45"/>
  <c r="R115" i="45" s="1"/>
  <c r="P124" i="45"/>
  <c r="Q44" i="45"/>
  <c r="P51" i="45"/>
  <c r="R51" i="45" s="1"/>
  <c r="Q153" i="45"/>
  <c r="Q42" i="45"/>
  <c r="Q40" i="45"/>
  <c r="P49" i="45"/>
  <c r="P63" i="45"/>
  <c r="Q7" i="45"/>
  <c r="R7" i="45" s="1"/>
  <c r="P130" i="45"/>
  <c r="R130" i="45" s="1"/>
  <c r="J17" i="45"/>
  <c r="K4" i="24" s="1"/>
  <c r="D15" i="42" s="1"/>
  <c r="D18" i="42" s="1"/>
  <c r="F18" i="42" s="1"/>
  <c r="S14" i="45"/>
  <c r="U14" i="45" s="1"/>
  <c r="P44" i="45"/>
  <c r="T64" i="45"/>
  <c r="T68" i="45"/>
  <c r="U68" i="45" s="1"/>
  <c r="S93" i="45"/>
  <c r="T104" i="45"/>
  <c r="T115" i="45"/>
  <c r="P100" i="45"/>
  <c r="R100" i="45" s="1"/>
  <c r="Q136" i="45"/>
  <c r="T95" i="45"/>
  <c r="Q57" i="45"/>
  <c r="P147" i="45"/>
  <c r="R147" i="45" s="1"/>
  <c r="S31" i="45"/>
  <c r="U31" i="45" s="1"/>
  <c r="P53" i="45"/>
  <c r="R53" i="45" s="1"/>
  <c r="T113" i="45"/>
  <c r="T144" i="45"/>
  <c r="U144" i="45" s="1"/>
  <c r="Q6" i="45"/>
  <c r="Q84" i="45"/>
  <c r="Q99" i="45"/>
  <c r="Q98" i="45"/>
  <c r="L138" i="45"/>
  <c r="P89" i="45"/>
  <c r="R89" i="45" s="1"/>
  <c r="P127" i="45"/>
  <c r="R127" i="45" s="1"/>
  <c r="P110" i="45"/>
  <c r="R110" i="45" s="1"/>
  <c r="S42" i="45"/>
  <c r="U42" i="45" s="1"/>
  <c r="S82" i="45"/>
  <c r="U82" i="45" s="1"/>
  <c r="P88" i="45"/>
  <c r="R88" i="45" s="1"/>
  <c r="P45" i="45"/>
  <c r="R45" i="45" s="1"/>
  <c r="S45" i="45"/>
  <c r="U45" i="45" s="1"/>
  <c r="Q55" i="45"/>
  <c r="R55" i="45" s="1"/>
  <c r="T55" i="45"/>
  <c r="S69" i="45"/>
  <c r="U69" i="45" s="1"/>
  <c r="P69" i="45"/>
  <c r="R69" i="45" s="1"/>
  <c r="P87" i="45"/>
  <c r="R87" i="45" s="1"/>
  <c r="S87" i="45"/>
  <c r="U87" i="45" s="1"/>
  <c r="Q102" i="45"/>
  <c r="R102" i="45" s="1"/>
  <c r="T102" i="45"/>
  <c r="N106" i="45"/>
  <c r="S105" i="45"/>
  <c r="U105" i="45" s="1"/>
  <c r="P105" i="45"/>
  <c r="R105" i="45" s="1"/>
  <c r="T138" i="45"/>
  <c r="AO6" i="47" s="1"/>
  <c r="T9" i="45"/>
  <c r="Q9" i="45"/>
  <c r="S21" i="45"/>
  <c r="U21" i="45" s="1"/>
  <c r="P21" i="45"/>
  <c r="R21" i="45" s="1"/>
  <c r="P23" i="45"/>
  <c r="J32" i="45"/>
  <c r="K5" i="24" s="1"/>
  <c r="S29" i="45"/>
  <c r="U29" i="45" s="1"/>
  <c r="P29" i="45"/>
  <c r="R29" i="45" s="1"/>
  <c r="S35" i="45"/>
  <c r="P35" i="45"/>
  <c r="R35" i="45" s="1"/>
  <c r="Q37" i="45"/>
  <c r="P37" i="45"/>
  <c r="J47" i="45"/>
  <c r="K6" i="24" s="1"/>
  <c r="D58" i="42" s="1"/>
  <c r="T67" i="45"/>
  <c r="Q67" i="45"/>
  <c r="N76" i="45"/>
  <c r="P103" i="45"/>
  <c r="R103" i="45" s="1"/>
  <c r="S103" i="45"/>
  <c r="U103" i="45" s="1"/>
  <c r="Q145" i="45"/>
  <c r="T145" i="45"/>
  <c r="Q152" i="45"/>
  <c r="P152" i="45"/>
  <c r="P10" i="45"/>
  <c r="R10" i="45" s="1"/>
  <c r="S10" i="45"/>
  <c r="U10" i="45" s="1"/>
  <c r="S19" i="45"/>
  <c r="P19" i="45"/>
  <c r="L32" i="45"/>
  <c r="T20" i="45"/>
  <c r="Q20" i="45"/>
  <c r="N32" i="45"/>
  <c r="Q24" i="45"/>
  <c r="T24" i="45"/>
  <c r="T34" i="45"/>
  <c r="N47" i="45"/>
  <c r="Q34" i="45"/>
  <c r="Q38" i="45"/>
  <c r="T38" i="45"/>
  <c r="T74" i="45"/>
  <c r="Q74" i="45"/>
  <c r="P132" i="45"/>
  <c r="Q132" i="45"/>
  <c r="J138" i="45"/>
  <c r="K12" i="24" s="1"/>
  <c r="D190" i="42" s="1"/>
  <c r="Q134" i="45"/>
  <c r="P134" i="45"/>
  <c r="P11" i="45"/>
  <c r="S11" i="45"/>
  <c r="T86" i="45"/>
  <c r="Q86" i="45"/>
  <c r="J91" i="45"/>
  <c r="K9" i="24" s="1"/>
  <c r="D124" i="42" s="1"/>
  <c r="Q85" i="45"/>
  <c r="Q114" i="45"/>
  <c r="R114" i="45" s="1"/>
  <c r="T114" i="45"/>
  <c r="P116" i="45"/>
  <c r="Q116" i="45"/>
  <c r="P131" i="45"/>
  <c r="R131" i="45" s="1"/>
  <c r="S131" i="45"/>
  <c r="U131" i="45" s="1"/>
  <c r="Q142" i="45"/>
  <c r="R142" i="45" s="1"/>
  <c r="T142" i="45"/>
  <c r="U142" i="45" s="1"/>
  <c r="N154" i="45"/>
  <c r="S4" i="45"/>
  <c r="U4" i="45" s="1"/>
  <c r="P4" i="45"/>
  <c r="R4" i="45" s="1"/>
  <c r="J76" i="45"/>
  <c r="K8" i="24" s="1"/>
  <c r="D102" i="42" s="1"/>
  <c r="T81" i="45"/>
  <c r="N91" i="45"/>
  <c r="S90" i="45"/>
  <c r="P90" i="45"/>
  <c r="P101" i="45"/>
  <c r="J106" i="45"/>
  <c r="K10" i="24" s="1"/>
  <c r="D146" i="42" s="1"/>
  <c r="Q101" i="45"/>
  <c r="U108" i="45"/>
  <c r="Q146" i="45"/>
  <c r="J154" i="45"/>
  <c r="K13" i="24" s="1"/>
  <c r="D212" i="42" s="1"/>
  <c r="P146" i="45"/>
  <c r="P40" i="45"/>
  <c r="R40" i="45" s="1"/>
  <c r="S40" i="45"/>
  <c r="U40" i="45" s="1"/>
  <c r="P66" i="45"/>
  <c r="R66" i="45" s="1"/>
  <c r="S66" i="45"/>
  <c r="U66" i="45" s="1"/>
  <c r="S74" i="45"/>
  <c r="U74" i="45" s="1"/>
  <c r="P74" i="45"/>
  <c r="R74" i="45" s="1"/>
  <c r="T112" i="45"/>
  <c r="N122" i="45"/>
  <c r="S121" i="45"/>
  <c r="U121" i="45" s="1"/>
  <c r="P121" i="45"/>
  <c r="R121" i="45" s="1"/>
  <c r="P5" i="45"/>
  <c r="Q5" i="45"/>
  <c r="T11" i="45"/>
  <c r="Q11" i="45"/>
  <c r="S24" i="45"/>
  <c r="U24" i="45" s="1"/>
  <c r="P24" i="45"/>
  <c r="R24" i="45" s="1"/>
  <c r="S38" i="45"/>
  <c r="P38" i="45"/>
  <c r="P60" i="45"/>
  <c r="R60" i="45" s="1"/>
  <c r="J61" i="45"/>
  <c r="K7" i="24" s="1"/>
  <c r="D80" i="42" s="1"/>
  <c r="P72" i="45"/>
  <c r="Q72" i="45"/>
  <c r="Q76" i="45" s="1"/>
  <c r="O6" i="30" s="1"/>
  <c r="T90" i="45"/>
  <c r="Q90" i="45"/>
  <c r="P119" i="45"/>
  <c r="R119" i="45" s="1"/>
  <c r="S119" i="45"/>
  <c r="U119" i="45" s="1"/>
  <c r="S140" i="45"/>
  <c r="P140" i="45"/>
  <c r="S150" i="45"/>
  <c r="U150" i="45" s="1"/>
  <c r="P150" i="45"/>
  <c r="R150" i="45" s="1"/>
  <c r="Q23" i="45"/>
  <c r="Q143" i="45"/>
  <c r="T143" i="45"/>
  <c r="Q12" i="45"/>
  <c r="R12" i="45" s="1"/>
  <c r="T12" i="45"/>
  <c r="U12" i="45" s="1"/>
  <c r="Q26" i="45"/>
  <c r="R26" i="45" s="1"/>
  <c r="Q28" i="45"/>
  <c r="T54" i="45"/>
  <c r="T61" i="45" s="1"/>
  <c r="AJ6" i="47" s="1"/>
  <c r="P56" i="45"/>
  <c r="R56" i="45" s="1"/>
  <c r="S141" i="45"/>
  <c r="S83" i="45"/>
  <c r="U83" i="45" s="1"/>
  <c r="P83" i="45"/>
  <c r="R83" i="45" s="1"/>
  <c r="Q141" i="45"/>
  <c r="R141" i="45" s="1"/>
  <c r="T141" i="45"/>
  <c r="N17" i="45"/>
  <c r="S145" i="45"/>
  <c r="P145" i="45"/>
  <c r="P16" i="45"/>
  <c r="R16" i="45" s="1"/>
  <c r="L17" i="45"/>
  <c r="P6" i="45"/>
  <c r="S6" i="45"/>
  <c r="U143" i="45" l="1"/>
  <c r="V154" i="45"/>
  <c r="R98" i="45"/>
  <c r="U104" i="45"/>
  <c r="R85" i="45"/>
  <c r="U64" i="45"/>
  <c r="R28" i="45"/>
  <c r="R20" i="45"/>
  <c r="V17" i="45"/>
  <c r="S60" i="45"/>
  <c r="U60" i="45" s="1"/>
  <c r="V60" i="45"/>
  <c r="V61" i="45" s="1"/>
  <c r="R146" i="45"/>
  <c r="T47" i="45"/>
  <c r="AI6" i="47" s="1"/>
  <c r="T17" i="45"/>
  <c r="AG6" i="47" s="1"/>
  <c r="U115" i="45"/>
  <c r="T91" i="45"/>
  <c r="AL6" i="47" s="1"/>
  <c r="R86" i="45"/>
  <c r="U71" i="45"/>
  <c r="S134" i="45"/>
  <c r="U134" i="45" s="1"/>
  <c r="V134" i="45"/>
  <c r="U81" i="45"/>
  <c r="U86" i="45"/>
  <c r="R44" i="45"/>
  <c r="R42" i="45"/>
  <c r="V122" i="45"/>
  <c r="R152" i="45"/>
  <c r="U55" i="45"/>
  <c r="R136" i="45"/>
  <c r="V138" i="45"/>
  <c r="V47" i="45"/>
  <c r="U114" i="45"/>
  <c r="R134" i="45"/>
  <c r="U20" i="45"/>
  <c r="R37" i="45"/>
  <c r="V91" i="45"/>
  <c r="V76" i="45"/>
  <c r="U38" i="45"/>
  <c r="J4" i="24"/>
  <c r="T122" i="45"/>
  <c r="AN6" i="47" s="1"/>
  <c r="AN10" i="47" s="1"/>
  <c r="AN27" i="47" s="1"/>
  <c r="R148" i="45"/>
  <c r="U145" i="45"/>
  <c r="R67" i="45"/>
  <c r="T76" i="45"/>
  <c r="AK6" i="47" s="1"/>
  <c r="T154" i="45"/>
  <c r="AP6" i="47" s="1"/>
  <c r="Q17" i="45"/>
  <c r="O6" i="25" s="1"/>
  <c r="O10" i="25" s="1"/>
  <c r="O27" i="25" s="1"/>
  <c r="Q106" i="45"/>
  <c r="O6" i="32" s="1"/>
  <c r="O10" i="32" s="1"/>
  <c r="O27" i="32" s="1"/>
  <c r="R101" i="45"/>
  <c r="U113" i="45"/>
  <c r="U67" i="45"/>
  <c r="R23" i="45"/>
  <c r="T32" i="45"/>
  <c r="AH6" i="47" s="1"/>
  <c r="AH10" i="47" s="1"/>
  <c r="AH27" i="47" s="1"/>
  <c r="R38" i="45"/>
  <c r="Q47" i="45"/>
  <c r="O6" i="28" s="1"/>
  <c r="O14" i="28" s="1"/>
  <c r="O18" i="28" s="1"/>
  <c r="O28" i="28" s="1"/>
  <c r="P47" i="45"/>
  <c r="J6" i="28" s="1"/>
  <c r="U35" i="45"/>
  <c r="S47" i="45"/>
  <c r="U6" i="47" s="1"/>
  <c r="R57" i="45"/>
  <c r="Q61" i="45"/>
  <c r="O6" i="29" s="1"/>
  <c r="O14" i="29" s="1"/>
  <c r="O18" i="29" s="1"/>
  <c r="O28" i="29" s="1"/>
  <c r="U54" i="45"/>
  <c r="R72" i="45"/>
  <c r="S76" i="45"/>
  <c r="W6" i="47" s="1"/>
  <c r="U90" i="45"/>
  <c r="Q91" i="45"/>
  <c r="O6" i="31" s="1"/>
  <c r="O14" i="31" s="1"/>
  <c r="O18" i="31" s="1"/>
  <c r="O28" i="31" s="1"/>
  <c r="R84" i="45"/>
  <c r="R90" i="45"/>
  <c r="T106" i="45"/>
  <c r="AM6" i="47" s="1"/>
  <c r="U95" i="45"/>
  <c r="P106" i="45"/>
  <c r="J6" i="32" s="1"/>
  <c r="U112" i="45"/>
  <c r="R116" i="45"/>
  <c r="R122" i="45" s="1"/>
  <c r="S122" i="45"/>
  <c r="Z6" i="47" s="1"/>
  <c r="Z14" i="47" s="1"/>
  <c r="Z18" i="47" s="1"/>
  <c r="Z28" i="47" s="1"/>
  <c r="P122" i="45"/>
  <c r="J6" i="35" s="1"/>
  <c r="Q138" i="45"/>
  <c r="O6" i="36" s="1"/>
  <c r="R132" i="45"/>
  <c r="U138" i="45"/>
  <c r="S138" i="45"/>
  <c r="AA6" i="47" s="1"/>
  <c r="AA10" i="47" s="1"/>
  <c r="AA27" i="47" s="1"/>
  <c r="R145" i="45"/>
  <c r="U141" i="45"/>
  <c r="U34" i="45"/>
  <c r="R34" i="45"/>
  <c r="R5" i="45"/>
  <c r="U11" i="45"/>
  <c r="R11" i="45"/>
  <c r="R9" i="45"/>
  <c r="U9" i="45"/>
  <c r="R49" i="45"/>
  <c r="P61" i="45"/>
  <c r="J6" i="29" s="1"/>
  <c r="R78" i="45"/>
  <c r="P91" i="45"/>
  <c r="J6" i="31" s="1"/>
  <c r="S91" i="45"/>
  <c r="X6" i="47" s="1"/>
  <c r="U78" i="45"/>
  <c r="R124" i="45"/>
  <c r="P138" i="45"/>
  <c r="J6" i="36" s="1"/>
  <c r="U93" i="45"/>
  <c r="S106" i="45"/>
  <c r="Y6" i="47" s="1"/>
  <c r="P76" i="45"/>
  <c r="J6" i="30" s="1"/>
  <c r="R63" i="45"/>
  <c r="O10" i="36"/>
  <c r="O27" i="36" s="1"/>
  <c r="O14" i="36"/>
  <c r="O18" i="36" s="1"/>
  <c r="O28" i="36" s="1"/>
  <c r="AP10" i="47"/>
  <c r="AP27" i="47" s="1"/>
  <c r="AP14" i="47"/>
  <c r="AP18" i="47" s="1"/>
  <c r="AP28" i="47" s="1"/>
  <c r="AN14" i="47"/>
  <c r="AN18" i="47" s="1"/>
  <c r="AN28" i="47" s="1"/>
  <c r="AJ14" i="47"/>
  <c r="AJ18" i="47" s="1"/>
  <c r="AJ28" i="47" s="1"/>
  <c r="AJ10" i="47"/>
  <c r="AJ27" i="47" s="1"/>
  <c r="O10" i="30"/>
  <c r="O27" i="30" s="1"/>
  <c r="O14" i="30"/>
  <c r="O18" i="30" s="1"/>
  <c r="O28" i="30" s="1"/>
  <c r="D83" i="42"/>
  <c r="J7" i="24" s="1"/>
  <c r="D215" i="42"/>
  <c r="J13" i="24" s="1"/>
  <c r="Q32" i="45"/>
  <c r="O6" i="46" s="1"/>
  <c r="AO10" i="47"/>
  <c r="AO27" i="47" s="1"/>
  <c r="AO14" i="47"/>
  <c r="AO18" i="47" s="1"/>
  <c r="AO28" i="47" s="1"/>
  <c r="O14" i="32"/>
  <c r="O18" i="32" s="1"/>
  <c r="O28" i="32" s="1"/>
  <c r="S154" i="45"/>
  <c r="AB6" i="47" s="1"/>
  <c r="U140" i="45"/>
  <c r="AL14" i="47"/>
  <c r="AL18" i="47" s="1"/>
  <c r="AL28" i="47" s="1"/>
  <c r="AL10" i="47"/>
  <c r="AL27" i="47" s="1"/>
  <c r="Q122" i="45"/>
  <c r="O6" i="35" s="1"/>
  <c r="AG14" i="47"/>
  <c r="AG18" i="47" s="1"/>
  <c r="AG28" i="47" s="1"/>
  <c r="AG10" i="47"/>
  <c r="AG27" i="47" s="1"/>
  <c r="AK10" i="47"/>
  <c r="AK27" i="47" s="1"/>
  <c r="AK14" i="47"/>
  <c r="AK18" i="47" s="1"/>
  <c r="AK28" i="47" s="1"/>
  <c r="R19" i="45"/>
  <c r="P32" i="45"/>
  <c r="J6" i="46" s="1"/>
  <c r="D105" i="42"/>
  <c r="J8" i="24" s="1"/>
  <c r="D127" i="42"/>
  <c r="J9" i="24" s="1"/>
  <c r="F127" i="42"/>
  <c r="D193" i="42"/>
  <c r="J12" i="24" s="1"/>
  <c r="S32" i="45"/>
  <c r="T6" i="47" s="1"/>
  <c r="U19" i="45"/>
  <c r="O10" i="29"/>
  <c r="O27" i="29" s="1"/>
  <c r="AI10" i="47"/>
  <c r="AI27" i="47" s="1"/>
  <c r="AI14" i="47"/>
  <c r="AI18" i="47" s="1"/>
  <c r="AI28" i="47" s="1"/>
  <c r="AM14" i="47"/>
  <c r="AM18" i="47" s="1"/>
  <c r="AM28" i="47" s="1"/>
  <c r="AM10" i="47"/>
  <c r="AM27" i="47" s="1"/>
  <c r="D149" i="42"/>
  <c r="J10" i="24" s="1"/>
  <c r="D36" i="42"/>
  <c r="K14" i="24"/>
  <c r="F171" i="42"/>
  <c r="D61" i="42"/>
  <c r="J6" i="24" s="1"/>
  <c r="Q154" i="45"/>
  <c r="O6" i="37" s="1"/>
  <c r="R140" i="45"/>
  <c r="P154" i="45"/>
  <c r="J6" i="37" s="1"/>
  <c r="U6" i="45"/>
  <c r="S17" i="45"/>
  <c r="S6" i="47" s="1"/>
  <c r="R6" i="45"/>
  <c r="P17" i="45"/>
  <c r="J6" i="25" s="1"/>
  <c r="U122" i="45" l="1"/>
  <c r="R106" i="45"/>
  <c r="M10" i="24" s="1"/>
  <c r="U76" i="45"/>
  <c r="I6" i="47" s="1"/>
  <c r="R154" i="45"/>
  <c r="M13" i="24" s="1"/>
  <c r="O10" i="28"/>
  <c r="O27" i="28" s="1"/>
  <c r="O31" i="28" s="1"/>
  <c r="O36" i="28" s="1"/>
  <c r="U61" i="45"/>
  <c r="U32" i="45"/>
  <c r="F6" i="47" s="1"/>
  <c r="U154" i="45"/>
  <c r="N13" i="24" s="1"/>
  <c r="S61" i="45"/>
  <c r="V6" i="47" s="1"/>
  <c r="V14" i="47" s="1"/>
  <c r="V18" i="47" s="1"/>
  <c r="V28" i="47" s="1"/>
  <c r="AH14" i="47"/>
  <c r="AH18" i="47" s="1"/>
  <c r="AH28" i="47" s="1"/>
  <c r="O14" i="25"/>
  <c r="O18" i="25" s="1"/>
  <c r="O28" i="25" s="1"/>
  <c r="F83" i="42"/>
  <c r="AN31" i="47"/>
  <c r="AN36" i="47" s="1"/>
  <c r="AN37" i="47" s="1"/>
  <c r="E6" i="32"/>
  <c r="E23" i="32" s="1"/>
  <c r="M6" i="47"/>
  <c r="M14" i="47" s="1"/>
  <c r="M18" i="47" s="1"/>
  <c r="N12" i="24"/>
  <c r="Z10" i="47"/>
  <c r="Z27" i="47" s="1"/>
  <c r="Z31" i="47" s="1"/>
  <c r="Z36" i="47" s="1"/>
  <c r="Z37" i="47" s="1"/>
  <c r="O10" i="31"/>
  <c r="O27" i="31" s="1"/>
  <c r="O31" i="31" s="1"/>
  <c r="O36" i="31" s="1"/>
  <c r="H6" i="47"/>
  <c r="N7" i="24"/>
  <c r="AK31" i="47"/>
  <c r="AK36" i="47" s="1"/>
  <c r="AK37" i="47" s="1"/>
  <c r="F215" i="42"/>
  <c r="L6" i="47"/>
  <c r="L14" i="47" s="1"/>
  <c r="L18" i="47" s="1"/>
  <c r="N11" i="24"/>
  <c r="N6" i="47"/>
  <c r="N10" i="47" s="1"/>
  <c r="U17" i="45"/>
  <c r="M11" i="24"/>
  <c r="E6" i="35"/>
  <c r="E14" i="35" s="1"/>
  <c r="E18" i="35" s="1"/>
  <c r="U106" i="45"/>
  <c r="R17" i="45"/>
  <c r="E6" i="25" s="1"/>
  <c r="E23" i="25" s="1"/>
  <c r="R138" i="45"/>
  <c r="M12" i="24" s="1"/>
  <c r="U47" i="45"/>
  <c r="AA14" i="47"/>
  <c r="AA18" i="47" s="1"/>
  <c r="AA28" i="47" s="1"/>
  <c r="AA31" i="47" s="1"/>
  <c r="AA36" i="47" s="1"/>
  <c r="AA37" i="47" s="1"/>
  <c r="R61" i="45"/>
  <c r="M7" i="24" s="1"/>
  <c r="R32" i="45"/>
  <c r="M5" i="24" s="1"/>
  <c r="R76" i="45"/>
  <c r="E6" i="30" s="1"/>
  <c r="U91" i="45"/>
  <c r="R47" i="45"/>
  <c r="M6" i="24" s="1"/>
  <c r="U14" i="47"/>
  <c r="U18" i="47" s="1"/>
  <c r="U28" i="47" s="1"/>
  <c r="U10" i="47"/>
  <c r="U27" i="47" s="1"/>
  <c r="U31" i="47" s="1"/>
  <c r="U36" i="47" s="1"/>
  <c r="U37" i="47" s="1"/>
  <c r="J10" i="28"/>
  <c r="J27" i="28" s="1"/>
  <c r="J14" i="28"/>
  <c r="J18" i="28" s="1"/>
  <c r="J28" i="28" s="1"/>
  <c r="H10" i="47"/>
  <c r="AJ31" i="47"/>
  <c r="AJ36" i="47" s="1"/>
  <c r="AJ37" i="47" s="1"/>
  <c r="W14" i="47"/>
  <c r="W18" i="47" s="1"/>
  <c r="W28" i="47" s="1"/>
  <c r="W10" i="47"/>
  <c r="W27" i="47" s="1"/>
  <c r="R91" i="45"/>
  <c r="M9" i="24" s="1"/>
  <c r="J14" i="32"/>
  <c r="J18" i="32" s="1"/>
  <c r="J28" i="32" s="1"/>
  <c r="J10" i="32"/>
  <c r="J27" i="32" s="1"/>
  <c r="J10" i="35"/>
  <c r="J27" i="35" s="1"/>
  <c r="J14" i="35"/>
  <c r="J18" i="35" s="1"/>
  <c r="J28" i="35" s="1"/>
  <c r="AP31" i="47"/>
  <c r="AP36" i="47" s="1"/>
  <c r="AP37" i="47" s="1"/>
  <c r="AH31" i="47"/>
  <c r="AH36" i="47" s="1"/>
  <c r="AH37" i="47" s="1"/>
  <c r="J14" i="36"/>
  <c r="J18" i="36" s="1"/>
  <c r="J28" i="36" s="1"/>
  <c r="J10" i="36"/>
  <c r="J27" i="36" s="1"/>
  <c r="O31" i="30"/>
  <c r="O36" i="30" s="1"/>
  <c r="F149" i="42"/>
  <c r="J10" i="30"/>
  <c r="J27" i="30" s="1"/>
  <c r="J14" i="30"/>
  <c r="J18" i="30" s="1"/>
  <c r="J28" i="30" s="1"/>
  <c r="X10" i="47"/>
  <c r="X27" i="47" s="1"/>
  <c r="X14" i="47"/>
  <c r="X18" i="47" s="1"/>
  <c r="X28" i="47" s="1"/>
  <c r="J14" i="29"/>
  <c r="J18" i="29" s="1"/>
  <c r="J28" i="29" s="1"/>
  <c r="J10" i="29"/>
  <c r="J27" i="29" s="1"/>
  <c r="F193" i="42"/>
  <c r="Y14" i="47"/>
  <c r="Y18" i="47" s="1"/>
  <c r="Y28" i="47" s="1"/>
  <c r="Y10" i="47"/>
  <c r="Y27" i="47" s="1"/>
  <c r="J10" i="31"/>
  <c r="J27" i="31" s="1"/>
  <c r="J14" i="31"/>
  <c r="J18" i="31" s="1"/>
  <c r="J28" i="31" s="1"/>
  <c r="J14" i="37"/>
  <c r="J18" i="37" s="1"/>
  <c r="J28" i="37" s="1"/>
  <c r="J10" i="37"/>
  <c r="J27" i="37" s="1"/>
  <c r="J10" i="46"/>
  <c r="J27" i="46" s="1"/>
  <c r="J14" i="46"/>
  <c r="J18" i="46" s="1"/>
  <c r="J28" i="46" s="1"/>
  <c r="O10" i="46"/>
  <c r="O27" i="46" s="1"/>
  <c r="O14" i="46"/>
  <c r="O18" i="46" s="1"/>
  <c r="O28" i="46" s="1"/>
  <c r="E6" i="37"/>
  <c r="E23" i="37" s="1"/>
  <c r="O31" i="29"/>
  <c r="O36" i="29" s="1"/>
  <c r="O37" i="29" s="1"/>
  <c r="O10" i="35"/>
  <c r="O27" i="35" s="1"/>
  <c r="O14" i="35"/>
  <c r="O18" i="35" s="1"/>
  <c r="O28" i="35" s="1"/>
  <c r="O14" i="37"/>
  <c r="O18" i="37" s="1"/>
  <c r="O28" i="37" s="1"/>
  <c r="O10" i="37"/>
  <c r="O27" i="37" s="1"/>
  <c r="F61" i="42"/>
  <c r="AM31" i="47"/>
  <c r="AM36" i="47" s="1"/>
  <c r="AM37" i="47" s="1"/>
  <c r="F105" i="42"/>
  <c r="AL31" i="47"/>
  <c r="AL36" i="47" s="1"/>
  <c r="AL37" i="47" s="1"/>
  <c r="O31" i="32"/>
  <c r="O36" i="32" s="1"/>
  <c r="O37" i="32" s="1"/>
  <c r="T10" i="47"/>
  <c r="T27" i="47" s="1"/>
  <c r="T14" i="47"/>
  <c r="T18" i="47" s="1"/>
  <c r="T28" i="47" s="1"/>
  <c r="N14" i="47"/>
  <c r="N18" i="47" s="1"/>
  <c r="D39" i="42"/>
  <c r="J5" i="24" s="1"/>
  <c r="J14" i="24" s="1"/>
  <c r="AB10" i="47"/>
  <c r="AB27" i="47" s="1"/>
  <c r="AB14" i="47"/>
  <c r="AB18" i="47" s="1"/>
  <c r="AB28" i="47" s="1"/>
  <c r="AI31" i="47"/>
  <c r="AI36" i="47" s="1"/>
  <c r="AI37" i="47" s="1"/>
  <c r="AG31" i="47"/>
  <c r="AG36" i="47" s="1"/>
  <c r="AG37" i="47" s="1"/>
  <c r="AO31" i="47"/>
  <c r="AO36" i="47" s="1"/>
  <c r="AO37" i="47" s="1"/>
  <c r="O31" i="25"/>
  <c r="O36" i="25" s="1"/>
  <c r="O31" i="36"/>
  <c r="O36" i="36" s="1"/>
  <c r="O37" i="36" s="1"/>
  <c r="J10" i="25"/>
  <c r="J27" i="25" s="1"/>
  <c r="J14" i="25"/>
  <c r="J18" i="25" s="1"/>
  <c r="J28" i="25" s="1"/>
  <c r="S10" i="47"/>
  <c r="S27" i="47" s="1"/>
  <c r="S14" i="47"/>
  <c r="S18" i="47" s="1"/>
  <c r="S28" i="47" s="1"/>
  <c r="M23" i="47" l="1"/>
  <c r="M28" i="47" s="1"/>
  <c r="I23" i="47"/>
  <c r="I10" i="47"/>
  <c r="I27" i="47" s="1"/>
  <c r="N8" i="24"/>
  <c r="V10" i="47"/>
  <c r="V27" i="47" s="1"/>
  <c r="V31" i="47" s="1"/>
  <c r="V36" i="47" s="1"/>
  <c r="V37" i="47" s="1"/>
  <c r="H37" i="47" s="1"/>
  <c r="F7" i="24" s="1"/>
  <c r="H23" i="47"/>
  <c r="H27" i="47" s="1"/>
  <c r="M4" i="24"/>
  <c r="F10" i="47"/>
  <c r="F14" i="47"/>
  <c r="F18" i="47" s="1"/>
  <c r="F28" i="47" s="1"/>
  <c r="M8" i="24"/>
  <c r="L10" i="47"/>
  <c r="N5" i="24"/>
  <c r="L23" i="47"/>
  <c r="L28" i="47" s="1"/>
  <c r="E14" i="32"/>
  <c r="E18" i="32" s="1"/>
  <c r="E28" i="32" s="1"/>
  <c r="L37" i="47"/>
  <c r="F11" i="24" s="1"/>
  <c r="F23" i="47"/>
  <c r="F27" i="47" s="1"/>
  <c r="M37" i="47"/>
  <c r="F12" i="24" s="1"/>
  <c r="E6" i="36"/>
  <c r="E23" i="36" s="1"/>
  <c r="E6" i="29"/>
  <c r="E10" i="29" s="1"/>
  <c r="E10" i="32"/>
  <c r="E27" i="32" s="1"/>
  <c r="G6" i="47"/>
  <c r="G23" i="47" s="1"/>
  <c r="N6" i="24"/>
  <c r="N23" i="47"/>
  <c r="N28" i="47" s="1"/>
  <c r="O37" i="30"/>
  <c r="D8" i="24" s="1"/>
  <c r="I14" i="47"/>
  <c r="I18" i="47" s="1"/>
  <c r="M10" i="47"/>
  <c r="E6" i="31"/>
  <c r="E10" i="31" s="1"/>
  <c r="J6" i="47"/>
  <c r="N9" i="24"/>
  <c r="E6" i="47"/>
  <c r="N4" i="24"/>
  <c r="O37" i="25"/>
  <c r="D4" i="24" s="1"/>
  <c r="K6" i="47"/>
  <c r="N10" i="24"/>
  <c r="O37" i="31"/>
  <c r="D9" i="24" s="1"/>
  <c r="O37" i="28"/>
  <c r="D6" i="24" s="1"/>
  <c r="H14" i="47"/>
  <c r="H18" i="47" s="1"/>
  <c r="H28" i="47" s="1"/>
  <c r="G37" i="47"/>
  <c r="F6" i="24" s="1"/>
  <c r="J31" i="28"/>
  <c r="J36" i="28" s="1"/>
  <c r="E23" i="35"/>
  <c r="E28" i="35" s="1"/>
  <c r="E6" i="46"/>
  <c r="E23" i="46" s="1"/>
  <c r="E10" i="35"/>
  <c r="J31" i="32"/>
  <c r="J36" i="32" s="1"/>
  <c r="E6" i="28"/>
  <c r="E23" i="28" s="1"/>
  <c r="J31" i="29"/>
  <c r="J36" i="29" s="1"/>
  <c r="J31" i="37"/>
  <c r="J36" i="37" s="1"/>
  <c r="J31" i="35"/>
  <c r="J36" i="35" s="1"/>
  <c r="W31" i="47"/>
  <c r="W36" i="47" s="1"/>
  <c r="W37" i="47" s="1"/>
  <c r="I37" i="47" s="1"/>
  <c r="F8" i="24" s="1"/>
  <c r="J31" i="30"/>
  <c r="J36" i="30" s="1"/>
  <c r="J31" i="36"/>
  <c r="J36" i="36" s="1"/>
  <c r="Y31" i="47"/>
  <c r="Y36" i="47" s="1"/>
  <c r="Y37" i="47" s="1"/>
  <c r="K37" i="47" s="1"/>
  <c r="F10" i="24" s="1"/>
  <c r="J31" i="31"/>
  <c r="J36" i="31" s="1"/>
  <c r="J37" i="31" s="1"/>
  <c r="E10" i="36"/>
  <c r="E27" i="36" s="1"/>
  <c r="E14" i="36"/>
  <c r="E18" i="36" s="1"/>
  <c r="E28" i="36" s="1"/>
  <c r="T31" i="47"/>
  <c r="T36" i="47" s="1"/>
  <c r="T37" i="47" s="1"/>
  <c r="F37" i="47" s="1"/>
  <c r="F5" i="24" s="1"/>
  <c r="E10" i="30"/>
  <c r="E14" i="30"/>
  <c r="E18" i="30" s="1"/>
  <c r="E23" i="30"/>
  <c r="X31" i="47"/>
  <c r="X36" i="47" s="1"/>
  <c r="X37" i="47" s="1"/>
  <c r="J37" i="47" s="1"/>
  <c r="F9" i="24" s="1"/>
  <c r="O31" i="35"/>
  <c r="O36" i="35" s="1"/>
  <c r="O37" i="35" s="1"/>
  <c r="J31" i="46"/>
  <c r="J36" i="46" s="1"/>
  <c r="J37" i="46" s="1"/>
  <c r="D7" i="24"/>
  <c r="O31" i="46"/>
  <c r="O36" i="46" s="1"/>
  <c r="F39" i="42"/>
  <c r="D10" i="24"/>
  <c r="E10" i="37"/>
  <c r="E27" i="37" s="1"/>
  <c r="E14" i="37"/>
  <c r="E18" i="37" s="1"/>
  <c r="E28" i="37" s="1"/>
  <c r="O31" i="37"/>
  <c r="O36" i="37" s="1"/>
  <c r="D12" i="24"/>
  <c r="AB31" i="47"/>
  <c r="AB36" i="47" s="1"/>
  <c r="AB37" i="47" s="1"/>
  <c r="N37" i="47" s="1"/>
  <c r="F13" i="24" s="1"/>
  <c r="S31" i="47"/>
  <c r="S36" i="47" s="1"/>
  <c r="S37" i="47" s="1"/>
  <c r="E37" i="47" s="1"/>
  <c r="F4" i="24" s="1"/>
  <c r="E27" i="25"/>
  <c r="E14" i="25"/>
  <c r="E18" i="25" s="1"/>
  <c r="E28" i="25" s="1"/>
  <c r="J31" i="25"/>
  <c r="J36" i="25" s="1"/>
  <c r="J37" i="25" s="1"/>
  <c r="N27" i="47" l="1"/>
  <c r="N31" i="47" s="1"/>
  <c r="N36" i="47" s="1"/>
  <c r="M27" i="47"/>
  <c r="M31" i="47" s="1"/>
  <c r="M36" i="47" s="1"/>
  <c r="L27" i="47"/>
  <c r="L31" i="47" s="1"/>
  <c r="L36" i="47" s="1"/>
  <c r="I28" i="47"/>
  <c r="I31" i="47" s="1"/>
  <c r="I36" i="47" s="1"/>
  <c r="M14" i="24"/>
  <c r="H31" i="47"/>
  <c r="H36" i="47" s="1"/>
  <c r="G10" i="47"/>
  <c r="G27" i="47" s="1"/>
  <c r="E14" i="29"/>
  <c r="E18" i="29" s="1"/>
  <c r="E31" i="32"/>
  <c r="E36" i="32" s="1"/>
  <c r="E23" i="31"/>
  <c r="E14" i="31"/>
  <c r="E18" i="31" s="1"/>
  <c r="E28" i="31" s="1"/>
  <c r="J37" i="30"/>
  <c r="E37" i="30" s="1"/>
  <c r="E8" i="24" s="1"/>
  <c r="J37" i="28"/>
  <c r="E37" i="28" s="1"/>
  <c r="D64" i="42" s="1"/>
  <c r="J23" i="47"/>
  <c r="J10" i="47"/>
  <c r="J27" i="47" s="1"/>
  <c r="O37" i="46"/>
  <c r="D5" i="24" s="1"/>
  <c r="G14" i="47"/>
  <c r="G18" i="47" s="1"/>
  <c r="G28" i="47" s="1"/>
  <c r="G31" i="47" s="1"/>
  <c r="G36" i="47" s="1"/>
  <c r="J37" i="32"/>
  <c r="E37" i="32" s="1"/>
  <c r="D152" i="42" s="1"/>
  <c r="K23" i="47"/>
  <c r="K10" i="47"/>
  <c r="K27" i="47" s="1"/>
  <c r="K14" i="47"/>
  <c r="K18" i="47" s="1"/>
  <c r="K28" i="47" s="1"/>
  <c r="K31" i="47" s="1"/>
  <c r="K36" i="47" s="1"/>
  <c r="J37" i="35"/>
  <c r="E37" i="35" s="1"/>
  <c r="E37" i="31"/>
  <c r="E27" i="35"/>
  <c r="E31" i="35" s="1"/>
  <c r="E36" i="35" s="1"/>
  <c r="J37" i="37"/>
  <c r="E23" i="29"/>
  <c r="E28" i="29" s="1"/>
  <c r="J14" i="47"/>
  <c r="J18" i="47" s="1"/>
  <c r="J28" i="47" s="1"/>
  <c r="J37" i="36"/>
  <c r="E37" i="36" s="1"/>
  <c r="E12" i="24" s="1"/>
  <c r="J37" i="29"/>
  <c r="E37" i="29" s="1"/>
  <c r="D86" i="42" s="1"/>
  <c r="E10" i="47"/>
  <c r="E23" i="47"/>
  <c r="E14" i="47"/>
  <c r="E18" i="47" s="1"/>
  <c r="O37" i="37"/>
  <c r="D13" i="24" s="1"/>
  <c r="E14" i="46"/>
  <c r="E18" i="46" s="1"/>
  <c r="E28" i="46" s="1"/>
  <c r="E14" i="28"/>
  <c r="E18" i="28" s="1"/>
  <c r="E28" i="28" s="1"/>
  <c r="E10" i="46"/>
  <c r="E27" i="46" s="1"/>
  <c r="E31" i="46" s="1"/>
  <c r="E36" i="46" s="1"/>
  <c r="N14" i="24"/>
  <c r="E10" i="28"/>
  <c r="E27" i="28" s="1"/>
  <c r="C9" i="24"/>
  <c r="E27" i="30"/>
  <c r="E28" i="30"/>
  <c r="F31" i="47"/>
  <c r="F36" i="47" s="1"/>
  <c r="E31" i="36"/>
  <c r="E36" i="36" s="1"/>
  <c r="E27" i="31"/>
  <c r="E31" i="37"/>
  <c r="E36" i="37" s="1"/>
  <c r="C5" i="24"/>
  <c r="D11" i="24"/>
  <c r="C4" i="24"/>
  <c r="E37" i="25"/>
  <c r="E31" i="25"/>
  <c r="E36" i="25" s="1"/>
  <c r="E37" i="46" l="1"/>
  <c r="D42" i="42" s="1"/>
  <c r="E10" i="24"/>
  <c r="E28" i="47"/>
  <c r="E6" i="24"/>
  <c r="E27" i="29"/>
  <c r="E31" i="29" s="1"/>
  <c r="E36" i="29" s="1"/>
  <c r="C11" i="24"/>
  <c r="D196" i="42"/>
  <c r="J31" i="47"/>
  <c r="J36" i="47" s="1"/>
  <c r="E37" i="37"/>
  <c r="D218" i="42" s="1"/>
  <c r="C6" i="24"/>
  <c r="C7" i="24"/>
  <c r="C10" i="24"/>
  <c r="C8" i="24"/>
  <c r="C12" i="24"/>
  <c r="D14" i="24"/>
  <c r="E27" i="47"/>
  <c r="C13" i="24"/>
  <c r="E7" i="24"/>
  <c r="D108" i="42"/>
  <c r="E31" i="28"/>
  <c r="E36" i="28" s="1"/>
  <c r="E31" i="30"/>
  <c r="E36" i="30" s="1"/>
  <c r="E31" i="31"/>
  <c r="E36" i="31" s="1"/>
  <c r="D130" i="42"/>
  <c r="E9" i="24"/>
  <c r="F14" i="24"/>
  <c r="E11" i="24"/>
  <c r="D174" i="42"/>
  <c r="D21" i="42"/>
  <c r="E4" i="24"/>
  <c r="E13" i="24" l="1"/>
  <c r="E5" i="24"/>
  <c r="E31" i="47"/>
  <c r="E36" i="47" s="1"/>
  <c r="C14" i="24"/>
  <c r="E1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TorTennant</author>
  </authors>
  <commentList>
    <comment ref="F3" authorId="0" shapeId="0" xr:uid="{A31E7AA6-6061-4F3D-887D-2F316C37CAF5}">
      <text>
        <r>
          <rPr>
            <b/>
            <sz val="9"/>
            <color indexed="81"/>
            <rFont val="Tahoma"/>
            <family val="2"/>
          </rPr>
          <t>TorTennant:</t>
        </r>
        <r>
          <rPr>
            <sz val="9"/>
            <color indexed="81"/>
            <rFont val="Tahoma"/>
            <family val="2"/>
          </rPr>
          <t xml:space="preserve">
To enable comparison, the UNCAPPED ERs have been included here. 
Please note, they have been capped at 10,000 per annum as is the requirement for micro-scale projects. Please see SL_MP1_ER Calcs_v3_UNCAPPED for the completely uncapped ERs for MP1.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tc={A8AB8DAE-CFD0-474C-BED0-29BE283C0D3E}</author>
  </authors>
  <commentList>
    <comment ref="R17" authorId="0" shapeId="0" xr:uid="{A8AB8DAE-CFD0-474C-BED0-29BE283C0D3E}">
      <text>
        <t>[Threaded comment]
Your version of Excel allows you to read this threaded comment; however, any edits to it will get removed if the file is opened in a newer version of Excel. Learn more: https://go.microsoft.com/fwlink/?linkid=870924
Comment:
    why does this number change with number of down days when that number is smaller than the 5% cap? The 95% cap is applied in the ER calcs (JW said may need to have seperate stage for that) so this is effectively doing X% of PTDs, then x 0.95, giving a cap of X+5% even if X&gt;5. Number of PTDs should only be reduced in addition to the 95% cap if the down days exceeds that cap?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</author>
    <author>User</author>
  </authors>
  <commentList>
    <comment ref="D5" authorId="0" shapeId="0" xr:uid="{5E63A1E9-9A76-486B-9FF5-E7744E3FE5BF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6" authorId="0" shapeId="0" xr:uid="{557360A8-53E7-4254-A05C-A9FDC2B7C69D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Q16 Project Survey</t>
        </r>
      </text>
    </comment>
    <comment ref="D11" authorId="1" shapeId="0" xr:uid="{9E5A6161-E689-4AAA-A2B3-B95A9233589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Source: Q14 Project Survey</t>
        </r>
      </text>
    </comment>
    <comment ref="D26" authorId="0" shapeId="0" xr:uid="{903FFAE9-060D-4142-B484-78651241C55C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27" authorId="0" shapeId="0" xr:uid="{4CFB3DA2-C846-485B-8F21-0BA333E5F437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48" authorId="0" shapeId="0" xr:uid="{55D3B1FE-AB1D-4FBA-8413-ABAE0DBDF99D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49" authorId="0" shapeId="0" xr:uid="{7C39E991-E19A-46CE-B369-47C61A718BAD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70" authorId="0" shapeId="0" xr:uid="{CE999918-C863-4569-B356-5D4B342709A8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71" authorId="0" shapeId="0" xr:uid="{4FFDDEB7-B456-44C4-A3C4-CC0AFDC5379A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92" authorId="0" shapeId="0" xr:uid="{57BA1F8D-8F6F-4779-A5C6-0BE3EDFE33F1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93" authorId="0" shapeId="0" xr:uid="{9F16135B-C7DF-4C00-BB53-47C17E32514D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114" authorId="0" shapeId="0" xr:uid="{12A5BB6E-E7F9-41AF-91B4-99B39EA830CD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115" authorId="0" shapeId="0" xr:uid="{496B7BA7-042B-4E69-ADF4-B36990E048FD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136" authorId="0" shapeId="0" xr:uid="{19FEEF68-5219-48B9-BFC6-BAEEC0232AFF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137" authorId="0" shapeId="0" xr:uid="{7BD59216-7563-4E0D-A58C-3781B9606730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158" authorId="0" shapeId="0" xr:uid="{AB0A6BB6-DC52-44D4-91DC-1D61FBABF83E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159" authorId="0" shapeId="0" xr:uid="{3B4A8E41-D807-43E2-A877-3F08490332BF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180" authorId="0" shapeId="0" xr:uid="{9B392AF9-51C1-4207-9281-80A99707ACD1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181" authorId="0" shapeId="0" xr:uid="{BC336F7F-4839-4836-99DE-346166DB4718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  <comment ref="D202" authorId="0" shapeId="0" xr:uid="{449F1A8F-27AC-4FD2-BBE7-2410ABA4580B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Q17 Baseline Survey</t>
        </r>
      </text>
    </comment>
    <comment ref="D203" authorId="0" shapeId="0" xr:uid="{62C9E9B1-EAE5-40FE-8399-55467BC97019}">
      <text>
        <r>
          <rPr>
            <b/>
            <sz val="9"/>
            <color indexed="81"/>
            <rFont val="Tahoma"/>
            <family val="2"/>
          </rPr>
          <t>lapto:</t>
        </r>
        <r>
          <rPr>
            <sz val="9"/>
            <color indexed="81"/>
            <rFont val="Tahoma"/>
            <family val="2"/>
          </rPr>
          <t xml:space="preserve">
Source: Q24 Project Survey</t>
        </r>
      </text>
    </comment>
  </commentList>
</comments>
</file>

<file path=xl/sharedStrings.xml><?xml version="1.0" encoding="utf-8"?>
<sst xmlns="http://schemas.openxmlformats.org/spreadsheetml/2006/main" count="3728" uniqueCount="446">
  <si>
    <t>GS ID</t>
  </si>
  <si>
    <t>ERs CAPPED ( ):</t>
  </si>
  <si>
    <t>ERs UNCAPPED (up to 10,000 per annum cap)</t>
  </si>
  <si>
    <t>SDG3 Psafe</t>
  </si>
  <si>
    <t>SDG5 TR</t>
  </si>
  <si>
    <t>SDG6 P,access</t>
  </si>
  <si>
    <r>
      <t>P</t>
    </r>
    <r>
      <rPr>
        <i/>
        <vertAlign val="subscript"/>
        <sz val="11"/>
        <color theme="1"/>
        <rFont val="Avenir Book"/>
      </rPr>
      <t>y</t>
    </r>
  </si>
  <si>
    <t>Py UNCAPPED</t>
  </si>
  <si>
    <t>PTD Total UNCAPPED</t>
  </si>
  <si>
    <t>PTD Total</t>
  </si>
  <si>
    <t>GS 7475</t>
  </si>
  <si>
    <t>GS 7476</t>
  </si>
  <si>
    <t>GS 7477</t>
  </si>
  <si>
    <t>GS 7478</t>
  </si>
  <si>
    <t>GS 7479</t>
  </si>
  <si>
    <t>GS 7480</t>
  </si>
  <si>
    <t>GS 7481</t>
  </si>
  <si>
    <t>GS 7482</t>
  </si>
  <si>
    <t>GS 7483</t>
  </si>
  <si>
    <t>GS 7484</t>
  </si>
  <si>
    <t>BH ID</t>
  </si>
  <si>
    <t>Borehole Name</t>
  </si>
  <si>
    <t>Date of rehab</t>
  </si>
  <si>
    <t>Start of MP</t>
  </si>
  <si>
    <t>Pump Model</t>
  </si>
  <si>
    <t>Lat</t>
  </si>
  <si>
    <t>Long</t>
  </si>
  <si>
    <t>Total Users</t>
  </si>
  <si>
    <t>Users CAPPED at 300</t>
  </si>
  <si>
    <t>Mode of use</t>
  </si>
  <si>
    <t>Days Crediting 21</t>
  </si>
  <si>
    <t>2021 PTDs</t>
  </si>
  <si>
    <t>Total PTDs</t>
  </si>
  <si>
    <t>2021 Uncapped PTDs</t>
  </si>
  <si>
    <t>Uncapped PTDs</t>
  </si>
  <si>
    <t>VPA 203 - GS7475</t>
  </si>
  <si>
    <t>End of MP</t>
  </si>
  <si>
    <t>KON-01</t>
  </si>
  <si>
    <t>Chief Compound water point</t>
  </si>
  <si>
    <t>Kardia (K-2000)</t>
  </si>
  <si>
    <t>Domestic</t>
  </si>
  <si>
    <t>KON-02</t>
  </si>
  <si>
    <t>Open Eye Water Point</t>
  </si>
  <si>
    <t>KON-03</t>
  </si>
  <si>
    <t>LCM School Field Borehole</t>
  </si>
  <si>
    <t>KON-04</t>
  </si>
  <si>
    <t>Yardu Road water point</t>
  </si>
  <si>
    <t>KON-07</t>
  </si>
  <si>
    <t>Mokoroma Compound water point</t>
  </si>
  <si>
    <t>KON-24</t>
  </si>
  <si>
    <t>KDEC School water point</t>
  </si>
  <si>
    <t>India Mark 2</t>
  </si>
  <si>
    <t>KAI-01</t>
  </si>
  <si>
    <t>Pa Amara Setiwa Compound Borehole</t>
  </si>
  <si>
    <t>KAI-02</t>
  </si>
  <si>
    <t>Kissy Kenema Section Borehole</t>
  </si>
  <si>
    <t>KAI-03</t>
  </si>
  <si>
    <t>Mdm. Moinya Kaikai Compound Borehole</t>
  </si>
  <si>
    <t>KAI-04</t>
  </si>
  <si>
    <t>Methodist Primary School Compound Borehole</t>
  </si>
  <si>
    <t>KAI-05</t>
  </si>
  <si>
    <t>Kongonanie Borehole</t>
  </si>
  <si>
    <t>KAI-06</t>
  </si>
  <si>
    <t>R. C. One School Compound Borehole</t>
  </si>
  <si>
    <t>KAI-07</t>
  </si>
  <si>
    <t>Paris Section Borehole</t>
  </si>
  <si>
    <t>VPA 204 - GS7476</t>
  </si>
  <si>
    <t>KON-10</t>
  </si>
  <si>
    <t>Tamba Foah Compound water point</t>
  </si>
  <si>
    <t>KON-11</t>
  </si>
  <si>
    <t>Camp Road Water point</t>
  </si>
  <si>
    <t>KON-12</t>
  </si>
  <si>
    <t>Masingbe Road Water point</t>
  </si>
  <si>
    <t>Kardia (K-65)</t>
  </si>
  <si>
    <t>KON-13</t>
  </si>
  <si>
    <t>Yormandu Road Water point</t>
  </si>
  <si>
    <t>KON-14</t>
  </si>
  <si>
    <t>Sedibay Compound Borehole</t>
  </si>
  <si>
    <t>KON-15</t>
  </si>
  <si>
    <t>Benduma Road Borehole</t>
  </si>
  <si>
    <t>KAI-08</t>
  </si>
  <si>
    <t>Kpanguwama Section Borehole</t>
  </si>
  <si>
    <t>KAI-09</t>
  </si>
  <si>
    <t>Pastor John Charles Compound Borehole</t>
  </si>
  <si>
    <t>KAI-10</t>
  </si>
  <si>
    <t>Nagbena Junction Borehole</t>
  </si>
  <si>
    <t>KAI-11</t>
  </si>
  <si>
    <t>Bongalo Section Borehole</t>
  </si>
  <si>
    <t>KAI-12</t>
  </si>
  <si>
    <t>Jewaru Section Borehole</t>
  </si>
  <si>
    <t>KAI-13</t>
  </si>
  <si>
    <t>Pa Brima Salia Compound Borehole</t>
  </si>
  <si>
    <t>KAI-14</t>
  </si>
  <si>
    <t>Sannohla Borehole</t>
  </si>
  <si>
    <t>VPA 205 - GS 7477</t>
  </si>
  <si>
    <t>KON-30</t>
  </si>
  <si>
    <t>Kpetema Central Borehole</t>
  </si>
  <si>
    <t>KON-09</t>
  </si>
  <si>
    <t>Aiah Komba Compound water point</t>
  </si>
  <si>
    <t>KEN-25</t>
  </si>
  <si>
    <t>R.C School Compound Borehole</t>
  </si>
  <si>
    <t>KON-31</t>
  </si>
  <si>
    <t>UMC School Piema Road Water point</t>
  </si>
  <si>
    <t>KON-17</t>
  </si>
  <si>
    <t>Ndomaina Compound Water point</t>
  </si>
  <si>
    <t>KON-18</t>
  </si>
  <si>
    <t>Yawara Compound Borehole</t>
  </si>
  <si>
    <t>KAI-15</t>
  </si>
  <si>
    <t>Nyekehun Section Borehole</t>
  </si>
  <si>
    <t>KAI-16</t>
  </si>
  <si>
    <t>Kalonma Community Borehole</t>
  </si>
  <si>
    <t>KAI-17</t>
  </si>
  <si>
    <t>One Mile Borehole</t>
  </si>
  <si>
    <t>KAI-18</t>
  </si>
  <si>
    <t>James Kabba Compound Borehole</t>
  </si>
  <si>
    <t>KAI-19</t>
  </si>
  <si>
    <t>Guabu Section Borehole</t>
  </si>
  <si>
    <t>KAI-20</t>
  </si>
  <si>
    <t>Kania Quarter 3 Borehole</t>
  </si>
  <si>
    <t>KAI-21</t>
  </si>
  <si>
    <t>Golawoma Quarter Borehole</t>
  </si>
  <si>
    <t>VPA 206 - GS 7478</t>
  </si>
  <si>
    <t>KON-22</t>
  </si>
  <si>
    <t>Pa Nyuma Gborie compound Borehole</t>
  </si>
  <si>
    <t>KON-28</t>
  </si>
  <si>
    <t>Pump Sation Borehole</t>
  </si>
  <si>
    <t>KON-32</t>
  </si>
  <si>
    <t>Sheku Koroma compound Borehole</t>
  </si>
  <si>
    <t>KON-21</t>
  </si>
  <si>
    <t>Kurankor Compound Borehole</t>
  </si>
  <si>
    <t>KEN-14</t>
  </si>
  <si>
    <t>Abu Marrah Compound Borehole</t>
  </si>
  <si>
    <t>KAI-22</t>
  </si>
  <si>
    <t>Mandingo Quarter Borehole</t>
  </si>
  <si>
    <t>KAI-23</t>
  </si>
  <si>
    <t>Kosiala Borehole</t>
  </si>
  <si>
    <t>KAI-24</t>
  </si>
  <si>
    <t>R.C. Boys School Compound Borehole</t>
  </si>
  <si>
    <t>KAI-25</t>
  </si>
  <si>
    <t>Barka Section Borehole</t>
  </si>
  <si>
    <t>KAI-26</t>
  </si>
  <si>
    <t>Golawoma Section Borehole</t>
  </si>
  <si>
    <t>KAI-27</t>
  </si>
  <si>
    <t>Bockarie Pabai's Compound Borehole</t>
  </si>
  <si>
    <t>KAI-28</t>
  </si>
  <si>
    <t>Nixon Hospital Borehole</t>
  </si>
  <si>
    <t>VPA 207 - GS7479</t>
  </si>
  <si>
    <t>KON-23</t>
  </si>
  <si>
    <t>KON-26</t>
  </si>
  <si>
    <t>ABC Store water point</t>
  </si>
  <si>
    <t>KON-20</t>
  </si>
  <si>
    <t>Sahr Bobor Compound Borehole</t>
  </si>
  <si>
    <t>KON-25</t>
  </si>
  <si>
    <t>KEN-15</t>
  </si>
  <si>
    <t>Chief Brima Foday Compound Borehole</t>
  </si>
  <si>
    <t>KON-19</t>
  </si>
  <si>
    <t>Sumaila Koroma Compound Borehole</t>
  </si>
  <si>
    <t>KEN-26</t>
  </si>
  <si>
    <t>Mdm. Iye Banya's Compound Borehole</t>
  </si>
  <si>
    <t>KEN-27</t>
  </si>
  <si>
    <t>Koromba Section 2 Borehole</t>
  </si>
  <si>
    <t>KEN-28</t>
  </si>
  <si>
    <t>Silla's Compound Borehole</t>
  </si>
  <si>
    <t>KEN-29</t>
  </si>
  <si>
    <t>Chief Compound Borehole</t>
  </si>
  <si>
    <t>KEN-30</t>
  </si>
  <si>
    <t>O.C Quarter's Borehole</t>
  </si>
  <si>
    <t>KEN-31</t>
  </si>
  <si>
    <t>Pa Kennedy's Compound Borehole</t>
  </si>
  <si>
    <t>KEN-32</t>
  </si>
  <si>
    <t>Mdm. Mamie Daniel Compound Borehole</t>
  </si>
  <si>
    <t>VPA 208 - GS7480</t>
  </si>
  <si>
    <t>KON-29</t>
  </si>
  <si>
    <t>Saiama Central Borehole</t>
  </si>
  <si>
    <t>KON-05</t>
  </si>
  <si>
    <t>Mdm Ballay Komba Compound Borehole</t>
  </si>
  <si>
    <t>KON-16</t>
  </si>
  <si>
    <t>New Sembehun Road Borehole</t>
  </si>
  <si>
    <t>KEN-01</t>
  </si>
  <si>
    <t>Moisala Borehole</t>
  </si>
  <si>
    <t>KON-27</t>
  </si>
  <si>
    <t>Johnny Compound Water Point</t>
  </si>
  <si>
    <t>KEN-33</t>
  </si>
  <si>
    <t>Serabu CHP Borehole</t>
  </si>
  <si>
    <t>KAI-29</t>
  </si>
  <si>
    <t>Kai Tongie's Compound Borehole</t>
  </si>
  <si>
    <t>KAI-30</t>
  </si>
  <si>
    <t>Sahr Kettor Compound Borehole</t>
  </si>
  <si>
    <t>KAI-31</t>
  </si>
  <si>
    <t>Sundufula Borehole</t>
  </si>
  <si>
    <t>KAI-32</t>
  </si>
  <si>
    <t>R.C. School Compound Borehole</t>
  </si>
  <si>
    <t>KAI-33</t>
  </si>
  <si>
    <t xml:space="preserve">Kongorhun Road Borehole </t>
  </si>
  <si>
    <t>KAI-34</t>
  </si>
  <si>
    <t xml:space="preserve">Makor Central Borehole </t>
  </si>
  <si>
    <t>KAI-35</t>
  </si>
  <si>
    <t>Assembly of God Church Compound Borehole</t>
  </si>
  <si>
    <t>VPA 209 - GS7481</t>
  </si>
  <si>
    <t>KEN-10</t>
  </si>
  <si>
    <t>Central Mosque Borehole</t>
  </si>
  <si>
    <t>KON-06</t>
  </si>
  <si>
    <t>Masundu central Borehole</t>
  </si>
  <si>
    <t>KEN-13</t>
  </si>
  <si>
    <t>KEN-11</t>
  </si>
  <si>
    <t>Jimmy section borehole</t>
  </si>
  <si>
    <t>KON-08</t>
  </si>
  <si>
    <t>Saardu Junction water point</t>
  </si>
  <si>
    <t>KAI-36</t>
  </si>
  <si>
    <t>Njagor Section Borehole</t>
  </si>
  <si>
    <t>KAI-37</t>
  </si>
  <si>
    <t>Motema Section Borehole</t>
  </si>
  <si>
    <t>KAI-38</t>
  </si>
  <si>
    <t>Sahr Bockarie Compound</t>
  </si>
  <si>
    <t>KAI-39</t>
  </si>
  <si>
    <t>Foryola Section Borehole</t>
  </si>
  <si>
    <t>KAI-40</t>
  </si>
  <si>
    <t>Ahmadiyya Primary School Compound Borehole</t>
  </si>
  <si>
    <t>KAI-41</t>
  </si>
  <si>
    <t xml:space="preserve">Gietibu Section Borehole </t>
  </si>
  <si>
    <t>KAI-42</t>
  </si>
  <si>
    <t>Gbonortown Section Borehole</t>
  </si>
  <si>
    <t>KAI-43</t>
  </si>
  <si>
    <t>Belebu Park Borehole</t>
  </si>
  <si>
    <t>VPA 210 - GS7482</t>
  </si>
  <si>
    <t>KEN-12</t>
  </si>
  <si>
    <t>Karkor Road Borehole</t>
  </si>
  <si>
    <t>KEN-03</t>
  </si>
  <si>
    <t>Ansumana Fofana Compound Borehole</t>
  </si>
  <si>
    <t>KEN-04</t>
  </si>
  <si>
    <t>Madam Cecilia Koroma Compound Borehole</t>
  </si>
  <si>
    <t>KEN-07</t>
  </si>
  <si>
    <t>Chief Compound Water Point</t>
  </si>
  <si>
    <t>KEN-02</t>
  </si>
  <si>
    <t>Samala Compound Borehole</t>
  </si>
  <si>
    <t>KEN-08</t>
  </si>
  <si>
    <t>Koromba 1 Section borehole</t>
  </si>
  <si>
    <t>KAI-44</t>
  </si>
  <si>
    <t>Kissy Town Market Borehole</t>
  </si>
  <si>
    <t>KAI-45</t>
  </si>
  <si>
    <t>Morpama Section Borehole</t>
  </si>
  <si>
    <t>KAI-46</t>
  </si>
  <si>
    <t>Tokpombu Borehole</t>
  </si>
  <si>
    <t>KAI-47</t>
  </si>
  <si>
    <t>Mofindor Road Borehole</t>
  </si>
  <si>
    <t>KON-33</t>
  </si>
  <si>
    <t>Pa Simeon Compound Borehole</t>
  </si>
  <si>
    <t>KON-34</t>
  </si>
  <si>
    <t>KON-35</t>
  </si>
  <si>
    <t>Mdm Sia Marie Compound Borehole</t>
  </si>
  <si>
    <t>KON-36</t>
  </si>
  <si>
    <t>Sahr E.Bona Compound Borehole</t>
  </si>
  <si>
    <t>VPA 211 - GS7483</t>
  </si>
  <si>
    <t>KEN-18</t>
  </si>
  <si>
    <t>Temne Town Borehole</t>
  </si>
  <si>
    <t>KEN-05</t>
  </si>
  <si>
    <t>Abdul Bangura Compound Borehole</t>
  </si>
  <si>
    <t>KEN-17</t>
  </si>
  <si>
    <t>Koroma sei Compound Borehole</t>
  </si>
  <si>
    <t>KEN-09</t>
  </si>
  <si>
    <t>KEN-21</t>
  </si>
  <si>
    <t>Kuwahun borehole</t>
  </si>
  <si>
    <t>KEN-24</t>
  </si>
  <si>
    <t>Kamboma section Borehole</t>
  </si>
  <si>
    <t>KON-37</t>
  </si>
  <si>
    <t>Kai Moseray Compound Borehole</t>
  </si>
  <si>
    <t>KON-38</t>
  </si>
  <si>
    <t>Kongomadu Mosque Borehole</t>
  </si>
  <si>
    <t>KON-39</t>
  </si>
  <si>
    <t>Tamba Lamin Compound Borehole</t>
  </si>
  <si>
    <t>KON-40</t>
  </si>
  <si>
    <t>KON-41</t>
  </si>
  <si>
    <t>Komba Fomba Compound Borehole</t>
  </si>
  <si>
    <t>KON-42</t>
  </si>
  <si>
    <t>Old Town Borehole</t>
  </si>
  <si>
    <t>KON-43</t>
  </si>
  <si>
    <t>Seidu MCHP Borehole</t>
  </si>
  <si>
    <t>KON-44</t>
  </si>
  <si>
    <t>Saffea Koroma Compound Borehole</t>
  </si>
  <si>
    <t>VPA 212 - GS7484</t>
  </si>
  <si>
    <t>KEN-16</t>
  </si>
  <si>
    <t>Thomas Samai Compound Borehole</t>
  </si>
  <si>
    <t>KEN-23</t>
  </si>
  <si>
    <t>SLMB School Compound Borehole</t>
  </si>
  <si>
    <t>KEN-19</t>
  </si>
  <si>
    <t>Quarter 2 Borehole</t>
  </si>
  <si>
    <t>KEN-22</t>
  </si>
  <si>
    <t>Mayalar Borehole</t>
  </si>
  <si>
    <t>KEN-20</t>
  </si>
  <si>
    <t>Gassimu Harding Compound Borehole</t>
  </si>
  <si>
    <t>KEN-06</t>
  </si>
  <si>
    <t>Nyagbebo Road Borehole</t>
  </si>
  <si>
    <t>KON-45</t>
  </si>
  <si>
    <t>Nanfayie Road Borehole</t>
  </si>
  <si>
    <t>KON-46</t>
  </si>
  <si>
    <t>Seidu Road Borehole</t>
  </si>
  <si>
    <t>KAI-48</t>
  </si>
  <si>
    <t>Bambawo Section Borehole</t>
  </si>
  <si>
    <t>KAI-49</t>
  </si>
  <si>
    <t>Chief Amara Compound Borehole/Kulula</t>
  </si>
  <si>
    <t>KAI-50</t>
  </si>
  <si>
    <t>Pa Ganawa Compound Borehole</t>
  </si>
  <si>
    <t>KAI-51</t>
  </si>
  <si>
    <t>Gbessay Juana Compound Borehole</t>
  </si>
  <si>
    <t>KAI-52</t>
  </si>
  <si>
    <t>Belebu Section Borehole</t>
  </si>
  <si>
    <t>KAI-53</t>
  </si>
  <si>
    <t>Blama Quarter One Section Borehole</t>
  </si>
  <si>
    <t>GS7475</t>
  </si>
  <si>
    <t>SDG 3</t>
  </si>
  <si>
    <t>Parameter</t>
  </si>
  <si>
    <t>Description</t>
  </si>
  <si>
    <t>Value</t>
  </si>
  <si>
    <t>Unit</t>
  </si>
  <si>
    <r>
      <t>I</t>
    </r>
    <r>
      <rPr>
        <vertAlign val="subscript"/>
        <sz val="11"/>
        <color theme="1"/>
        <rFont val="Avenir Book"/>
      </rPr>
      <t>b,y</t>
    </r>
  </si>
  <si>
    <t>Percentage of persons in the baseline scenario who suffer from stomach related stomach related illnesseses/water-borne diseases</t>
  </si>
  <si>
    <t>Percentage</t>
  </si>
  <si>
    <r>
      <t>I</t>
    </r>
    <r>
      <rPr>
        <vertAlign val="subscript"/>
        <sz val="11"/>
        <color theme="1"/>
        <rFont val="Avenir Book"/>
      </rPr>
      <t>p,y</t>
    </r>
  </si>
  <si>
    <t>Percentage of persons in the project scenario who suffer from stomach related stomach related illnesseses/water-borne diseases</t>
  </si>
  <si>
    <r>
      <t>IR</t>
    </r>
    <r>
      <rPr>
        <b/>
        <vertAlign val="subscript"/>
        <sz val="11"/>
        <color theme="1"/>
        <rFont val="Calibri"/>
        <family val="2"/>
        <scheme val="minor"/>
      </rPr>
      <t>y</t>
    </r>
  </si>
  <si>
    <t>Percentage reduction in incidences of stomach related illnesses or water-borne diseases</t>
  </si>
  <si>
    <t>SDG 5 Gender Equality</t>
  </si>
  <si>
    <t>Tb,y</t>
  </si>
  <si>
    <t xml:space="preserve">Time spent collecting water per household per day prior to project </t>
  </si>
  <si>
    <t>Minutes</t>
  </si>
  <si>
    <t xml:space="preserve">Tp,y </t>
  </si>
  <si>
    <t xml:space="preserve">Time spent collecting water per household per day in project </t>
  </si>
  <si>
    <r>
      <t>TR</t>
    </r>
    <r>
      <rPr>
        <b/>
        <vertAlign val="subscript"/>
        <sz val="11"/>
        <color theme="1"/>
        <rFont val="Calibri"/>
        <family val="2"/>
        <scheme val="minor"/>
      </rPr>
      <t>y</t>
    </r>
  </si>
  <si>
    <t>Total reduction time spent collecting water for project activity in year y</t>
  </si>
  <si>
    <t>SDG 6</t>
  </si>
  <si>
    <t>Uncapped</t>
  </si>
  <si>
    <r>
      <t>P</t>
    </r>
    <r>
      <rPr>
        <vertAlign val="subscript"/>
        <sz val="10"/>
        <color theme="1"/>
        <rFont val="Calibri"/>
        <family val="2"/>
        <scheme val="minor"/>
      </rPr>
      <t>y</t>
    </r>
  </si>
  <si>
    <t>Persons having access to safe water in the project activity</t>
  </si>
  <si>
    <t>Number</t>
  </si>
  <si>
    <r>
      <t>C</t>
    </r>
    <r>
      <rPr>
        <vertAlign val="subscript"/>
        <sz val="10"/>
        <color theme="1"/>
        <rFont val="Calibri"/>
        <family val="2"/>
        <scheme val="minor"/>
      </rPr>
      <t>j</t>
    </r>
  </si>
  <si>
    <t>Portion of users of the project technology j who in the baseline were consuming safe water without boiling it</t>
  </si>
  <si>
    <r>
      <t>X</t>
    </r>
    <r>
      <rPr>
        <vertAlign val="subscript"/>
        <sz val="11"/>
        <color theme="1"/>
        <rFont val="Avenir Book"/>
      </rPr>
      <t>boil</t>
    </r>
  </si>
  <si>
    <t>Percentage of premises that would have used other non-GHG emitting technologies like chlorine treatment techniques, if available, in the absence of the project activity.</t>
  </si>
  <si>
    <r>
      <t>P</t>
    </r>
    <r>
      <rPr>
        <b/>
        <vertAlign val="subscript"/>
        <sz val="9"/>
        <color theme="1"/>
        <rFont val="Calibri"/>
        <family val="2"/>
        <scheme val="minor"/>
      </rPr>
      <t>access</t>
    </r>
  </si>
  <si>
    <t>Additional persons having access to safe water in the project activity compared to the baseline scenario</t>
  </si>
  <si>
    <t>SDG 13</t>
  </si>
  <si>
    <t>tCO2e</t>
  </si>
  <si>
    <t xml:space="preserve">Tonnes of Carbon Dioxide equivalent </t>
  </si>
  <si>
    <t>GS7476</t>
  </si>
  <si>
    <t>GS7477</t>
  </si>
  <si>
    <t>GS7478</t>
  </si>
  <si>
    <t>GS7479</t>
  </si>
  <si>
    <t>GS7480</t>
  </si>
  <si>
    <t>GS7481</t>
  </si>
  <si>
    <t>GS7482</t>
  </si>
  <si>
    <t>GS7483</t>
  </si>
  <si>
    <t>GS7484</t>
  </si>
  <si>
    <t>Baseline Fuel Use (Bby)</t>
  </si>
  <si>
    <t>Portion using safe water</t>
  </si>
  <si>
    <t>Cj</t>
  </si>
  <si>
    <t>fraction</t>
  </si>
  <si>
    <t>Person Days</t>
  </si>
  <si>
    <t>Njy</t>
  </si>
  <si>
    <t>Fuel to treat  1 litre of water using baseline tech (CAPPED)</t>
  </si>
  <si>
    <t>Wb,y</t>
  </si>
  <si>
    <t>T/L</t>
  </si>
  <si>
    <t>Quantity safe water litres consumed in project scenario supplied by project technology</t>
  </si>
  <si>
    <t>Qp,y</t>
  </si>
  <si>
    <t>L/pd</t>
  </si>
  <si>
    <t>Quantity of raw water boiled in addition to project technology water</t>
  </si>
  <si>
    <t>Qp, raw, y</t>
  </si>
  <si>
    <t>Quantity fuel consumed in baseline scenario</t>
  </si>
  <si>
    <t>Bb,y</t>
  </si>
  <si>
    <t>T</t>
  </si>
  <si>
    <t>Project Fuel Use (Pby)</t>
  </si>
  <si>
    <t>Portion of safe users</t>
  </si>
  <si>
    <t>Fuel required to treat 1 litre for water in project scenario (CAPPED)</t>
  </si>
  <si>
    <t xml:space="preserve">Wp,y </t>
  </si>
  <si>
    <t>Quantity of raw water boiled in addition to project tech water</t>
  </si>
  <si>
    <t>Quantity of safe water boiled</t>
  </si>
  <si>
    <t xml:space="preserve">Qp, cleanboil, y </t>
  </si>
  <si>
    <t>Quantity of fuel consumed in project scenario per HH</t>
  </si>
  <si>
    <t>Bp,y</t>
  </si>
  <si>
    <t>Constants</t>
  </si>
  <si>
    <t>NRB</t>
  </si>
  <si>
    <t>Fraction</t>
  </si>
  <si>
    <t>Emissions factor fuel (co2)</t>
  </si>
  <si>
    <t>EFb,fuel,co2</t>
  </si>
  <si>
    <t>tCO2/TJ</t>
  </si>
  <si>
    <t>Emissions factor fuel (non-co2)</t>
  </si>
  <si>
    <t>EFb, fuel, non-co2</t>
  </si>
  <si>
    <t>TCO2/TJ</t>
  </si>
  <si>
    <t>Net calorific value of fuel</t>
  </si>
  <si>
    <t>NCV,b,fuel</t>
  </si>
  <si>
    <t>TJ/T</t>
  </si>
  <si>
    <t>Emissions Reductions</t>
  </si>
  <si>
    <t>Baseline emissions per year</t>
  </si>
  <si>
    <t>BEb,y</t>
  </si>
  <si>
    <t>tCO2/y</t>
  </si>
  <si>
    <t>Project emissions per year</t>
  </si>
  <si>
    <t>PEp,y</t>
  </si>
  <si>
    <t>Usage rate</t>
  </si>
  <si>
    <t>Up,y</t>
  </si>
  <si>
    <t>Leakage</t>
  </si>
  <si>
    <t>LEp,y</t>
  </si>
  <si>
    <t>Emission Reductions</t>
  </si>
  <si>
    <t>Ery</t>
  </si>
  <si>
    <t>Suppressed Demand Assessment</t>
  </si>
  <si>
    <t>Percentage of suppressed demand users</t>
  </si>
  <si>
    <r>
      <t xml:space="preserve">Percentage of </t>
    </r>
    <r>
      <rPr>
        <b/>
        <u/>
        <sz val="11"/>
        <color indexed="8"/>
        <rFont val="Calibri"/>
        <family val="2"/>
      </rPr>
      <t>non</t>
    </r>
    <r>
      <rPr>
        <sz val="11"/>
        <color theme="1"/>
        <rFont val="Calibri"/>
        <family val="2"/>
        <scheme val="minor"/>
      </rPr>
      <t xml:space="preserve">-suppressed demand users </t>
    </r>
  </si>
  <si>
    <t>Xboil</t>
  </si>
  <si>
    <t>Uncapped Emission Reductions</t>
  </si>
  <si>
    <t>ERy</t>
  </si>
  <si>
    <t>Total Emission Reductions for 2021</t>
  </si>
  <si>
    <t>Person Days (CAPPED at 95%)</t>
  </si>
  <si>
    <t>Quantity safe water litres consumed in project scenario supplied by project technology (CAPPED)</t>
  </si>
  <si>
    <t>Emissions factor fuel (non-co2) (AVERAGE)</t>
  </si>
  <si>
    <t>Usage rate (CAPPED at 95%)</t>
  </si>
  <si>
    <t xml:space="preserve">Emission Reductions claimed </t>
  </si>
  <si>
    <t>Installation and Maintenance Manual for the Kardia-65 &amp; Kardia-2000 pumps</t>
  </si>
  <si>
    <t>https://www.rural-water-supply.net/en/implementation/proprietary-handpumps/kardia</t>
  </si>
  <si>
    <t>Capacity in Litres</t>
  </si>
  <si>
    <t>Litres per hour at 30m head:</t>
  </si>
  <si>
    <t>Operating hours of the borehole:</t>
  </si>
  <si>
    <t>Daily capacity of the borehole</t>
  </si>
  <si>
    <t>litres</t>
  </si>
  <si>
    <t>Capacity per Capita, per handpump</t>
  </si>
  <si>
    <t>QP,y: Litres per person per day</t>
  </si>
  <si>
    <t>Max People</t>
  </si>
  <si>
    <t>people</t>
  </si>
  <si>
    <t>Installation and Maintenance Manual for the India Mark 2 pump</t>
  </si>
  <si>
    <t>https://www.rural-water-supply.net/en/implementation/public-domain-handpumps/india-mark-ii</t>
  </si>
  <si>
    <t>End of Calendar Year</t>
  </si>
  <si>
    <t>Number of Crediting Days in 2021</t>
  </si>
  <si>
    <t>Number of Crediting Days in 2022</t>
  </si>
  <si>
    <t>Days Crediting 22</t>
  </si>
  <si>
    <t>Failure Days 22</t>
  </si>
  <si>
    <t>Emission Reductions MP3-2</t>
  </si>
  <si>
    <t>SDGs MP3-2</t>
  </si>
  <si>
    <t>Total Emission Reductions for 2022</t>
  </si>
  <si>
    <t>Total Emission Reductions for Monitoring Period 2 and 3 - 19/05/2021 - 18/05/2022</t>
  </si>
  <si>
    <t>2022 PTDs</t>
  </si>
  <si>
    <t>2022 Uncapped PTDs</t>
  </si>
  <si>
    <t>ERs 2021 - CAPPED</t>
  </si>
  <si>
    <t>ERs 2022 - CAPPED</t>
  </si>
  <si>
    <t>Fail;ure Days 21</t>
  </si>
  <si>
    <t xml:space="preserve">Uncapped Emission Reductions claimed </t>
  </si>
  <si>
    <t>Uncapped Emission Reductions for Monitoring Period 3 - 19/05/2021 - 18/05/2022</t>
  </si>
  <si>
    <t>Uncapped Emission Reductions for Monitoring Period 3 - 19/05/2021 - 31/12/2021</t>
  </si>
  <si>
    <t>Uncapped Emission Reductions for Monitoring Period 3 - 01/01/2022 - 18/05/2022</t>
  </si>
  <si>
    <t>% NFD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</si>
</sst>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0.00000"/>
    <numFmt numFmtId="166" formatCode="0.0000000"/>
    <numFmt numFmtId="167" formatCode="_-* #,##0.000000_-;\-* #,##0.000000_-;_-* &quot;-&quot;??_-;_-@_-"/>
    <numFmt numFmtId="168" formatCode="_-* #,##0.0000000_-;\-* #,##0.0000000_-;_-* &quot;-&quot;??_-;_-@_-"/>
    <numFmt numFmtId="169" formatCode="_-* #,##0.00000000_-;\-* #,##0.00000000_-;_-* &quot;-&quot;??_-;_-@_-"/>
    <numFmt numFmtId="170" formatCode="0.0%"/>
    <numFmt numFmtId="171" formatCode="0.0"/>
    <numFmt numFmtId="172" formatCode="_-* #,##0_-;\-* #,##0_-;_-* &quot;-&quot;??_-;_-@_-"/>
    <numFmt numFmtId="173" formatCode="0.000"/>
  </numFmts>
  <fonts count="22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vertAlign val="subscript"/>
      <sz val="11"/>
      <color theme="1"/>
      <name val="Avenir Book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vertAlign val="subscript"/>
      <sz val="11"/>
      <color theme="1"/>
      <name val="Avenir Book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3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3" fontId="0" fillId="0" borderId="1" xfId="0" applyNumberFormat="1" applyBorder="1"/>
    <xf numFmtId="3" fontId="0" fillId="0" borderId="0" xfId="0" applyNumberFormat="1"/>
    <xf numFmtId="0" fontId="0" fillId="0" borderId="0" xfId="0" applyAlignment="1">
      <alignment wrapText="1"/>
    </xf>
    <xf numFmtId="1" fontId="0" fillId="0" borderId="1" xfId="0" applyNumberFormat="1" applyBorder="1"/>
    <xf numFmtId="165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6" fontId="0" fillId="0" borderId="1" xfId="0" applyNumberFormat="1" applyBorder="1"/>
    <xf numFmtId="0" fontId="0" fillId="0" borderId="2" xfId="0" applyBorder="1"/>
    <xf numFmtId="0" fontId="0" fillId="0" borderId="4" xfId="0" applyBorder="1"/>
    <xf numFmtId="0" fontId="5" fillId="2" borderId="1" xfId="0" applyFont="1" applyFill="1" applyBorder="1"/>
    <xf numFmtId="10" fontId="0" fillId="0" borderId="0" xfId="0" applyNumberFormat="1"/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3" fillId="5" borderId="1" xfId="0" applyFont="1" applyFill="1" applyBorder="1"/>
    <xf numFmtId="0" fontId="2" fillId="5" borderId="2" xfId="0" applyFont="1" applyFill="1" applyBorder="1"/>
    <xf numFmtId="2" fontId="0" fillId="0" borderId="1" xfId="0" applyNumberFormat="1" applyBorder="1"/>
    <xf numFmtId="10" fontId="0" fillId="0" borderId="1" xfId="0" applyNumberFormat="1" applyBorder="1"/>
    <xf numFmtId="0" fontId="0" fillId="0" borderId="1" xfId="0" applyBorder="1" applyAlignment="1">
      <alignment horizontal="center"/>
    </xf>
    <xf numFmtId="3" fontId="5" fillId="2" borderId="1" xfId="0" applyNumberFormat="1" applyFont="1" applyFill="1" applyBorder="1"/>
    <xf numFmtId="3" fontId="2" fillId="5" borderId="4" xfId="0" applyNumberFormat="1" applyFont="1" applyFill="1" applyBorder="1"/>
    <xf numFmtId="1" fontId="0" fillId="0" borderId="0" xfId="0" applyNumberFormat="1"/>
    <xf numFmtId="0" fontId="8" fillId="0" borderId="0" xfId="0" applyFo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167" fontId="0" fillId="0" borderId="1" xfId="0" applyNumberFormat="1" applyBorder="1" applyAlignment="1">
      <alignment horizontal="center"/>
    </xf>
    <xf numFmtId="167" fontId="0" fillId="11" borderId="1" xfId="0" applyNumberForma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168" fontId="0" fillId="11" borderId="1" xfId="0" applyNumberFormat="1" applyFill="1" applyBorder="1" applyAlignment="1">
      <alignment horizontal="center"/>
    </xf>
    <xf numFmtId="9" fontId="0" fillId="0" borderId="1" xfId="1" applyFont="1" applyFill="1" applyBorder="1"/>
    <xf numFmtId="3" fontId="0" fillId="0" borderId="0" xfId="0" applyNumberFormat="1" applyAlignment="1">
      <alignment wrapText="1"/>
    </xf>
    <xf numFmtId="3" fontId="0" fillId="0" borderId="15" xfId="0" applyNumberFormat="1" applyBorder="1" applyAlignment="1">
      <alignment horizontal="center" wrapText="1"/>
    </xf>
    <xf numFmtId="166" fontId="0" fillId="11" borderId="1" xfId="0" applyNumberFormat="1" applyFill="1" applyBorder="1" applyAlignment="1">
      <alignment horizontal="right"/>
    </xf>
    <xf numFmtId="169" fontId="0" fillId="11" borderId="1" xfId="0" applyNumberFormat="1" applyFill="1" applyBorder="1" applyAlignment="1">
      <alignment horizontal="right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14" fillId="0" borderId="0" xfId="0" applyFont="1"/>
    <xf numFmtId="0" fontId="2" fillId="6" borderId="2" xfId="0" applyFont="1" applyFill="1" applyBorder="1"/>
    <xf numFmtId="0" fontId="2" fillId="6" borderId="3" xfId="0" applyFont="1" applyFill="1" applyBorder="1"/>
    <xf numFmtId="0" fontId="0" fillId="6" borderId="3" xfId="0" applyFill="1" applyBorder="1"/>
    <xf numFmtId="0" fontId="0" fillId="0" borderId="3" xfId="0" applyBorder="1"/>
    <xf numFmtId="0" fontId="2" fillId="7" borderId="2" xfId="0" applyFont="1" applyFill="1" applyBorder="1"/>
    <xf numFmtId="0" fontId="2" fillId="7" borderId="3" xfId="0" applyFont="1" applyFill="1" applyBorder="1"/>
    <xf numFmtId="0" fontId="0" fillId="7" borderId="3" xfId="0" applyFill="1" applyBorder="1"/>
    <xf numFmtId="0" fontId="0" fillId="0" borderId="10" xfId="0" applyBorder="1"/>
    <xf numFmtId="0" fontId="0" fillId="0" borderId="11" xfId="0" applyBorder="1"/>
    <xf numFmtId="0" fontId="0" fillId="7" borderId="10" xfId="0" applyFill="1" applyBorder="1"/>
    <xf numFmtId="0" fontId="0" fillId="7" borderId="11" xfId="0" applyFill="1" applyBorder="1"/>
    <xf numFmtId="0" fontId="2" fillId="13" borderId="2" xfId="0" applyFont="1" applyFill="1" applyBorder="1"/>
    <xf numFmtId="0" fontId="2" fillId="13" borderId="3" xfId="0" applyFont="1" applyFill="1" applyBorder="1"/>
    <xf numFmtId="0" fontId="0" fillId="13" borderId="3" xfId="0" applyFill="1" applyBorder="1"/>
    <xf numFmtId="0" fontId="0" fillId="6" borderId="4" xfId="0" applyFill="1" applyBorder="1"/>
    <xf numFmtId="0" fontId="0" fillId="7" borderId="4" xfId="0" applyFill="1" applyBorder="1"/>
    <xf numFmtId="0" fontId="0" fillId="0" borderId="16" xfId="0" applyBorder="1"/>
    <xf numFmtId="3" fontId="0" fillId="13" borderId="2" xfId="0" applyNumberFormat="1" applyFill="1" applyBorder="1"/>
    <xf numFmtId="3" fontId="0" fillId="13" borderId="3" xfId="0" applyNumberFormat="1" applyFill="1" applyBorder="1"/>
    <xf numFmtId="1" fontId="0" fillId="13" borderId="3" xfId="0" applyNumberFormat="1" applyFill="1" applyBorder="1"/>
    <xf numFmtId="0" fontId="0" fillId="13" borderId="4" xfId="0" applyFill="1" applyBorder="1"/>
    <xf numFmtId="0" fontId="6" fillId="0" borderId="8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9" xfId="0" applyFont="1" applyBorder="1"/>
    <xf numFmtId="170" fontId="0" fillId="7" borderId="11" xfId="0" applyNumberFormat="1" applyFill="1" applyBorder="1"/>
    <xf numFmtId="170" fontId="0" fillId="7" borderId="16" xfId="0" applyNumberFormat="1" applyFill="1" applyBorder="1"/>
    <xf numFmtId="0" fontId="8" fillId="0" borderId="11" xfId="0" applyFont="1" applyBorder="1"/>
    <xf numFmtId="0" fontId="14" fillId="0" borderId="11" xfId="0" applyFont="1" applyBorder="1"/>
    <xf numFmtId="170" fontId="0" fillId="0" borderId="15" xfId="1" applyNumberFormat="1" applyFont="1" applyBorder="1" applyAlignment="1">
      <alignment horizontal="center" vertical="top" wrapText="1"/>
    </xf>
    <xf numFmtId="171" fontId="0" fillId="0" borderId="0" xfId="0" applyNumberFormat="1"/>
    <xf numFmtId="167" fontId="0" fillId="11" borderId="14" xfId="0" applyNumberForma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172" fontId="0" fillId="0" borderId="14" xfId="2" applyNumberFormat="1" applyFont="1" applyFill="1" applyBorder="1" applyAlignment="1">
      <alignment horizontal="center"/>
    </xf>
    <xf numFmtId="172" fontId="0" fillId="0" borderId="1" xfId="2" applyNumberFormat="1" applyFont="1" applyFill="1" applyBorder="1" applyAlignment="1">
      <alignment horizontal="center"/>
    </xf>
    <xf numFmtId="172" fontId="0" fillId="0" borderId="1" xfId="2" applyNumberFormat="1" applyFont="1" applyFill="1" applyBorder="1" applyAlignment="1">
      <alignment horizontal="center" vertical="center" wrapText="1"/>
    </xf>
    <xf numFmtId="172" fontId="0" fillId="0" borderId="1" xfId="2" applyNumberFormat="1" applyFont="1" applyFill="1" applyBorder="1" applyAlignment="1">
      <alignment horizontal="center" vertical="top" wrapText="1"/>
    </xf>
    <xf numFmtId="172" fontId="0" fillId="0" borderId="14" xfId="2" applyNumberFormat="1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left"/>
    </xf>
    <xf numFmtId="0" fontId="5" fillId="9" borderId="7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3" fontId="5" fillId="12" borderId="1" xfId="0" applyNumberFormat="1" applyFont="1" applyFill="1" applyBorder="1" applyAlignment="1">
      <alignment horizontal="center" wrapText="1"/>
    </xf>
    <xf numFmtId="172" fontId="5" fillId="12" borderId="1" xfId="2" applyNumberFormat="1" applyFont="1" applyFill="1" applyBorder="1" applyAlignment="1">
      <alignment horizontal="center" wrapText="1"/>
    </xf>
    <xf numFmtId="0" fontId="10" fillId="9" borderId="3" xfId="0" applyFont="1" applyFill="1" applyBorder="1" applyAlignment="1">
      <alignment horizontal="center"/>
    </xf>
    <xf numFmtId="0" fontId="10" fillId="9" borderId="3" xfId="0" applyFont="1" applyFill="1" applyBorder="1"/>
    <xf numFmtId="172" fontId="10" fillId="9" borderId="3" xfId="2" applyNumberFormat="1" applyFont="1" applyFill="1" applyBorder="1"/>
    <xf numFmtId="172" fontId="10" fillId="9" borderId="3" xfId="2" applyNumberFormat="1" applyFont="1" applyFill="1" applyBorder="1" applyAlignment="1">
      <alignment horizontal="center"/>
    </xf>
    <xf numFmtId="172" fontId="10" fillId="9" borderId="4" xfId="2" applyNumberFormat="1" applyFont="1" applyFill="1" applyBorder="1" applyAlignment="1">
      <alignment horizontal="center"/>
    </xf>
    <xf numFmtId="0" fontId="10" fillId="12" borderId="12" xfId="0" applyFont="1" applyFill="1" applyBorder="1" applyAlignment="1">
      <alignment horizontal="center"/>
    </xf>
    <xf numFmtId="3" fontId="5" fillId="12" borderId="12" xfId="0" applyNumberFormat="1" applyFont="1" applyFill="1" applyBorder="1" applyAlignment="1">
      <alignment horizontal="center" wrapText="1"/>
    </xf>
    <xf numFmtId="172" fontId="5" fillId="12" borderId="12" xfId="2" applyNumberFormat="1" applyFont="1" applyFill="1" applyBorder="1" applyAlignment="1">
      <alignment horizontal="center" wrapText="1"/>
    </xf>
    <xf numFmtId="0" fontId="6" fillId="0" borderId="0" xfId="0" applyFont="1"/>
    <xf numFmtId="1" fontId="6" fillId="0" borderId="0" xfId="0" applyNumberFormat="1" applyFont="1"/>
    <xf numFmtId="9" fontId="6" fillId="0" borderId="0" xfId="0" applyNumberFormat="1" applyFont="1"/>
    <xf numFmtId="171" fontId="6" fillId="0" borderId="0" xfId="0" applyNumberFormat="1" applyFont="1"/>
    <xf numFmtId="0" fontId="0" fillId="0" borderId="8" xfId="0" applyBorder="1"/>
    <xf numFmtId="0" fontId="0" fillId="0" borderId="5" xfId="0" applyBorder="1"/>
    <xf numFmtId="9" fontId="6" fillId="0" borderId="0" xfId="1" applyFont="1" applyBorder="1"/>
    <xf numFmtId="9" fontId="0" fillId="6" borderId="3" xfId="1" applyFont="1" applyFill="1" applyBorder="1"/>
    <xf numFmtId="0" fontId="0" fillId="6" borderId="10" xfId="0" applyFill="1" applyBorder="1"/>
    <xf numFmtId="2" fontId="0" fillId="0" borderId="0" xfId="0" applyNumberFormat="1"/>
    <xf numFmtId="172" fontId="0" fillId="0" borderId="0" xfId="2" applyNumberFormat="1" applyFont="1"/>
    <xf numFmtId="172" fontId="0" fillId="0" borderId="0" xfId="0" applyNumberFormat="1"/>
    <xf numFmtId="9" fontId="0" fillId="0" borderId="1" xfId="0" applyNumberFormat="1" applyBorder="1"/>
    <xf numFmtId="1" fontId="0" fillId="0" borderId="0" xfId="0" applyNumberFormat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5" fillId="9" borderId="6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21" xfId="0" applyNumberForma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3" fontId="0" fillId="0" borderId="23" xfId="0" applyNumberForma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3" fontId="0" fillId="0" borderId="25" xfId="0" applyNumberForma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9" fontId="0" fillId="0" borderId="20" xfId="2" applyNumberFormat="1" applyFont="1" applyBorder="1" applyAlignment="1">
      <alignment horizontal="center"/>
    </xf>
    <xf numFmtId="170" fontId="0" fillId="0" borderId="0" xfId="1" applyNumberFormat="1" applyFont="1" applyBorder="1" applyAlignment="1">
      <alignment horizontal="center" vertical="top"/>
    </xf>
    <xf numFmtId="170" fontId="0" fillId="0" borderId="0" xfId="0" applyNumberFormat="1" applyAlignment="1">
      <alignment horizontal="center" vertical="top" wrapText="1"/>
    </xf>
    <xf numFmtId="170" fontId="0" fillId="0" borderId="0" xfId="1" applyNumberFormat="1" applyFont="1" applyBorder="1" applyAlignment="1">
      <alignment horizontal="center" vertical="top" wrapText="1"/>
    </xf>
    <xf numFmtId="9" fontId="0" fillId="0" borderId="22" xfId="2" applyNumberFormat="1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9" fontId="0" fillId="0" borderId="24" xfId="1" applyFont="1" applyBorder="1" applyAlignment="1">
      <alignment horizontal="center" wrapText="1"/>
    </xf>
    <xf numFmtId="170" fontId="0" fillId="0" borderId="25" xfId="1" applyNumberFormat="1" applyFont="1" applyBorder="1" applyAlignment="1">
      <alignment horizontal="center" wrapText="1"/>
    </xf>
    <xf numFmtId="0" fontId="0" fillId="9" borderId="18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9" xfId="0" applyBorder="1" applyAlignment="1">
      <alignment vertical="center" wrapText="1"/>
    </xf>
    <xf numFmtId="0" fontId="19" fillId="0" borderId="0" xfId="4" applyFill="1"/>
    <xf numFmtId="172" fontId="0" fillId="0" borderId="1" xfId="2" applyNumberFormat="1" applyFont="1" applyBorder="1"/>
    <xf numFmtId="172" fontId="0" fillId="0" borderId="1" xfId="0" applyNumberFormat="1" applyBorder="1"/>
    <xf numFmtId="1" fontId="6" fillId="15" borderId="0" xfId="0" applyNumberFormat="1" applyFont="1" applyFill="1"/>
    <xf numFmtId="0" fontId="5" fillId="9" borderId="2" xfId="0" applyFont="1" applyFill="1" applyBorder="1"/>
    <xf numFmtId="0" fontId="5" fillId="9" borderId="3" xfId="0" applyFont="1" applyFill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1" xfId="0" applyFont="1" applyBorder="1"/>
    <xf numFmtId="165" fontId="2" fillId="0" borderId="0" xfId="0" applyNumberFormat="1" applyFont="1" applyAlignment="1">
      <alignment horizontal="center"/>
    </xf>
    <xf numFmtId="0" fontId="10" fillId="12" borderId="1" xfId="0" applyFont="1" applyFill="1" applyBorder="1" applyAlignment="1">
      <alignment horizontal="left" vertical="top" wrapText="1"/>
    </xf>
    <xf numFmtId="0" fontId="10" fillId="12" borderId="1" xfId="0" applyFont="1" applyFill="1" applyBorder="1" applyAlignment="1">
      <alignment horizontal="center" vertical="top" wrapText="1"/>
    </xf>
    <xf numFmtId="43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wrapText="1"/>
    </xf>
    <xf numFmtId="14" fontId="0" fillId="0" borderId="14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3" fontId="5" fillId="12" borderId="1" xfId="0" applyNumberFormat="1" applyFont="1" applyFill="1" applyBorder="1" applyAlignment="1">
      <alignment horizontal="right" wrapText="1"/>
    </xf>
    <xf numFmtId="3" fontId="0" fillId="0" borderId="15" xfId="0" applyNumberForma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/>
    <xf numFmtId="0" fontId="5" fillId="3" borderId="4" xfId="0" applyFont="1" applyFill="1" applyBorder="1"/>
    <xf numFmtId="3" fontId="0" fillId="0" borderId="30" xfId="0" applyNumberFormat="1" applyBorder="1" applyAlignment="1">
      <alignment horizontal="center" wrapText="1"/>
    </xf>
    <xf numFmtId="173" fontId="0" fillId="0" borderId="1" xfId="0" applyNumberFormat="1" applyBorder="1"/>
    <xf numFmtId="0" fontId="0" fillId="6" borderId="34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10" borderId="36" xfId="0" applyFill="1" applyBorder="1" applyAlignment="1">
      <alignment horizontal="center" vertical="center" wrapText="1"/>
    </xf>
    <xf numFmtId="0" fontId="0" fillId="8" borderId="35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14" fontId="0" fillId="0" borderId="0" xfId="0" applyNumberFormat="1"/>
    <xf numFmtId="14" fontId="0" fillId="0" borderId="12" xfId="0" applyNumberFormat="1" applyFill="1" applyBorder="1" applyAlignment="1">
      <alignment horizontal="left"/>
    </xf>
    <xf numFmtId="14" fontId="0" fillId="0" borderId="13" xfId="0" applyNumberFormat="1" applyFill="1" applyBorder="1" applyAlignment="1">
      <alignment horizontal="left"/>
    </xf>
    <xf numFmtId="0" fontId="0" fillId="0" borderId="1" xfId="0" applyFill="1" applyBorder="1"/>
    <xf numFmtId="14" fontId="4" fillId="16" borderId="1" xfId="0" applyNumberFormat="1" applyFont="1" applyFill="1" applyBorder="1" applyAlignment="1">
      <alignment horizontal="center"/>
    </xf>
    <xf numFmtId="0" fontId="0" fillId="16" borderId="14" xfId="0" applyFill="1" applyBorder="1" applyAlignment="1">
      <alignment horizontal="center"/>
    </xf>
    <xf numFmtId="9" fontId="6" fillId="17" borderId="0" xfId="1" applyFont="1" applyFill="1" applyBorder="1"/>
    <xf numFmtId="171" fontId="6" fillId="17" borderId="0" xfId="0" applyNumberFormat="1" applyFont="1" applyFill="1"/>
    <xf numFmtId="0" fontId="8" fillId="4" borderId="7" xfId="0" applyFont="1" applyFill="1" applyBorder="1"/>
    <xf numFmtId="0" fontId="0" fillId="4" borderId="0" xfId="0" applyFill="1"/>
    <xf numFmtId="0" fontId="5" fillId="14" borderId="2" xfId="0" applyFont="1" applyFill="1" applyBorder="1"/>
    <xf numFmtId="0" fontId="5" fillId="14" borderId="3" xfId="0" applyFont="1" applyFill="1" applyBorder="1"/>
    <xf numFmtId="0" fontId="10" fillId="14" borderId="3" xfId="0" applyFont="1" applyFill="1" applyBorder="1"/>
    <xf numFmtId="0" fontId="10" fillId="14" borderId="4" xfId="0" applyFont="1" applyFill="1" applyBorder="1"/>
    <xf numFmtId="0" fontId="10" fillId="14" borderId="2" xfId="0" applyFont="1" applyFill="1" applyBorder="1"/>
    <xf numFmtId="1" fontId="10" fillId="14" borderId="3" xfId="0" applyNumberFormat="1" applyFont="1" applyFill="1" applyBorder="1" applyAlignment="1">
      <alignment horizontal="right"/>
    </xf>
    <xf numFmtId="0" fontId="0" fillId="4" borderId="7" xfId="0" applyFill="1" applyBorder="1"/>
    <xf numFmtId="1" fontId="0" fillId="4" borderId="7" xfId="0" applyNumberFormat="1" applyFill="1" applyBorder="1" applyAlignment="1">
      <alignment horizontal="right"/>
    </xf>
    <xf numFmtId="0" fontId="8" fillId="0" borderId="0" xfId="0" applyFont="1" applyBorder="1"/>
    <xf numFmtId="9" fontId="0" fillId="6" borderId="3" xfId="1" applyNumberFormat="1" applyFont="1" applyFill="1" applyBorder="1"/>
    <xf numFmtId="0" fontId="0" fillId="0" borderId="0" xfId="0" applyFill="1"/>
    <xf numFmtId="2" fontId="0" fillId="0" borderId="1" xfId="0" applyNumberFormat="1" applyFill="1" applyBorder="1"/>
    <xf numFmtId="3" fontId="0" fillId="0" borderId="37" xfId="0" applyNumberFormat="1" applyBorder="1" applyAlignment="1">
      <alignment horizontal="center"/>
    </xf>
    <xf numFmtId="3" fontId="2" fillId="5" borderId="1" xfId="0" applyNumberFormat="1" applyFont="1" applyFill="1" applyBorder="1"/>
    <xf numFmtId="0" fontId="0" fillId="6" borderId="2" xfId="0" applyFill="1" applyBorder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6" borderId="1" xfId="0" applyFill="1" applyBorder="1" applyAlignment="1">
      <alignment horizontal="center" vertical="top" wrapText="1"/>
    </xf>
    <xf numFmtId="0" fontId="0" fillId="16" borderId="14" xfId="0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/>
    </xf>
    <xf numFmtId="172" fontId="10" fillId="9" borderId="1" xfId="2" applyNumberFormat="1" applyFont="1" applyFill="1" applyBorder="1" applyAlignment="1">
      <alignment horizontal="center"/>
    </xf>
    <xf numFmtId="9" fontId="0" fillId="0" borderId="1" xfId="2" applyNumberFormat="1" applyFont="1" applyFill="1" applyBorder="1" applyAlignment="1">
      <alignment horizontal="center"/>
    </xf>
    <xf numFmtId="9" fontId="5" fillId="12" borderId="1" xfId="2" applyNumberFormat="1" applyFont="1" applyFill="1" applyBorder="1" applyAlignment="1">
      <alignment horizontal="center" wrapText="1"/>
    </xf>
    <xf numFmtId="9" fontId="0" fillId="0" borderId="0" xfId="0" applyNumberFormat="1" applyAlignment="1">
      <alignment horizontal="center"/>
    </xf>
    <xf numFmtId="0" fontId="21" fillId="0" borderId="27" xfId="0" applyFont="1" applyBorder="1" applyAlignment="1">
      <alignment horizontal="center" wrapText="1"/>
    </xf>
    <xf numFmtId="0" fontId="21" fillId="0" borderId="28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1" fillId="0" borderId="33" xfId="0" applyFont="1" applyBorder="1" applyAlignment="1">
      <alignment horizontal="center" wrapText="1"/>
    </xf>
    <xf numFmtId="0" fontId="21" fillId="0" borderId="31" xfId="0" applyFont="1" applyBorder="1" applyAlignment="1">
      <alignment horizontal="center" wrapText="1"/>
    </xf>
    <xf numFmtId="0" fontId="21" fillId="0" borderId="32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0" fillId="0" borderId="0" xfId="0" applyFont="1" applyAlignment="1">
      <alignment horizontal="left"/>
    </xf>
    <xf numFmtId="172" fontId="0" fillId="0" borderId="0" xfId="0" applyNumberFormat="1" applyAlignment="1">
      <alignment horizontal="center"/>
    </xf>
  </cellXfs>
  <cellStyles count="6">
    <cellStyle name="Comma" xfId="2" builtinId="3"/>
    <cellStyle name="Comma 2" xfId="3" xr:uid="{6FDD47E7-1B6C-41E7-AA54-4BD4A906D8D9}"/>
    <cellStyle name="Comma 2 2" xfId="5" xr:uid="{4CDFD002-2C01-40FE-A6A8-417FDC5613A0}"/>
    <cellStyle name="Hyperlink" xfId="4" builtinId="8"/>
    <cellStyle name="Normal" xfId="0" builtinId="0"/>
    <cellStyle name="Percent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2E3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tephen Morris" id="{1A451466-0773-4B8C-8283-0828F6D8C620}" userId="Stephen Morri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7" dT="2022-04-25T14:05:46.37" personId="{1A451466-0773-4B8C-8283-0828F6D8C620}" id="{A8AB8DAE-CFD0-474C-BED0-29BE283C0D3E}">
    <text>why does this number change with number of down days when that number is smaller than the 5% cap? The 95% cap is applied in the ER calcs (JW said may need to have seperate stage for that) so this is effectively doing X% of PTDs, then x 0.95, giving a cap of X+5% even if X&gt;5. Number of PTDs should only be reduced in addition to the 95% cap if the down days exceeds that cap?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ural-water-supply.net/en/implementation/public-domain-handpumps/india-mark-ii" TargetMode="External"/><Relationship Id="rId1" Type="http://schemas.openxmlformats.org/officeDocument/2006/relationships/hyperlink" Target="https://www.rural-water-supply.net/en/implementation/proprietary-handpumps/kardi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5"/>
  <sheetViews>
    <sheetView showGridLines="0" zoomScaleNormal="100" workbookViewId="0">
      <selection activeCell="E4" sqref="E4:E14"/>
    </sheetView>
  </sheetViews>
  <sheetFormatPr defaultColWidth="9.26953125" defaultRowHeight="14.5"/>
  <cols>
    <col min="1" max="1" width="5.26953125" style="6" customWidth="1"/>
    <col min="2" max="6" width="14.1796875" style="6" customWidth="1"/>
    <col min="7" max="7" width="7.54296875" style="6" customWidth="1"/>
    <col min="8" max="14" width="11.453125" style="6" customWidth="1"/>
    <col min="15" max="16384" width="9.26953125" style="6"/>
  </cols>
  <sheetData>
    <row r="1" spans="2:14" ht="15" thickBot="1"/>
    <row r="2" spans="2:14" ht="15" thickBot="1">
      <c r="B2" s="214" t="s">
        <v>432</v>
      </c>
      <c r="C2" s="215"/>
      <c r="D2" s="215"/>
      <c r="E2" s="215"/>
      <c r="F2" s="216"/>
      <c r="H2" s="217" t="s">
        <v>433</v>
      </c>
      <c r="I2" s="218"/>
      <c r="J2" s="218"/>
      <c r="K2" s="218"/>
      <c r="L2" s="218"/>
      <c r="M2" s="218"/>
      <c r="N2" s="219"/>
    </row>
    <row r="3" spans="2:14" ht="43.5">
      <c r="B3" s="135" t="s">
        <v>0</v>
      </c>
      <c r="C3" s="136" t="s">
        <v>438</v>
      </c>
      <c r="D3" s="136" t="s">
        <v>439</v>
      </c>
      <c r="E3" s="137" t="s">
        <v>1</v>
      </c>
      <c r="F3" s="139" t="s">
        <v>2</v>
      </c>
      <c r="G3" s="138"/>
      <c r="H3" s="172" t="s">
        <v>3</v>
      </c>
      <c r="I3" s="173" t="s">
        <v>4</v>
      </c>
      <c r="J3" s="174" t="s">
        <v>5</v>
      </c>
      <c r="K3" s="174" t="s">
        <v>6</v>
      </c>
      <c r="L3" s="176" t="s">
        <v>7</v>
      </c>
      <c r="M3" s="177" t="s">
        <v>8</v>
      </c>
      <c r="N3" s="175" t="s">
        <v>9</v>
      </c>
    </row>
    <row r="4" spans="2:14">
      <c r="B4" s="117" t="s">
        <v>10</v>
      </c>
      <c r="C4" s="43">
        <f>'GS7475'!J37</f>
        <v>3052</v>
      </c>
      <c r="D4" s="43">
        <f>'GS7475'!O37</f>
        <v>2109</v>
      </c>
      <c r="E4" s="118">
        <f>'GS7475'!E37</f>
        <v>5161</v>
      </c>
      <c r="F4" s="118">
        <f>'Uncapped ERs'!E$37</f>
        <v>15540</v>
      </c>
      <c r="H4" s="127">
        <f>'SDG Impacts '!D182</f>
        <v>-0.70454545454545459</v>
      </c>
      <c r="I4" s="128">
        <f>'SDG Impacts '!D12</f>
        <v>0.60954621848739499</v>
      </c>
      <c r="J4" s="43">
        <f>'SDG Impacts '!D18</f>
        <v>3630.8999999999996</v>
      </c>
      <c r="K4" s="43">
        <f>'Total PTDs'!J17</f>
        <v>3900</v>
      </c>
      <c r="L4" s="43">
        <f>'Total PTDs'!I17</f>
        <v>7205</v>
      </c>
      <c r="M4" s="43">
        <f>'Total PTDs'!R17</f>
        <v>1317000</v>
      </c>
      <c r="N4" s="200">
        <f>'Total PTDs'!U17</f>
        <v>2436625</v>
      </c>
    </row>
    <row r="5" spans="2:14">
      <c r="B5" s="119" t="s">
        <v>11</v>
      </c>
      <c r="C5" s="120">
        <f>'GS7476'!J37</f>
        <v>3143</v>
      </c>
      <c r="D5" s="43">
        <f>'GS7476'!O37</f>
        <v>2109</v>
      </c>
      <c r="E5" s="118">
        <f>'GS7476'!E37</f>
        <v>5252</v>
      </c>
      <c r="F5" s="118">
        <f>'Uncapped ERs'!F$37</f>
        <v>15685</v>
      </c>
      <c r="H5" s="127">
        <f>'SDG Impacts '!D28</f>
        <v>-0.70454545454545459</v>
      </c>
      <c r="I5" s="128">
        <f>'SDG Impacts '!D33</f>
        <v>0.60954621848739499</v>
      </c>
      <c r="J5" s="120">
        <f>'SDG Impacts '!D39</f>
        <v>3630.8999999999996</v>
      </c>
      <c r="K5" s="43">
        <f>'Total PTDs'!J32</f>
        <v>3900</v>
      </c>
      <c r="L5" s="43">
        <f>'Total PTDs'!I32</f>
        <v>7120</v>
      </c>
      <c r="M5" s="43">
        <f>'Total PTDs'!R32</f>
        <v>1340100</v>
      </c>
      <c r="N5" s="118">
        <f>'Total PTDs'!U32</f>
        <v>2459478</v>
      </c>
    </row>
    <row r="6" spans="2:14">
      <c r="B6" s="117" t="s">
        <v>12</v>
      </c>
      <c r="C6" s="120">
        <f>'GS7477'!J37</f>
        <v>3199</v>
      </c>
      <c r="D6" s="120">
        <f>'GS7477'!O37</f>
        <v>2109</v>
      </c>
      <c r="E6" s="121">
        <f>'GS7477'!E37</f>
        <v>5308</v>
      </c>
      <c r="F6" s="118">
        <f>'Uncapped ERs'!G$37</f>
        <v>15877</v>
      </c>
      <c r="H6" s="127">
        <f>'SDG Impacts '!D50</f>
        <v>-0.70454545454545459</v>
      </c>
      <c r="I6" s="129">
        <f>'SDG Impacts '!D55</f>
        <v>0.60954621848739499</v>
      </c>
      <c r="J6" s="120">
        <f>'SDG Impacts '!D61</f>
        <v>3630.8999999999996</v>
      </c>
      <c r="K6" s="43">
        <f>'Total PTDs'!J47</f>
        <v>3900</v>
      </c>
      <c r="L6" s="43">
        <f>'Total PTDs'!I47</f>
        <v>7183</v>
      </c>
      <c r="M6" s="43">
        <f>'Total PTDs'!R47</f>
        <v>1354500</v>
      </c>
      <c r="N6" s="118">
        <f>'Total PTDs'!U47</f>
        <v>2489525</v>
      </c>
    </row>
    <row r="7" spans="2:14">
      <c r="B7" s="119" t="s">
        <v>13</v>
      </c>
      <c r="C7" s="120">
        <f>'GS7478'!J37</f>
        <v>2986</v>
      </c>
      <c r="D7" s="120">
        <f>'GS7478'!O37</f>
        <v>1947</v>
      </c>
      <c r="E7" s="121">
        <f>'GS7478'!E37</f>
        <v>4933</v>
      </c>
      <c r="F7" s="118">
        <f>'Uncapped ERs'!H$37</f>
        <v>16109</v>
      </c>
      <c r="H7" s="127">
        <f>'SDG Impacts '!D72</f>
        <v>-0.70454545454545459</v>
      </c>
      <c r="I7" s="130">
        <f>'SDG Impacts '!D77</f>
        <v>0.60954621848739499</v>
      </c>
      <c r="J7" s="120">
        <f>'SDG Impacts '!D83</f>
        <v>3351.6</v>
      </c>
      <c r="K7" s="43">
        <f>'Total PTDs'!J61</f>
        <v>3600</v>
      </c>
      <c r="L7" s="43">
        <f>'Total PTDs'!I61</f>
        <v>7200</v>
      </c>
      <c r="M7" s="43">
        <f>'Total PTDs'!R61</f>
        <v>1258800</v>
      </c>
      <c r="N7" s="118">
        <f>'Total PTDs'!U61</f>
        <v>2526054</v>
      </c>
    </row>
    <row r="8" spans="2:14">
      <c r="B8" s="117" t="s">
        <v>14</v>
      </c>
      <c r="C8" s="120">
        <f>'GS7479'!J37</f>
        <v>2149</v>
      </c>
      <c r="D8" s="120">
        <f>'GS7479'!O37</f>
        <v>2109</v>
      </c>
      <c r="E8" s="121">
        <f>'GS7479'!E37</f>
        <v>4258</v>
      </c>
      <c r="F8" s="118">
        <f>'Uncapped ERs'!I$37</f>
        <v>11469</v>
      </c>
      <c r="H8" s="127">
        <f>'SDG Impacts '!D94</f>
        <v>-0.70454545454545459</v>
      </c>
      <c r="I8" s="130">
        <f>'SDG Impacts '!D99</f>
        <v>0.60954621848739499</v>
      </c>
      <c r="J8" s="120">
        <f>'SDG Impacts '!D105</f>
        <v>3630.8999999999996</v>
      </c>
      <c r="K8" s="43">
        <f>'Total PTDs'!J76</f>
        <v>3900</v>
      </c>
      <c r="L8" s="43">
        <f>'Total PTDs'!I76</f>
        <v>6437</v>
      </c>
      <c r="M8" s="43">
        <f>'Total PTDs'!R76</f>
        <v>1086600</v>
      </c>
      <c r="N8" s="118">
        <f>'Total PTDs'!U76</f>
        <v>1797224</v>
      </c>
    </row>
    <row r="9" spans="2:14">
      <c r="B9" s="119" t="s">
        <v>15</v>
      </c>
      <c r="C9" s="120">
        <f>'GS7480'!J37</f>
        <v>3145</v>
      </c>
      <c r="D9" s="120">
        <f>'GS7480'!O37</f>
        <v>2109</v>
      </c>
      <c r="E9" s="121">
        <f>'GS7480'!E37</f>
        <v>5254</v>
      </c>
      <c r="F9" s="118">
        <f>'Uncapped ERs'!J$37</f>
        <v>15856</v>
      </c>
      <c r="H9" s="127">
        <f>'SDG Impacts '!D116</f>
        <v>-0.70454545454545459</v>
      </c>
      <c r="I9" s="130">
        <f>'SDG Impacts '!D121</f>
        <v>0.60954621848739499</v>
      </c>
      <c r="J9" s="120">
        <f>'SDG Impacts '!D127</f>
        <v>3630.8999999999996</v>
      </c>
      <c r="K9" s="43">
        <f>'Total PTDs'!J91</f>
        <v>3900</v>
      </c>
      <c r="L9" s="43">
        <f>'Total PTDs'!I91</f>
        <v>7156</v>
      </c>
      <c r="M9" s="43">
        <f>'Total PTDs'!R91</f>
        <v>1340700</v>
      </c>
      <c r="N9" s="118">
        <f>'Total PTDs'!U91</f>
        <v>2486352</v>
      </c>
    </row>
    <row r="10" spans="2:14">
      <c r="B10" s="117" t="s">
        <v>16</v>
      </c>
      <c r="C10" s="120">
        <f>'GS7481'!J37</f>
        <v>2666</v>
      </c>
      <c r="D10" s="120">
        <f>'GS7481'!O37</f>
        <v>2109</v>
      </c>
      <c r="E10" s="121">
        <f>'GS7481'!E37</f>
        <v>4775</v>
      </c>
      <c r="F10" s="118">
        <f>'Uncapped ERs'!K$37</f>
        <v>14471</v>
      </c>
      <c r="H10" s="127">
        <f>'SDG Impacts '!D138</f>
        <v>-0.70454545454545459</v>
      </c>
      <c r="I10" s="130">
        <f>'SDG Impacts '!D143</f>
        <v>0.60954621848739499</v>
      </c>
      <c r="J10" s="120">
        <f>'SDG Impacts '!D149</f>
        <v>3630.8999999999996</v>
      </c>
      <c r="K10" s="43">
        <f>'Total PTDs'!J106</f>
        <v>3900</v>
      </c>
      <c r="L10" s="43">
        <f>'Total PTDs'!I106</f>
        <v>7328</v>
      </c>
      <c r="M10" s="43">
        <f>'Total PTDs'!R106</f>
        <v>1218600</v>
      </c>
      <c r="N10" s="118">
        <f>'Total PTDs'!U106</f>
        <v>2268356</v>
      </c>
    </row>
    <row r="11" spans="2:14">
      <c r="B11" s="119" t="s">
        <v>17</v>
      </c>
      <c r="C11" s="120">
        <f>'GS7482'!J37</f>
        <v>3177</v>
      </c>
      <c r="D11" s="120">
        <f>'GS7482'!O37</f>
        <v>2271</v>
      </c>
      <c r="E11" s="121">
        <f>'GS7482'!E37</f>
        <v>5448</v>
      </c>
      <c r="F11" s="118">
        <f>'Uncapped ERs'!L$37</f>
        <v>15353</v>
      </c>
      <c r="H11" s="127">
        <f>'SDG Impacts '!D160</f>
        <v>-0.70454545454545459</v>
      </c>
      <c r="I11" s="130">
        <f>'SDG Impacts '!D165</f>
        <v>0.60954621848739499</v>
      </c>
      <c r="J11" s="120">
        <f>'SDG Impacts '!D171</f>
        <v>3910.2</v>
      </c>
      <c r="K11" s="43">
        <f>'Total PTDs'!J122</f>
        <v>4200</v>
      </c>
      <c r="L11" s="43">
        <f>'Total PTDs'!I122</f>
        <v>7215</v>
      </c>
      <c r="M11" s="43">
        <f>'Total PTDs'!R122</f>
        <v>1390200</v>
      </c>
      <c r="N11" s="118">
        <f>'Total PTDs'!U122</f>
        <v>2407198</v>
      </c>
    </row>
    <row r="12" spans="2:14">
      <c r="B12" s="117" t="s">
        <v>18</v>
      </c>
      <c r="C12" s="120">
        <f>'GS7483'!J37</f>
        <v>3360</v>
      </c>
      <c r="D12" s="120">
        <f>'GS7483'!O37</f>
        <v>2271</v>
      </c>
      <c r="E12" s="121">
        <f>'GS7483'!E37</f>
        <v>5631</v>
      </c>
      <c r="F12" s="118">
        <f>'Uncapped ERs'!M$37</f>
        <v>17312</v>
      </c>
      <c r="H12" s="127">
        <f>'SDG Impacts '!D182</f>
        <v>-0.70454545454545459</v>
      </c>
      <c r="I12" s="130">
        <f>'SDG Impacts '!D187</f>
        <v>0.60954621848739499</v>
      </c>
      <c r="J12" s="120">
        <f>'SDG Impacts '!D193</f>
        <v>3910.2</v>
      </c>
      <c r="K12" s="43">
        <f>'Total PTDs'!J138</f>
        <v>4200</v>
      </c>
      <c r="L12" s="43">
        <f>'Total PTDs'!I138</f>
        <v>8039</v>
      </c>
      <c r="M12" s="43">
        <f>'Total PTDs'!R138</f>
        <v>1437000</v>
      </c>
      <c r="N12" s="118">
        <f>'Total PTDs'!U138</f>
        <v>2714365</v>
      </c>
    </row>
    <row r="13" spans="2:14" ht="15" thickBot="1">
      <c r="B13" s="122" t="s">
        <v>19</v>
      </c>
      <c r="C13" s="40">
        <f>'GS7484'!J37</f>
        <v>3174</v>
      </c>
      <c r="D13" s="40">
        <f>'GS7484'!O37</f>
        <v>2271</v>
      </c>
      <c r="E13" s="123">
        <f>'GS7484'!E37</f>
        <v>5445</v>
      </c>
      <c r="F13" s="118">
        <f>'Uncapped ERs'!N$37</f>
        <v>16185</v>
      </c>
      <c r="H13" s="131">
        <f>'SDG Impacts '!D204</f>
        <v>-0.70454545454545459</v>
      </c>
      <c r="I13" s="75">
        <f>'SDG Impacts '!D209</f>
        <v>0.60954621848739499</v>
      </c>
      <c r="J13" s="40">
        <f>'SDG Impacts '!D215</f>
        <v>3910.2</v>
      </c>
      <c r="K13" s="165">
        <f>'Total PTDs'!J154</f>
        <v>4200</v>
      </c>
      <c r="L13" s="165">
        <f>'Total PTDs'!I154</f>
        <v>7711</v>
      </c>
      <c r="M13" s="165">
        <f>'Total PTDs'!R154</f>
        <v>1389600</v>
      </c>
      <c r="N13" s="132">
        <f>'Total PTDs'!U154</f>
        <v>2537652</v>
      </c>
    </row>
    <row r="14" spans="2:14" ht="15.5" thickTop="1" thickBot="1">
      <c r="B14" s="124">
        <f>COUNTA(B4:B13)</f>
        <v>10</v>
      </c>
      <c r="C14" s="125">
        <f>SUM(C4:C13)</f>
        <v>30051</v>
      </c>
      <c r="D14" s="125">
        <f>SUM(D4:D13)</f>
        <v>21414</v>
      </c>
      <c r="E14" s="126">
        <f>SUM(E4:E13)</f>
        <v>51465</v>
      </c>
      <c r="F14" s="170">
        <f>SUM(F4:F13)</f>
        <v>153857</v>
      </c>
      <c r="H14" s="133">
        <f>AVERAGE(H4:H13)</f>
        <v>-0.7045454545454547</v>
      </c>
      <c r="I14" s="134">
        <f>AVERAGE(I4:I13)</f>
        <v>0.6095462184873951</v>
      </c>
      <c r="J14" s="125">
        <f>SUM(J4:J13)</f>
        <v>36867.599999999999</v>
      </c>
      <c r="K14" s="125">
        <f>SUM(K4:K13)</f>
        <v>39600</v>
      </c>
      <c r="L14" s="125">
        <f>SUM(L4:L13)</f>
        <v>72594</v>
      </c>
      <c r="M14" s="125">
        <f>SUM(M4:M13)</f>
        <v>13133100</v>
      </c>
      <c r="N14" s="126">
        <f>SUM(N4:N13)</f>
        <v>24122829</v>
      </c>
    </row>
    <row r="15" spans="2:14">
      <c r="C15" s="39"/>
    </row>
    <row r="16" spans="2:14">
      <c r="G16" s="39"/>
      <c r="I16" s="39"/>
      <c r="J16" s="39"/>
    </row>
    <row r="17" spans="3:9">
      <c r="C17" s="114"/>
    </row>
    <row r="18" spans="3:9">
      <c r="C18" s="114"/>
      <c r="I18" s="39"/>
    </row>
    <row r="19" spans="3:9">
      <c r="C19" s="114"/>
      <c r="I19" s="39"/>
    </row>
    <row r="20" spans="3:9">
      <c r="C20" s="114"/>
    </row>
    <row r="21" spans="3:9">
      <c r="C21" s="114"/>
    </row>
    <row r="22" spans="3:9">
      <c r="C22" s="114"/>
    </row>
    <row r="23" spans="3:9">
      <c r="C23" s="114"/>
    </row>
    <row r="24" spans="3:9">
      <c r="C24" s="114"/>
    </row>
    <row r="25" spans="3:9">
      <c r="C25" s="114"/>
    </row>
  </sheetData>
  <mergeCells count="2">
    <mergeCell ref="B2:F2"/>
    <mergeCell ref="H2:N2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FB8-0508-40CF-A785-520BA14B4A40}">
  <dimension ref="A2:P41"/>
  <sheetViews>
    <sheetView showGridLines="0" zoomScale="50" zoomScaleNormal="50" workbookViewId="0">
      <selection activeCell="B29" sqref="B29:O29"/>
    </sheetView>
  </sheetViews>
  <sheetFormatPr defaultRowHeight="14.5"/>
  <cols>
    <col min="2" max="2" width="60.7265625" bestFit="1" customWidth="1"/>
    <col min="3" max="3" width="18.26953125" bestFit="1" customWidth="1"/>
    <col min="4" max="4" width="12.453125" bestFit="1" customWidth="1"/>
    <col min="5" max="5" width="12.7265625" customWidth="1"/>
    <col min="6" max="6" width="7.26953125" customWidth="1"/>
    <col min="7" max="7" width="60.7265625" bestFit="1" customWidth="1"/>
    <col min="8" max="8" width="18.26953125" bestFit="1" customWidth="1"/>
    <col min="9" max="9" width="12.453125" bestFit="1" customWidth="1"/>
    <col min="10" max="10" width="12.54296875" customWidth="1"/>
    <col min="11" max="11" width="5" customWidth="1"/>
    <col min="12" max="12" width="60.7265625" bestFit="1" customWidth="1"/>
    <col min="13" max="13" width="18.26953125" bestFit="1" customWidth="1"/>
    <col min="14" max="14" width="12.453125" bestFit="1" customWidth="1"/>
    <col min="15" max="15" width="12.26953125" customWidth="1"/>
  </cols>
  <sheetData>
    <row r="2" spans="1:16" ht="15" customHeight="1">
      <c r="B2" s="222" t="s">
        <v>435</v>
      </c>
      <c r="C2" s="222"/>
      <c r="D2" s="222"/>
      <c r="E2" s="222"/>
      <c r="G2" s="222" t="s">
        <v>408</v>
      </c>
      <c r="H2" s="222"/>
      <c r="I2" s="222"/>
      <c r="J2" s="222"/>
      <c r="L2" s="222" t="s">
        <v>434</v>
      </c>
      <c r="M2" s="222"/>
      <c r="N2" s="222"/>
      <c r="O2" s="222"/>
    </row>
    <row r="4" spans="1:16">
      <c r="A4" s="3"/>
      <c r="B4" s="220" t="s">
        <v>352</v>
      </c>
      <c r="C4" s="221"/>
      <c r="D4" s="221"/>
      <c r="E4" s="224"/>
      <c r="F4" s="3"/>
      <c r="G4" s="220" t="s">
        <v>352</v>
      </c>
      <c r="H4" s="221"/>
      <c r="I4" s="221"/>
      <c r="J4" s="224"/>
      <c r="K4" s="3"/>
      <c r="L4" s="220" t="s">
        <v>352</v>
      </c>
      <c r="M4" s="221"/>
      <c r="N4" s="221"/>
      <c r="O4" s="224"/>
      <c r="P4" s="3"/>
    </row>
    <row r="5" spans="1:16">
      <c r="B5" s="1" t="s">
        <v>353</v>
      </c>
      <c r="C5" s="1" t="s">
        <v>354</v>
      </c>
      <c r="D5" s="1" t="s">
        <v>355</v>
      </c>
      <c r="E5" s="38">
        <v>0.02</v>
      </c>
      <c r="F5" s="3"/>
      <c r="G5" s="1" t="s">
        <v>353</v>
      </c>
      <c r="H5" s="1" t="s">
        <v>354</v>
      </c>
      <c r="I5" s="1" t="s">
        <v>355</v>
      </c>
      <c r="J5" s="38">
        <v>0.02</v>
      </c>
      <c r="L5" s="1" t="s">
        <v>353</v>
      </c>
      <c r="M5" s="1" t="s">
        <v>354</v>
      </c>
      <c r="N5" s="1" t="s">
        <v>355</v>
      </c>
      <c r="O5" s="113">
        <f>J5</f>
        <v>0.02</v>
      </c>
    </row>
    <row r="6" spans="1:16">
      <c r="B6" s="1" t="s">
        <v>409</v>
      </c>
      <c r="C6" s="1" t="s">
        <v>357</v>
      </c>
      <c r="D6" s="1"/>
      <c r="E6" s="4">
        <f>'Total PTDs'!R91*0.95</f>
        <v>1273665</v>
      </c>
      <c r="F6" s="3"/>
      <c r="G6" s="1" t="s">
        <v>409</v>
      </c>
      <c r="H6" s="1" t="s">
        <v>357</v>
      </c>
      <c r="I6" s="1"/>
      <c r="J6" s="4">
        <f>'Total PTDs'!P91*0.95</f>
        <v>762375</v>
      </c>
      <c r="L6" s="1" t="s">
        <v>409</v>
      </c>
      <c r="M6" s="1" t="s">
        <v>357</v>
      </c>
      <c r="N6" s="1"/>
      <c r="O6" s="4">
        <f>'Total PTDs'!Q91*0.95</f>
        <v>511290</v>
      </c>
    </row>
    <row r="7" spans="1:16">
      <c r="B7" s="1" t="s">
        <v>358</v>
      </c>
      <c r="C7" s="1" t="s">
        <v>359</v>
      </c>
      <c r="D7" s="1" t="s">
        <v>360</v>
      </c>
      <c r="E7" s="12">
        <f>J7</f>
        <v>4.0000000000000002E-4</v>
      </c>
      <c r="F7" s="3"/>
      <c r="G7" s="1" t="s">
        <v>358</v>
      </c>
      <c r="H7" s="1" t="s">
        <v>359</v>
      </c>
      <c r="I7" s="1" t="s">
        <v>360</v>
      </c>
      <c r="J7" s="12">
        <v>4.0000000000000002E-4</v>
      </c>
      <c r="L7" s="1" t="s">
        <v>358</v>
      </c>
      <c r="M7" s="1" t="s">
        <v>359</v>
      </c>
      <c r="N7" s="1" t="s">
        <v>360</v>
      </c>
      <c r="O7" s="12">
        <f>J7</f>
        <v>4.0000000000000002E-4</v>
      </c>
    </row>
    <row r="8" spans="1:16" ht="29">
      <c r="B8" s="2" t="s">
        <v>410</v>
      </c>
      <c r="C8" s="1" t="s">
        <v>362</v>
      </c>
      <c r="D8" s="1" t="s">
        <v>363</v>
      </c>
      <c r="E8" s="1">
        <v>7.5</v>
      </c>
      <c r="F8" s="3"/>
      <c r="G8" s="2" t="s">
        <v>410</v>
      </c>
      <c r="H8" s="1" t="s">
        <v>362</v>
      </c>
      <c r="I8" s="1" t="s">
        <v>363</v>
      </c>
      <c r="J8" s="1">
        <v>7.5</v>
      </c>
      <c r="L8" s="2" t="s">
        <v>410</v>
      </c>
      <c r="M8" s="1" t="s">
        <v>362</v>
      </c>
      <c r="N8" s="1" t="s">
        <v>363</v>
      </c>
      <c r="O8" s="1">
        <v>7.5</v>
      </c>
    </row>
    <row r="9" spans="1:16">
      <c r="B9" s="2" t="s">
        <v>364</v>
      </c>
      <c r="C9" s="1" t="s">
        <v>365</v>
      </c>
      <c r="D9" s="1" t="s">
        <v>363</v>
      </c>
      <c r="E9" s="1">
        <v>0</v>
      </c>
      <c r="F9" s="3"/>
      <c r="G9" s="2" t="s">
        <v>364</v>
      </c>
      <c r="H9" s="1" t="s">
        <v>365</v>
      </c>
      <c r="I9" s="1" t="s">
        <v>363</v>
      </c>
      <c r="J9" s="1">
        <v>0</v>
      </c>
      <c r="L9" s="2" t="s">
        <v>364</v>
      </c>
      <c r="M9" s="1" t="s">
        <v>365</v>
      </c>
      <c r="N9" s="1" t="s">
        <v>363</v>
      </c>
      <c r="O9" s="1">
        <v>0</v>
      </c>
    </row>
    <row r="10" spans="1:16">
      <c r="B10" s="1" t="s">
        <v>366</v>
      </c>
      <c r="C10" s="1" t="s">
        <v>367</v>
      </c>
      <c r="D10" s="1" t="s">
        <v>368</v>
      </c>
      <c r="E10" s="4">
        <f>(1-E5)*E6*E7*(E8+E9)</f>
        <v>3744.5751</v>
      </c>
      <c r="F10" s="3"/>
      <c r="G10" s="1" t="s">
        <v>366</v>
      </c>
      <c r="H10" s="1" t="s">
        <v>367</v>
      </c>
      <c r="I10" s="1" t="s">
        <v>368</v>
      </c>
      <c r="J10" s="7">
        <f>(1-J5)*J6*J7*(J8+J9)</f>
        <v>2241.3825000000002</v>
      </c>
      <c r="L10" s="1" t="s">
        <v>366</v>
      </c>
      <c r="M10" s="1" t="s">
        <v>367</v>
      </c>
      <c r="N10" s="1" t="s">
        <v>368</v>
      </c>
      <c r="O10" s="7">
        <f>(1-O5)*O6*O7*(O8+O9)</f>
        <v>1503.1926000000003</v>
      </c>
    </row>
    <row r="11" spans="1:16">
      <c r="F11" s="3"/>
    </row>
    <row r="12" spans="1:16">
      <c r="B12" s="220" t="s">
        <v>369</v>
      </c>
      <c r="C12" s="221"/>
      <c r="D12" s="221"/>
      <c r="E12" s="224"/>
      <c r="F12" s="3"/>
      <c r="G12" s="220" t="s">
        <v>369</v>
      </c>
      <c r="H12" s="221"/>
      <c r="I12" s="221"/>
      <c r="J12" s="224"/>
      <c r="L12" s="220" t="s">
        <v>369</v>
      </c>
      <c r="M12" s="221"/>
      <c r="N12" s="221"/>
      <c r="O12" s="224"/>
    </row>
    <row r="13" spans="1:16">
      <c r="B13" s="1" t="s">
        <v>370</v>
      </c>
      <c r="C13" s="1" t="s">
        <v>354</v>
      </c>
      <c r="D13" s="1" t="s">
        <v>355</v>
      </c>
      <c r="E13" s="38">
        <v>0.02</v>
      </c>
      <c r="F13" s="3"/>
      <c r="G13" s="1" t="s">
        <v>370</v>
      </c>
      <c r="H13" s="1" t="s">
        <v>354</v>
      </c>
      <c r="I13" s="1" t="s">
        <v>355</v>
      </c>
      <c r="J13" s="113">
        <f>J5</f>
        <v>0.02</v>
      </c>
      <c r="L13" s="1" t="s">
        <v>370</v>
      </c>
      <c r="M13" s="1" t="s">
        <v>354</v>
      </c>
      <c r="N13" s="1" t="s">
        <v>355</v>
      </c>
      <c r="O13" s="113">
        <f>O5</f>
        <v>0.02</v>
      </c>
    </row>
    <row r="14" spans="1:16">
      <c r="B14" s="1" t="s">
        <v>409</v>
      </c>
      <c r="C14" s="1" t="s">
        <v>357</v>
      </c>
      <c r="D14" s="1"/>
      <c r="E14" s="4">
        <f>E6</f>
        <v>1273665</v>
      </c>
      <c r="F14" s="3"/>
      <c r="G14" s="1" t="s">
        <v>409</v>
      </c>
      <c r="H14" s="1" t="s">
        <v>357</v>
      </c>
      <c r="I14" s="1"/>
      <c r="J14" s="4">
        <f>J6</f>
        <v>762375</v>
      </c>
      <c r="L14" s="1" t="s">
        <v>409</v>
      </c>
      <c r="M14" s="1" t="s">
        <v>357</v>
      </c>
      <c r="N14" s="1"/>
      <c r="O14" s="4">
        <f>O6</f>
        <v>511290</v>
      </c>
    </row>
    <row r="15" spans="1:16">
      <c r="B15" s="1" t="s">
        <v>371</v>
      </c>
      <c r="C15" s="1" t="s">
        <v>372</v>
      </c>
      <c r="D15" s="1" t="s">
        <v>360</v>
      </c>
      <c r="E15" s="12">
        <f>E7</f>
        <v>4.0000000000000002E-4</v>
      </c>
      <c r="F15" s="3"/>
      <c r="G15" s="1" t="s">
        <v>371</v>
      </c>
      <c r="H15" s="1" t="s">
        <v>372</v>
      </c>
      <c r="I15" s="1" t="s">
        <v>360</v>
      </c>
      <c r="J15" s="12">
        <f>J7</f>
        <v>4.0000000000000002E-4</v>
      </c>
      <c r="L15" s="1" t="s">
        <v>371</v>
      </c>
      <c r="M15" s="1" t="s">
        <v>372</v>
      </c>
      <c r="N15" s="1" t="s">
        <v>360</v>
      </c>
      <c r="O15" s="12">
        <f>O7</f>
        <v>4.0000000000000002E-4</v>
      </c>
    </row>
    <row r="16" spans="1:16">
      <c r="B16" s="1" t="s">
        <v>373</v>
      </c>
      <c r="C16" s="1" t="s">
        <v>365</v>
      </c>
      <c r="D16" s="1" t="s">
        <v>363</v>
      </c>
      <c r="E16" s="1">
        <v>0</v>
      </c>
      <c r="F16" s="3"/>
      <c r="G16" s="1" t="s">
        <v>373</v>
      </c>
      <c r="H16" s="1" t="s">
        <v>365</v>
      </c>
      <c r="I16" s="1" t="s">
        <v>363</v>
      </c>
      <c r="J16" s="1">
        <v>0</v>
      </c>
      <c r="L16" s="1" t="s">
        <v>373</v>
      </c>
      <c r="M16" s="1" t="s">
        <v>365</v>
      </c>
      <c r="N16" s="1" t="s">
        <v>363</v>
      </c>
      <c r="O16" s="1">
        <v>0</v>
      </c>
    </row>
    <row r="17" spans="2:15">
      <c r="B17" s="1" t="s">
        <v>374</v>
      </c>
      <c r="C17" s="1" t="s">
        <v>375</v>
      </c>
      <c r="D17" s="1" t="s">
        <v>363</v>
      </c>
      <c r="E17" s="22">
        <v>0</v>
      </c>
      <c r="F17" s="3"/>
      <c r="G17" s="1" t="s">
        <v>374</v>
      </c>
      <c r="H17" s="1" t="s">
        <v>375</v>
      </c>
      <c r="I17" s="1" t="s">
        <v>363</v>
      </c>
      <c r="J17" s="22">
        <v>0</v>
      </c>
      <c r="L17" s="1" t="s">
        <v>374</v>
      </c>
      <c r="M17" s="1" t="s">
        <v>375</v>
      </c>
      <c r="N17" s="1" t="s">
        <v>363</v>
      </c>
      <c r="O17" s="22">
        <v>0</v>
      </c>
    </row>
    <row r="18" spans="2:15">
      <c r="B18" s="1" t="s">
        <v>376</v>
      </c>
      <c r="C18" s="1" t="s">
        <v>377</v>
      </c>
      <c r="D18" s="1" t="s">
        <v>368</v>
      </c>
      <c r="E18" s="7">
        <f>(1-E13)*E14*E15*(E16+E17)</f>
        <v>0</v>
      </c>
      <c r="F18" s="3"/>
      <c r="G18" s="1" t="s">
        <v>376</v>
      </c>
      <c r="H18" s="1" t="s">
        <v>377</v>
      </c>
      <c r="I18" s="1" t="s">
        <v>368</v>
      </c>
      <c r="J18" s="7">
        <f>(1-J13)*J14*J15*(J16+J17)</f>
        <v>0</v>
      </c>
      <c r="L18" s="1" t="s">
        <v>376</v>
      </c>
      <c r="M18" s="1" t="s">
        <v>377</v>
      </c>
      <c r="N18" s="1" t="s">
        <v>368</v>
      </c>
      <c r="O18" s="7">
        <f>(1-O13)*O14*O15*(O16+O17)</f>
        <v>0</v>
      </c>
    </row>
    <row r="19" spans="2:15">
      <c r="F19" s="3"/>
    </row>
    <row r="20" spans="2:15">
      <c r="B20" s="220" t="s">
        <v>378</v>
      </c>
      <c r="C20" s="221"/>
      <c r="D20" s="221"/>
      <c r="E20" s="224"/>
      <c r="F20" s="3"/>
      <c r="G20" s="220" t="s">
        <v>378</v>
      </c>
      <c r="H20" s="221"/>
      <c r="I20" s="221"/>
      <c r="J20" s="224"/>
      <c r="L20" s="220" t="s">
        <v>378</v>
      </c>
      <c r="M20" s="221"/>
      <c r="N20" s="221"/>
      <c r="O20" s="224"/>
    </row>
    <row r="21" spans="2:15">
      <c r="B21" s="2" t="s">
        <v>379</v>
      </c>
      <c r="C21" s="1" t="s">
        <v>379</v>
      </c>
      <c r="D21" s="1" t="s">
        <v>380</v>
      </c>
      <c r="E21" s="8">
        <v>0.95</v>
      </c>
      <c r="F21" s="3"/>
      <c r="G21" s="2" t="s">
        <v>379</v>
      </c>
      <c r="H21" s="1" t="s">
        <v>379</v>
      </c>
      <c r="I21" s="1" t="s">
        <v>380</v>
      </c>
      <c r="J21" s="8">
        <v>0.95</v>
      </c>
      <c r="L21" s="2" t="s">
        <v>379</v>
      </c>
      <c r="M21" s="1" t="s">
        <v>379</v>
      </c>
      <c r="N21" s="1" t="s">
        <v>380</v>
      </c>
      <c r="O21" s="8">
        <v>0.95</v>
      </c>
    </row>
    <row r="22" spans="2:15">
      <c r="B22" s="1" t="s">
        <v>381</v>
      </c>
      <c r="C22" s="1" t="s">
        <v>382</v>
      </c>
      <c r="D22" s="1" t="s">
        <v>383</v>
      </c>
      <c r="E22" s="1">
        <v>112</v>
      </c>
      <c r="F22" s="3"/>
      <c r="G22" s="1" t="s">
        <v>381</v>
      </c>
      <c r="H22" s="1" t="s">
        <v>382</v>
      </c>
      <c r="I22" s="1" t="s">
        <v>383</v>
      </c>
      <c r="J22" s="1">
        <v>112</v>
      </c>
      <c r="L22" s="1" t="s">
        <v>381</v>
      </c>
      <c r="M22" s="1" t="s">
        <v>382</v>
      </c>
      <c r="N22" s="1" t="s">
        <v>383</v>
      </c>
      <c r="O22" s="1">
        <v>112</v>
      </c>
    </row>
    <row r="23" spans="2:15">
      <c r="B23" s="1" t="s">
        <v>411</v>
      </c>
      <c r="C23" s="1" t="s">
        <v>385</v>
      </c>
      <c r="D23" s="1" t="s">
        <v>386</v>
      </c>
      <c r="E23" s="171">
        <f>(J6*J23+O6*O23)/E6</f>
        <v>9.4600000000000026</v>
      </c>
      <c r="F23" s="3"/>
      <c r="G23" s="1" t="s">
        <v>384</v>
      </c>
      <c r="H23" s="1" t="s">
        <v>385</v>
      </c>
      <c r="I23" s="1" t="s">
        <v>386</v>
      </c>
      <c r="J23" s="1">
        <v>9.4600000000000009</v>
      </c>
      <c r="L23" s="1" t="s">
        <v>384</v>
      </c>
      <c r="M23" s="1" t="s">
        <v>385</v>
      </c>
      <c r="N23" s="1" t="s">
        <v>386</v>
      </c>
      <c r="O23" s="1">
        <f>9.46</f>
        <v>9.4600000000000009</v>
      </c>
    </row>
    <row r="24" spans="2:15">
      <c r="B24" s="1" t="s">
        <v>387</v>
      </c>
      <c r="C24" s="1" t="s">
        <v>388</v>
      </c>
      <c r="D24" s="1" t="s">
        <v>389</v>
      </c>
      <c r="E24" s="1">
        <f>0.0156</f>
        <v>1.5599999999999999E-2</v>
      </c>
      <c r="F24" s="3"/>
      <c r="G24" s="1" t="s">
        <v>387</v>
      </c>
      <c r="H24" s="1" t="s">
        <v>388</v>
      </c>
      <c r="I24" s="1" t="s">
        <v>389</v>
      </c>
      <c r="J24" s="1">
        <v>1.5599999999999999E-2</v>
      </c>
      <c r="L24" s="1" t="s">
        <v>387</v>
      </c>
      <c r="M24" s="1" t="s">
        <v>388</v>
      </c>
      <c r="N24" s="1" t="s">
        <v>389</v>
      </c>
      <c r="O24" s="1">
        <v>1.5599999999999999E-2</v>
      </c>
    </row>
    <row r="25" spans="2:15">
      <c r="F25" s="3"/>
    </row>
    <row r="26" spans="2:15">
      <c r="B26" s="220" t="s">
        <v>390</v>
      </c>
      <c r="C26" s="221"/>
      <c r="D26" s="221"/>
      <c r="E26" s="224"/>
      <c r="F26" s="3"/>
      <c r="G26" s="220" t="s">
        <v>390</v>
      </c>
      <c r="H26" s="221"/>
      <c r="I26" s="221"/>
      <c r="J26" s="224"/>
      <c r="L26" s="220" t="s">
        <v>390</v>
      </c>
      <c r="M26" s="221"/>
      <c r="N26" s="221"/>
      <c r="O26" s="224"/>
    </row>
    <row r="27" spans="2:15">
      <c r="B27" s="1" t="s">
        <v>391</v>
      </c>
      <c r="C27" s="1" t="s">
        <v>392</v>
      </c>
      <c r="D27" s="1" t="s">
        <v>393</v>
      </c>
      <c r="E27" s="4">
        <f>E10*((E22*E21)+E23)*E24</f>
        <v>6768.0049489415997</v>
      </c>
      <c r="F27" s="3"/>
      <c r="G27" s="1" t="s">
        <v>391</v>
      </c>
      <c r="H27" s="1" t="s">
        <v>392</v>
      </c>
      <c r="I27" s="1" t="s">
        <v>393</v>
      </c>
      <c r="J27" s="4">
        <f>J10*((J22*J21)+J23)*J24</f>
        <v>4051.1105926199998</v>
      </c>
      <c r="L27" s="1" t="s">
        <v>391</v>
      </c>
      <c r="M27" s="1" t="s">
        <v>392</v>
      </c>
      <c r="N27" s="1" t="s">
        <v>393</v>
      </c>
      <c r="O27" s="4">
        <f>O10*((O22*O21)+O23)*O24</f>
        <v>2716.8943563215998</v>
      </c>
    </row>
    <row r="28" spans="2:15">
      <c r="B28" s="1" t="s">
        <v>394</v>
      </c>
      <c r="C28" s="1" t="s">
        <v>395</v>
      </c>
      <c r="D28" s="1" t="s">
        <v>393</v>
      </c>
      <c r="E28" s="4">
        <f>E18*((E22*E21)+E23)*E24</f>
        <v>0</v>
      </c>
      <c r="F28" s="3"/>
      <c r="G28" s="1" t="s">
        <v>394</v>
      </c>
      <c r="H28" s="1" t="s">
        <v>395</v>
      </c>
      <c r="I28" s="1" t="s">
        <v>393</v>
      </c>
      <c r="J28" s="4">
        <f>J18*((J22*J21)+J23)*J24</f>
        <v>0</v>
      </c>
      <c r="L28" s="1" t="s">
        <v>394</v>
      </c>
      <c r="M28" s="1" t="s">
        <v>395</v>
      </c>
      <c r="N28" s="1" t="s">
        <v>393</v>
      </c>
      <c r="O28" s="4">
        <f>O18*((O22*O21)+O23)*O24</f>
        <v>0</v>
      </c>
    </row>
    <row r="29" spans="2:15">
      <c r="B29" s="1" t="s">
        <v>412</v>
      </c>
      <c r="C29" s="1" t="s">
        <v>397</v>
      </c>
      <c r="D29" s="1" t="s">
        <v>355</v>
      </c>
      <c r="E29" s="181">
        <v>0.81730000000000003</v>
      </c>
      <c r="F29" s="3"/>
      <c r="G29" s="1" t="s">
        <v>412</v>
      </c>
      <c r="H29" s="1" t="s">
        <v>397</v>
      </c>
      <c r="I29" s="1" t="s">
        <v>355</v>
      </c>
      <c r="J29" s="181">
        <v>0.81730000000000003</v>
      </c>
      <c r="L29" s="1" t="s">
        <v>412</v>
      </c>
      <c r="M29" s="1" t="s">
        <v>397</v>
      </c>
      <c r="N29" s="1" t="s">
        <v>355</v>
      </c>
      <c r="O29" s="181">
        <v>0.81730000000000003</v>
      </c>
    </row>
    <row r="30" spans="2:15">
      <c r="B30" s="1" t="s">
        <v>398</v>
      </c>
      <c r="C30" s="1" t="s">
        <v>399</v>
      </c>
      <c r="D30" s="1" t="s">
        <v>393</v>
      </c>
      <c r="E30" s="1">
        <v>0</v>
      </c>
      <c r="F30" s="3"/>
      <c r="G30" s="1" t="s">
        <v>398</v>
      </c>
      <c r="H30" s="1" t="s">
        <v>399</v>
      </c>
      <c r="I30" s="1" t="s">
        <v>393</v>
      </c>
      <c r="J30" s="1">
        <v>0</v>
      </c>
      <c r="L30" s="1" t="s">
        <v>398</v>
      </c>
      <c r="M30" s="1" t="s">
        <v>399</v>
      </c>
      <c r="N30" s="1" t="s">
        <v>393</v>
      </c>
      <c r="O30" s="1">
        <v>0</v>
      </c>
    </row>
    <row r="31" spans="2:15">
      <c r="B31" s="1" t="s">
        <v>400</v>
      </c>
      <c r="C31" s="1" t="s">
        <v>401</v>
      </c>
      <c r="D31" s="1" t="s">
        <v>393</v>
      </c>
      <c r="E31" s="4">
        <f>((E27-E28)*E29)-E30</f>
        <v>5531.4904447699691</v>
      </c>
      <c r="F31" s="3"/>
      <c r="G31" s="1" t="s">
        <v>400</v>
      </c>
      <c r="H31" s="1" t="s">
        <v>401</v>
      </c>
      <c r="I31" s="1" t="s">
        <v>393</v>
      </c>
      <c r="J31" s="7">
        <f>((J27-J28)*J29)-J30</f>
        <v>3310.972687348326</v>
      </c>
      <c r="L31" s="1" t="s">
        <v>400</v>
      </c>
      <c r="M31" s="1" t="s">
        <v>401</v>
      </c>
      <c r="N31" s="1" t="s">
        <v>393</v>
      </c>
      <c r="O31" s="7">
        <f>((O27-O28)*O29)-O30</f>
        <v>2220.5177574216436</v>
      </c>
    </row>
    <row r="32" spans="2:15">
      <c r="D32" s="5"/>
      <c r="F32" s="3"/>
      <c r="I32" s="5"/>
      <c r="N32" s="5"/>
    </row>
    <row r="33" spans="2:15">
      <c r="B33" s="225" t="s">
        <v>402</v>
      </c>
      <c r="C33" s="225"/>
      <c r="D33" s="225"/>
      <c r="E33" s="225"/>
      <c r="F33" s="3"/>
      <c r="G33" s="225" t="s">
        <v>402</v>
      </c>
      <c r="H33" s="225"/>
      <c r="I33" s="225"/>
      <c r="J33" s="225"/>
      <c r="L33" s="225" t="s">
        <v>402</v>
      </c>
      <c r="M33" s="225"/>
      <c r="N33" s="225"/>
      <c r="O33" s="225"/>
    </row>
    <row r="34" spans="2:15">
      <c r="B34" s="13" t="s">
        <v>403</v>
      </c>
      <c r="C34" s="1"/>
      <c r="D34" s="14"/>
      <c r="E34" s="23">
        <f>1-E35</f>
        <v>0.95</v>
      </c>
      <c r="F34" s="3"/>
      <c r="G34" s="13" t="s">
        <v>403</v>
      </c>
      <c r="H34" s="1"/>
      <c r="I34" s="14"/>
      <c r="J34" s="23">
        <f>1-J35</f>
        <v>0.95</v>
      </c>
      <c r="L34" s="13" t="s">
        <v>403</v>
      </c>
      <c r="M34" s="1"/>
      <c r="N34" s="14"/>
      <c r="O34" s="23">
        <f>1-O35</f>
        <v>0.95</v>
      </c>
    </row>
    <row r="35" spans="2:15">
      <c r="B35" s="13" t="s">
        <v>404</v>
      </c>
      <c r="C35" s="1" t="s">
        <v>405</v>
      </c>
      <c r="D35" s="14" t="s">
        <v>316</v>
      </c>
      <c r="E35" s="23">
        <v>0.05</v>
      </c>
      <c r="F35" s="3"/>
      <c r="G35" s="13" t="s">
        <v>404</v>
      </c>
      <c r="H35" s="1" t="s">
        <v>405</v>
      </c>
      <c r="I35" s="14" t="s">
        <v>316</v>
      </c>
      <c r="J35" s="23">
        <v>0.05</v>
      </c>
      <c r="L35" s="13" t="s">
        <v>404</v>
      </c>
      <c r="M35" s="1" t="s">
        <v>405</v>
      </c>
      <c r="N35" s="14" t="s">
        <v>316</v>
      </c>
      <c r="O35" s="23">
        <v>0.05</v>
      </c>
    </row>
    <row r="36" spans="2:15">
      <c r="B36" s="15" t="s">
        <v>400</v>
      </c>
      <c r="C36" s="15" t="s">
        <v>407</v>
      </c>
      <c r="D36" s="15" t="s">
        <v>393</v>
      </c>
      <c r="E36" s="25">
        <f>E31*(1-E35)</f>
        <v>5254.9159225314706</v>
      </c>
      <c r="F36" s="3"/>
      <c r="G36" s="15" t="s">
        <v>400</v>
      </c>
      <c r="H36" s="15" t="s">
        <v>407</v>
      </c>
      <c r="I36" s="15" t="s">
        <v>393</v>
      </c>
      <c r="J36" s="25">
        <f>J31*(1-J35)</f>
        <v>3145.4240529809094</v>
      </c>
      <c r="L36" s="15" t="s">
        <v>400</v>
      </c>
      <c r="M36" s="15" t="s">
        <v>407</v>
      </c>
      <c r="N36" s="15" t="s">
        <v>393</v>
      </c>
      <c r="O36" s="25">
        <f>O31*(1-O35)</f>
        <v>2109.4918695505612</v>
      </c>
    </row>
    <row r="37" spans="2:15">
      <c r="B37" s="21" t="s">
        <v>413</v>
      </c>
      <c r="C37" s="20" t="s">
        <v>407</v>
      </c>
      <c r="D37" s="20" t="s">
        <v>393</v>
      </c>
      <c r="E37" s="26">
        <f>J37+O37</f>
        <v>5254</v>
      </c>
      <c r="F37" s="3"/>
      <c r="G37" s="21" t="s">
        <v>413</v>
      </c>
      <c r="H37" s="20" t="s">
        <v>407</v>
      </c>
      <c r="I37" s="20" t="s">
        <v>393</v>
      </c>
      <c r="J37" s="26">
        <f>_xlfn.FLOOR.MATH(J36)</f>
        <v>3145</v>
      </c>
      <c r="L37" s="21" t="s">
        <v>413</v>
      </c>
      <c r="M37" s="20" t="s">
        <v>407</v>
      </c>
      <c r="N37" s="20" t="s">
        <v>393</v>
      </c>
      <c r="O37" s="26">
        <f>_xlfn.FLOOR.MATH(O36)</f>
        <v>2109</v>
      </c>
    </row>
    <row r="38" spans="2:15">
      <c r="C38" s="223"/>
      <c r="D38" s="223"/>
      <c r="F38" s="3"/>
      <c r="H38" s="223"/>
      <c r="I38" s="223"/>
      <c r="M38" s="223"/>
      <c r="N38" s="223"/>
    </row>
    <row r="39" spans="2:15">
      <c r="I39" s="27"/>
    </row>
    <row r="41" spans="2:15">
      <c r="E41" s="16"/>
      <c r="J41" s="16"/>
      <c r="O41" s="16"/>
    </row>
  </sheetData>
  <mergeCells count="21">
    <mergeCell ref="B2:E2"/>
    <mergeCell ref="G2:J2"/>
    <mergeCell ref="L2:O2"/>
    <mergeCell ref="B4:E4"/>
    <mergeCell ref="G4:J4"/>
    <mergeCell ref="L4:O4"/>
    <mergeCell ref="B12:E12"/>
    <mergeCell ref="G12:J12"/>
    <mergeCell ref="L12:O12"/>
    <mergeCell ref="B20:E20"/>
    <mergeCell ref="G20:J20"/>
    <mergeCell ref="L20:O20"/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DF26E-8092-483A-8DD3-43B6DACFBD92}">
  <dimension ref="A2:P41"/>
  <sheetViews>
    <sheetView showGridLines="0" zoomScale="50" zoomScaleNormal="50" workbookViewId="0">
      <selection activeCell="B29" sqref="B29:O29"/>
    </sheetView>
  </sheetViews>
  <sheetFormatPr defaultRowHeight="14.5"/>
  <cols>
    <col min="2" max="2" width="60.7265625" bestFit="1" customWidth="1"/>
    <col min="3" max="3" width="18.26953125" bestFit="1" customWidth="1"/>
    <col min="4" max="4" width="12.453125" bestFit="1" customWidth="1"/>
    <col min="5" max="5" width="12.7265625" customWidth="1"/>
    <col min="6" max="6" width="7.26953125" customWidth="1"/>
    <col min="7" max="7" width="60.7265625" bestFit="1" customWidth="1"/>
    <col min="8" max="8" width="18.26953125" bestFit="1" customWidth="1"/>
    <col min="9" max="9" width="12.453125" bestFit="1" customWidth="1"/>
    <col min="10" max="10" width="12.54296875" customWidth="1"/>
    <col min="11" max="11" width="5" customWidth="1"/>
    <col min="12" max="12" width="60.7265625" bestFit="1" customWidth="1"/>
    <col min="13" max="13" width="18.26953125" bestFit="1" customWidth="1"/>
    <col min="14" max="14" width="12.453125" bestFit="1" customWidth="1"/>
    <col min="15" max="15" width="12.26953125" customWidth="1"/>
  </cols>
  <sheetData>
    <row r="2" spans="1:16" ht="15" customHeight="1">
      <c r="B2" s="222" t="s">
        <v>435</v>
      </c>
      <c r="C2" s="222"/>
      <c r="D2" s="222"/>
      <c r="E2" s="222"/>
      <c r="G2" s="222" t="s">
        <v>408</v>
      </c>
      <c r="H2" s="222"/>
      <c r="I2" s="222"/>
      <c r="J2" s="222"/>
      <c r="L2" s="222" t="s">
        <v>434</v>
      </c>
      <c r="M2" s="222"/>
      <c r="N2" s="222"/>
      <c r="O2" s="222"/>
    </row>
    <row r="4" spans="1:16">
      <c r="A4" s="3"/>
      <c r="B4" s="220" t="s">
        <v>352</v>
      </c>
      <c r="C4" s="221"/>
      <c r="D4" s="221"/>
      <c r="E4" s="224"/>
      <c r="F4" s="3"/>
      <c r="G4" s="220" t="s">
        <v>352</v>
      </c>
      <c r="H4" s="221"/>
      <c r="I4" s="221"/>
      <c r="J4" s="224"/>
      <c r="K4" s="3"/>
      <c r="L4" s="220" t="s">
        <v>352</v>
      </c>
      <c r="M4" s="221"/>
      <c r="N4" s="221"/>
      <c r="O4" s="224"/>
      <c r="P4" s="3"/>
    </row>
    <row r="5" spans="1:16">
      <c r="B5" s="1" t="s">
        <v>353</v>
      </c>
      <c r="C5" s="1" t="s">
        <v>354</v>
      </c>
      <c r="D5" s="1" t="s">
        <v>355</v>
      </c>
      <c r="E5" s="38">
        <v>0.02</v>
      </c>
      <c r="F5" s="3"/>
      <c r="G5" s="1" t="s">
        <v>353</v>
      </c>
      <c r="H5" s="1" t="s">
        <v>354</v>
      </c>
      <c r="I5" s="1" t="s">
        <v>355</v>
      </c>
      <c r="J5" s="38">
        <v>0.02</v>
      </c>
      <c r="L5" s="1" t="s">
        <v>353</v>
      </c>
      <c r="M5" s="1" t="s">
        <v>354</v>
      </c>
      <c r="N5" s="1" t="s">
        <v>355</v>
      </c>
      <c r="O5" s="113">
        <f>J5</f>
        <v>0.02</v>
      </c>
    </row>
    <row r="6" spans="1:16">
      <c r="B6" s="1" t="s">
        <v>409</v>
      </c>
      <c r="C6" s="1" t="s">
        <v>357</v>
      </c>
      <c r="D6" s="1"/>
      <c r="E6" s="4">
        <f>'Total PTDs'!R106*0.95</f>
        <v>1157670</v>
      </c>
      <c r="F6" s="3"/>
      <c r="G6" s="1" t="s">
        <v>409</v>
      </c>
      <c r="H6" s="1" t="s">
        <v>357</v>
      </c>
      <c r="I6" s="1"/>
      <c r="J6" s="4">
        <f>'Total PTDs'!P106*0.95</f>
        <v>646380</v>
      </c>
      <c r="L6" s="1" t="s">
        <v>409</v>
      </c>
      <c r="M6" s="1" t="s">
        <v>357</v>
      </c>
      <c r="N6" s="1"/>
      <c r="O6" s="4">
        <f>'Total PTDs'!Q106*0.95</f>
        <v>511290</v>
      </c>
    </row>
    <row r="7" spans="1:16">
      <c r="B7" s="1" t="s">
        <v>358</v>
      </c>
      <c r="C7" s="1" t="s">
        <v>359</v>
      </c>
      <c r="D7" s="1" t="s">
        <v>360</v>
      </c>
      <c r="E7" s="12">
        <f>J7</f>
        <v>4.0000000000000002E-4</v>
      </c>
      <c r="F7" s="3"/>
      <c r="G7" s="1" t="s">
        <v>358</v>
      </c>
      <c r="H7" s="1" t="s">
        <v>359</v>
      </c>
      <c r="I7" s="1" t="s">
        <v>360</v>
      </c>
      <c r="J7" s="12">
        <v>4.0000000000000002E-4</v>
      </c>
      <c r="L7" s="1" t="s">
        <v>358</v>
      </c>
      <c r="M7" s="1" t="s">
        <v>359</v>
      </c>
      <c r="N7" s="1" t="s">
        <v>360</v>
      </c>
      <c r="O7" s="12">
        <f>J7</f>
        <v>4.0000000000000002E-4</v>
      </c>
    </row>
    <row r="8" spans="1:16" ht="29">
      <c r="B8" s="2" t="s">
        <v>410</v>
      </c>
      <c r="C8" s="1" t="s">
        <v>362</v>
      </c>
      <c r="D8" s="1" t="s">
        <v>363</v>
      </c>
      <c r="E8" s="1">
        <v>7.5</v>
      </c>
      <c r="F8" s="3"/>
      <c r="G8" s="2" t="s">
        <v>410</v>
      </c>
      <c r="H8" s="1" t="s">
        <v>362</v>
      </c>
      <c r="I8" s="1" t="s">
        <v>363</v>
      </c>
      <c r="J8" s="1">
        <v>7.5</v>
      </c>
      <c r="L8" s="2" t="s">
        <v>410</v>
      </c>
      <c r="M8" s="1" t="s">
        <v>362</v>
      </c>
      <c r="N8" s="1" t="s">
        <v>363</v>
      </c>
      <c r="O8" s="1">
        <v>7.5</v>
      </c>
    </row>
    <row r="9" spans="1:16">
      <c r="B9" s="2" t="s">
        <v>364</v>
      </c>
      <c r="C9" s="1" t="s">
        <v>365</v>
      </c>
      <c r="D9" s="1" t="s">
        <v>363</v>
      </c>
      <c r="E9" s="1">
        <v>0</v>
      </c>
      <c r="F9" s="3"/>
      <c r="G9" s="2" t="s">
        <v>364</v>
      </c>
      <c r="H9" s="1" t="s">
        <v>365</v>
      </c>
      <c r="I9" s="1" t="s">
        <v>363</v>
      </c>
      <c r="J9" s="1">
        <v>0</v>
      </c>
      <c r="L9" s="2" t="s">
        <v>364</v>
      </c>
      <c r="M9" s="1" t="s">
        <v>365</v>
      </c>
      <c r="N9" s="1" t="s">
        <v>363</v>
      </c>
      <c r="O9" s="1">
        <v>0</v>
      </c>
    </row>
    <row r="10" spans="1:16">
      <c r="B10" s="1" t="s">
        <v>366</v>
      </c>
      <c r="C10" s="1" t="s">
        <v>367</v>
      </c>
      <c r="D10" s="1" t="s">
        <v>368</v>
      </c>
      <c r="E10" s="4">
        <f>(1-E5)*E6*E7*(E8+E9)</f>
        <v>3403.5498000000007</v>
      </c>
      <c r="F10" s="3"/>
      <c r="G10" s="1" t="s">
        <v>366</v>
      </c>
      <c r="H10" s="1" t="s">
        <v>367</v>
      </c>
      <c r="I10" s="1" t="s">
        <v>368</v>
      </c>
      <c r="J10" s="7">
        <f>(1-J5)*J6*J7*(J8+J9)</f>
        <v>1900.3572000000001</v>
      </c>
      <c r="L10" s="1" t="s">
        <v>366</v>
      </c>
      <c r="M10" s="1" t="s">
        <v>367</v>
      </c>
      <c r="N10" s="1" t="s">
        <v>368</v>
      </c>
      <c r="O10" s="7">
        <f>(1-O5)*O6*O7*(O8+O9)</f>
        <v>1503.1926000000003</v>
      </c>
    </row>
    <row r="11" spans="1:16">
      <c r="F11" s="3"/>
    </row>
    <row r="12" spans="1:16">
      <c r="B12" s="220" t="s">
        <v>369</v>
      </c>
      <c r="C12" s="221"/>
      <c r="D12" s="221"/>
      <c r="E12" s="224"/>
      <c r="F12" s="3"/>
      <c r="G12" s="220" t="s">
        <v>369</v>
      </c>
      <c r="H12" s="221"/>
      <c r="I12" s="221"/>
      <c r="J12" s="224"/>
      <c r="L12" s="220" t="s">
        <v>369</v>
      </c>
      <c r="M12" s="221"/>
      <c r="N12" s="221"/>
      <c r="O12" s="224"/>
    </row>
    <row r="13" spans="1:16">
      <c r="B13" s="1" t="s">
        <v>370</v>
      </c>
      <c r="C13" s="1" t="s">
        <v>354</v>
      </c>
      <c r="D13" s="1" t="s">
        <v>355</v>
      </c>
      <c r="E13" s="38">
        <v>0.02</v>
      </c>
      <c r="F13" s="3"/>
      <c r="G13" s="1" t="s">
        <v>370</v>
      </c>
      <c r="H13" s="1" t="s">
        <v>354</v>
      </c>
      <c r="I13" s="1" t="s">
        <v>355</v>
      </c>
      <c r="J13" s="113">
        <f>J5</f>
        <v>0.02</v>
      </c>
      <c r="L13" s="1" t="s">
        <v>370</v>
      </c>
      <c r="M13" s="1" t="s">
        <v>354</v>
      </c>
      <c r="N13" s="1" t="s">
        <v>355</v>
      </c>
      <c r="O13" s="113">
        <f>O5</f>
        <v>0.02</v>
      </c>
    </row>
    <row r="14" spans="1:16">
      <c r="B14" s="1" t="s">
        <v>409</v>
      </c>
      <c r="C14" s="1" t="s">
        <v>357</v>
      </c>
      <c r="D14" s="1"/>
      <c r="E14" s="4">
        <f>E6</f>
        <v>1157670</v>
      </c>
      <c r="F14" s="3"/>
      <c r="G14" s="1" t="s">
        <v>409</v>
      </c>
      <c r="H14" s="1" t="s">
        <v>357</v>
      </c>
      <c r="I14" s="1"/>
      <c r="J14" s="4">
        <f>J6</f>
        <v>646380</v>
      </c>
      <c r="L14" s="1" t="s">
        <v>409</v>
      </c>
      <c r="M14" s="1" t="s">
        <v>357</v>
      </c>
      <c r="N14" s="1"/>
      <c r="O14" s="4">
        <f>O6</f>
        <v>511290</v>
      </c>
    </row>
    <row r="15" spans="1:16">
      <c r="B15" s="1" t="s">
        <v>371</v>
      </c>
      <c r="C15" s="1" t="s">
        <v>372</v>
      </c>
      <c r="D15" s="1" t="s">
        <v>360</v>
      </c>
      <c r="E15" s="12">
        <f>E7</f>
        <v>4.0000000000000002E-4</v>
      </c>
      <c r="F15" s="3"/>
      <c r="G15" s="1" t="s">
        <v>371</v>
      </c>
      <c r="H15" s="1" t="s">
        <v>372</v>
      </c>
      <c r="I15" s="1" t="s">
        <v>360</v>
      </c>
      <c r="J15" s="12">
        <f>J7</f>
        <v>4.0000000000000002E-4</v>
      </c>
      <c r="L15" s="1" t="s">
        <v>371</v>
      </c>
      <c r="M15" s="1" t="s">
        <v>372</v>
      </c>
      <c r="N15" s="1" t="s">
        <v>360</v>
      </c>
      <c r="O15" s="12">
        <f>O7</f>
        <v>4.0000000000000002E-4</v>
      </c>
    </row>
    <row r="16" spans="1:16">
      <c r="B16" s="1" t="s">
        <v>373</v>
      </c>
      <c r="C16" s="1" t="s">
        <v>365</v>
      </c>
      <c r="D16" s="1" t="s">
        <v>363</v>
      </c>
      <c r="E16" s="1">
        <v>0</v>
      </c>
      <c r="F16" s="3"/>
      <c r="G16" s="1" t="s">
        <v>373</v>
      </c>
      <c r="H16" s="1" t="s">
        <v>365</v>
      </c>
      <c r="I16" s="1" t="s">
        <v>363</v>
      </c>
      <c r="J16" s="1">
        <v>0</v>
      </c>
      <c r="L16" s="1" t="s">
        <v>373</v>
      </c>
      <c r="M16" s="1" t="s">
        <v>365</v>
      </c>
      <c r="N16" s="1" t="s">
        <v>363</v>
      </c>
      <c r="O16" s="1">
        <v>0</v>
      </c>
    </row>
    <row r="17" spans="2:15">
      <c r="B17" s="1" t="s">
        <v>374</v>
      </c>
      <c r="C17" s="1" t="s">
        <v>375</v>
      </c>
      <c r="D17" s="1" t="s">
        <v>363</v>
      </c>
      <c r="E17" s="22">
        <v>0</v>
      </c>
      <c r="F17" s="3"/>
      <c r="G17" s="1" t="s">
        <v>374</v>
      </c>
      <c r="H17" s="1" t="s">
        <v>375</v>
      </c>
      <c r="I17" s="1" t="s">
        <v>363</v>
      </c>
      <c r="J17" s="22">
        <v>0</v>
      </c>
      <c r="L17" s="1" t="s">
        <v>374</v>
      </c>
      <c r="M17" s="1" t="s">
        <v>375</v>
      </c>
      <c r="N17" s="1" t="s">
        <v>363</v>
      </c>
      <c r="O17" s="22">
        <v>0</v>
      </c>
    </row>
    <row r="18" spans="2:15">
      <c r="B18" s="1" t="s">
        <v>376</v>
      </c>
      <c r="C18" s="1" t="s">
        <v>377</v>
      </c>
      <c r="D18" s="1" t="s">
        <v>368</v>
      </c>
      <c r="E18" s="7">
        <f>(1-E13)*E14*E15*(E16+E17)</f>
        <v>0</v>
      </c>
      <c r="F18" s="3"/>
      <c r="G18" s="1" t="s">
        <v>376</v>
      </c>
      <c r="H18" s="1" t="s">
        <v>377</v>
      </c>
      <c r="I18" s="1" t="s">
        <v>368</v>
      </c>
      <c r="J18" s="7">
        <f>(1-J13)*J14*J15*(J16+J17)</f>
        <v>0</v>
      </c>
      <c r="L18" s="1" t="s">
        <v>376</v>
      </c>
      <c r="M18" s="1" t="s">
        <v>377</v>
      </c>
      <c r="N18" s="1" t="s">
        <v>368</v>
      </c>
      <c r="O18" s="7">
        <f>(1-O13)*O14*O15*(O16+O17)</f>
        <v>0</v>
      </c>
    </row>
    <row r="19" spans="2:15">
      <c r="F19" s="3"/>
    </row>
    <row r="20" spans="2:15">
      <c r="B20" s="220" t="s">
        <v>378</v>
      </c>
      <c r="C20" s="221"/>
      <c r="D20" s="221"/>
      <c r="E20" s="224"/>
      <c r="F20" s="3"/>
      <c r="G20" s="220" t="s">
        <v>378</v>
      </c>
      <c r="H20" s="221"/>
      <c r="I20" s="221"/>
      <c r="J20" s="224"/>
      <c r="L20" s="220" t="s">
        <v>378</v>
      </c>
      <c r="M20" s="221"/>
      <c r="N20" s="221"/>
      <c r="O20" s="224"/>
    </row>
    <row r="21" spans="2:15">
      <c r="B21" s="2" t="s">
        <v>379</v>
      </c>
      <c r="C21" s="1" t="s">
        <v>379</v>
      </c>
      <c r="D21" s="1" t="s">
        <v>380</v>
      </c>
      <c r="E21" s="8">
        <v>0.95</v>
      </c>
      <c r="F21" s="3"/>
      <c r="G21" s="2" t="s">
        <v>379</v>
      </c>
      <c r="H21" s="1" t="s">
        <v>379</v>
      </c>
      <c r="I21" s="1" t="s">
        <v>380</v>
      </c>
      <c r="J21" s="8">
        <v>0.95</v>
      </c>
      <c r="L21" s="2" t="s">
        <v>379</v>
      </c>
      <c r="M21" s="1" t="s">
        <v>379</v>
      </c>
      <c r="N21" s="1" t="s">
        <v>380</v>
      </c>
      <c r="O21" s="8">
        <v>0.95</v>
      </c>
    </row>
    <row r="22" spans="2:15">
      <c r="B22" s="1" t="s">
        <v>381</v>
      </c>
      <c r="C22" s="1" t="s">
        <v>382</v>
      </c>
      <c r="D22" s="1" t="s">
        <v>383</v>
      </c>
      <c r="E22" s="1">
        <v>112</v>
      </c>
      <c r="F22" s="3"/>
      <c r="G22" s="1" t="s">
        <v>381</v>
      </c>
      <c r="H22" s="1" t="s">
        <v>382</v>
      </c>
      <c r="I22" s="1" t="s">
        <v>383</v>
      </c>
      <c r="J22" s="1">
        <v>112</v>
      </c>
      <c r="L22" s="1" t="s">
        <v>381</v>
      </c>
      <c r="M22" s="1" t="s">
        <v>382</v>
      </c>
      <c r="N22" s="1" t="s">
        <v>383</v>
      </c>
      <c r="O22" s="1">
        <v>112</v>
      </c>
    </row>
    <row r="23" spans="2:15">
      <c r="B23" s="1" t="s">
        <v>411</v>
      </c>
      <c r="C23" s="1" t="s">
        <v>385</v>
      </c>
      <c r="D23" s="1" t="s">
        <v>386</v>
      </c>
      <c r="E23" s="171">
        <f>(J6*J23+O6*O23)/E6</f>
        <v>9.4600000000000009</v>
      </c>
      <c r="F23" s="3"/>
      <c r="G23" s="1" t="s">
        <v>384</v>
      </c>
      <c r="H23" s="1" t="s">
        <v>385</v>
      </c>
      <c r="I23" s="1" t="s">
        <v>386</v>
      </c>
      <c r="J23" s="1">
        <v>9.4600000000000009</v>
      </c>
      <c r="L23" s="1" t="s">
        <v>384</v>
      </c>
      <c r="M23" s="1" t="s">
        <v>385</v>
      </c>
      <c r="N23" s="1" t="s">
        <v>386</v>
      </c>
      <c r="O23" s="1">
        <f>9.46</f>
        <v>9.4600000000000009</v>
      </c>
    </row>
    <row r="24" spans="2:15">
      <c r="B24" s="1" t="s">
        <v>387</v>
      </c>
      <c r="C24" s="1" t="s">
        <v>388</v>
      </c>
      <c r="D24" s="1" t="s">
        <v>389</v>
      </c>
      <c r="E24" s="1">
        <f>0.0156</f>
        <v>1.5599999999999999E-2</v>
      </c>
      <c r="F24" s="3"/>
      <c r="G24" s="1" t="s">
        <v>387</v>
      </c>
      <c r="H24" s="1" t="s">
        <v>388</v>
      </c>
      <c r="I24" s="1" t="s">
        <v>389</v>
      </c>
      <c r="J24" s="1">
        <v>1.5599999999999999E-2</v>
      </c>
      <c r="L24" s="1" t="s">
        <v>387</v>
      </c>
      <c r="M24" s="1" t="s">
        <v>388</v>
      </c>
      <c r="N24" s="1" t="s">
        <v>389</v>
      </c>
      <c r="O24" s="1">
        <v>1.5599999999999999E-2</v>
      </c>
    </row>
    <row r="25" spans="2:15">
      <c r="F25" s="3"/>
    </row>
    <row r="26" spans="2:15">
      <c r="B26" s="220" t="s">
        <v>390</v>
      </c>
      <c r="C26" s="221"/>
      <c r="D26" s="221"/>
      <c r="E26" s="224"/>
      <c r="F26" s="3"/>
      <c r="G26" s="220" t="s">
        <v>390</v>
      </c>
      <c r="H26" s="221"/>
      <c r="I26" s="221"/>
      <c r="J26" s="224"/>
      <c r="L26" s="220" t="s">
        <v>390</v>
      </c>
      <c r="M26" s="221"/>
      <c r="N26" s="221"/>
      <c r="O26" s="224"/>
    </row>
    <row r="27" spans="2:15">
      <c r="B27" s="1" t="s">
        <v>391</v>
      </c>
      <c r="C27" s="1" t="s">
        <v>392</v>
      </c>
      <c r="D27" s="1" t="s">
        <v>393</v>
      </c>
      <c r="E27" s="4">
        <f>E10*((E22*E21)+E23)*E24</f>
        <v>6151.6303653168006</v>
      </c>
      <c r="F27" s="3"/>
      <c r="G27" s="1" t="s">
        <v>391</v>
      </c>
      <c r="H27" s="1" t="s">
        <v>392</v>
      </c>
      <c r="I27" s="1" t="s">
        <v>393</v>
      </c>
      <c r="J27" s="4">
        <f>J10*((J22*J21)+J23)*J24</f>
        <v>3434.7360089951994</v>
      </c>
      <c r="L27" s="1" t="s">
        <v>391</v>
      </c>
      <c r="M27" s="1" t="s">
        <v>392</v>
      </c>
      <c r="N27" s="1" t="s">
        <v>393</v>
      </c>
      <c r="O27" s="4">
        <f>O10*((O22*O21)+O23)*O24</f>
        <v>2716.8943563215998</v>
      </c>
    </row>
    <row r="28" spans="2:15">
      <c r="B28" s="1" t="s">
        <v>394</v>
      </c>
      <c r="C28" s="1" t="s">
        <v>395</v>
      </c>
      <c r="D28" s="1" t="s">
        <v>393</v>
      </c>
      <c r="E28" s="4">
        <f>E18*((E22*E21)+E23)*E24</f>
        <v>0</v>
      </c>
      <c r="F28" s="3"/>
      <c r="G28" s="1" t="s">
        <v>394</v>
      </c>
      <c r="H28" s="1" t="s">
        <v>395</v>
      </c>
      <c r="I28" s="1" t="s">
        <v>393</v>
      </c>
      <c r="J28" s="4">
        <f>J18*((J22*J21)+J23)*J24</f>
        <v>0</v>
      </c>
      <c r="L28" s="1" t="s">
        <v>394</v>
      </c>
      <c r="M28" s="1" t="s">
        <v>395</v>
      </c>
      <c r="N28" s="1" t="s">
        <v>393</v>
      </c>
      <c r="O28" s="4">
        <f>O18*((O22*O21)+O23)*O24</f>
        <v>0</v>
      </c>
    </row>
    <row r="29" spans="2:15">
      <c r="B29" s="1" t="s">
        <v>412</v>
      </c>
      <c r="C29" s="1" t="s">
        <v>397</v>
      </c>
      <c r="D29" s="1" t="s">
        <v>355</v>
      </c>
      <c r="E29" s="181">
        <v>0.81730000000000003</v>
      </c>
      <c r="F29" s="3"/>
      <c r="G29" s="1" t="s">
        <v>412</v>
      </c>
      <c r="H29" s="1" t="s">
        <v>397</v>
      </c>
      <c r="I29" s="1" t="s">
        <v>355</v>
      </c>
      <c r="J29" s="181">
        <v>0.81730000000000003</v>
      </c>
      <c r="L29" s="1" t="s">
        <v>412</v>
      </c>
      <c r="M29" s="1" t="s">
        <v>397</v>
      </c>
      <c r="N29" s="1" t="s">
        <v>355</v>
      </c>
      <c r="O29" s="181">
        <v>0.81730000000000003</v>
      </c>
    </row>
    <row r="30" spans="2:15">
      <c r="B30" s="1" t="s">
        <v>398</v>
      </c>
      <c r="C30" s="1" t="s">
        <v>399</v>
      </c>
      <c r="D30" s="1" t="s">
        <v>393</v>
      </c>
      <c r="E30" s="1">
        <v>0</v>
      </c>
      <c r="F30" s="3"/>
      <c r="G30" s="1" t="s">
        <v>398</v>
      </c>
      <c r="H30" s="1" t="s">
        <v>399</v>
      </c>
      <c r="I30" s="1" t="s">
        <v>393</v>
      </c>
      <c r="J30" s="1">
        <v>0</v>
      </c>
      <c r="L30" s="1" t="s">
        <v>398</v>
      </c>
      <c r="M30" s="1" t="s">
        <v>399</v>
      </c>
      <c r="N30" s="1" t="s">
        <v>393</v>
      </c>
      <c r="O30" s="1">
        <v>0</v>
      </c>
    </row>
    <row r="31" spans="2:15">
      <c r="B31" s="1" t="s">
        <v>400</v>
      </c>
      <c r="C31" s="1" t="s">
        <v>401</v>
      </c>
      <c r="D31" s="1" t="s">
        <v>393</v>
      </c>
      <c r="E31" s="4">
        <f>((E27-E28)*E29)-E30</f>
        <v>5027.7274975734217</v>
      </c>
      <c r="F31" s="3"/>
      <c r="G31" s="1" t="s">
        <v>400</v>
      </c>
      <c r="H31" s="1" t="s">
        <v>401</v>
      </c>
      <c r="I31" s="1" t="s">
        <v>393</v>
      </c>
      <c r="J31" s="7">
        <f>((J27-J28)*J29)-J30</f>
        <v>2807.2097401517767</v>
      </c>
      <c r="L31" s="1" t="s">
        <v>400</v>
      </c>
      <c r="M31" s="1" t="s">
        <v>401</v>
      </c>
      <c r="N31" s="1" t="s">
        <v>393</v>
      </c>
      <c r="O31" s="7">
        <f>((O27-O28)*O29)-O30</f>
        <v>2220.5177574216436</v>
      </c>
    </row>
    <row r="32" spans="2:15">
      <c r="D32" s="5"/>
      <c r="F32" s="3"/>
      <c r="I32" s="5"/>
      <c r="N32" s="5"/>
    </row>
    <row r="33" spans="2:15">
      <c r="B33" s="225" t="s">
        <v>402</v>
      </c>
      <c r="C33" s="225"/>
      <c r="D33" s="225"/>
      <c r="E33" s="225"/>
      <c r="F33" s="3"/>
      <c r="G33" s="225" t="s">
        <v>402</v>
      </c>
      <c r="H33" s="225"/>
      <c r="I33" s="225"/>
      <c r="J33" s="225"/>
      <c r="L33" s="225" t="s">
        <v>402</v>
      </c>
      <c r="M33" s="225"/>
      <c r="N33" s="225"/>
      <c r="O33" s="225"/>
    </row>
    <row r="34" spans="2:15">
      <c r="B34" s="13" t="s">
        <v>403</v>
      </c>
      <c r="C34" s="1"/>
      <c r="D34" s="14"/>
      <c r="E34" s="23">
        <f>1-E35</f>
        <v>0.95</v>
      </c>
      <c r="F34" s="3"/>
      <c r="G34" s="13" t="s">
        <v>403</v>
      </c>
      <c r="H34" s="1"/>
      <c r="I34" s="14"/>
      <c r="J34" s="23">
        <f>1-J35</f>
        <v>0.95</v>
      </c>
      <c r="L34" s="13" t="s">
        <v>403</v>
      </c>
      <c r="M34" s="1"/>
      <c r="N34" s="14"/>
      <c r="O34" s="23">
        <f>1-O35</f>
        <v>0.95</v>
      </c>
    </row>
    <row r="35" spans="2:15">
      <c r="B35" s="13" t="s">
        <v>404</v>
      </c>
      <c r="C35" s="1" t="s">
        <v>405</v>
      </c>
      <c r="D35" s="14" t="s">
        <v>316</v>
      </c>
      <c r="E35" s="23">
        <v>0.05</v>
      </c>
      <c r="F35" s="3"/>
      <c r="G35" s="13" t="s">
        <v>404</v>
      </c>
      <c r="H35" s="1" t="s">
        <v>405</v>
      </c>
      <c r="I35" s="14" t="s">
        <v>316</v>
      </c>
      <c r="J35" s="23">
        <v>0.05</v>
      </c>
      <c r="L35" s="13" t="s">
        <v>404</v>
      </c>
      <c r="M35" s="1" t="s">
        <v>405</v>
      </c>
      <c r="N35" s="14" t="s">
        <v>316</v>
      </c>
      <c r="O35" s="23">
        <v>0.05</v>
      </c>
    </row>
    <row r="36" spans="2:15">
      <c r="B36" s="15" t="s">
        <v>400</v>
      </c>
      <c r="C36" s="15" t="s">
        <v>407</v>
      </c>
      <c r="D36" s="15" t="s">
        <v>393</v>
      </c>
      <c r="E36" s="25">
        <f>E31*(1-E35)</f>
        <v>4776.3411226947501</v>
      </c>
      <c r="F36" s="3"/>
      <c r="G36" s="15" t="s">
        <v>400</v>
      </c>
      <c r="H36" s="15" t="s">
        <v>407</v>
      </c>
      <c r="I36" s="15" t="s">
        <v>393</v>
      </c>
      <c r="J36" s="25">
        <f>J31*(1-J35)</f>
        <v>2666.849253144188</v>
      </c>
      <c r="L36" s="15" t="s">
        <v>400</v>
      </c>
      <c r="M36" s="15" t="s">
        <v>407</v>
      </c>
      <c r="N36" s="15" t="s">
        <v>393</v>
      </c>
      <c r="O36" s="25">
        <f>O31*(1-O35)</f>
        <v>2109.4918695505612</v>
      </c>
    </row>
    <row r="37" spans="2:15">
      <c r="B37" s="21" t="s">
        <v>413</v>
      </c>
      <c r="C37" s="20" t="s">
        <v>407</v>
      </c>
      <c r="D37" s="20" t="s">
        <v>393</v>
      </c>
      <c r="E37" s="26">
        <f>J37+O37</f>
        <v>4775</v>
      </c>
      <c r="F37" s="3"/>
      <c r="G37" s="21" t="s">
        <v>413</v>
      </c>
      <c r="H37" s="20" t="s">
        <v>407</v>
      </c>
      <c r="I37" s="20" t="s">
        <v>393</v>
      </c>
      <c r="J37" s="26">
        <f>_xlfn.FLOOR.MATH(J36)</f>
        <v>2666</v>
      </c>
      <c r="L37" s="21" t="s">
        <v>413</v>
      </c>
      <c r="M37" s="20" t="s">
        <v>407</v>
      </c>
      <c r="N37" s="20" t="s">
        <v>393</v>
      </c>
      <c r="O37" s="26">
        <f>_xlfn.FLOOR.MATH(O36)</f>
        <v>2109</v>
      </c>
    </row>
    <row r="38" spans="2:15">
      <c r="C38" s="223"/>
      <c r="D38" s="223"/>
      <c r="F38" s="3"/>
      <c r="H38" s="223"/>
      <c r="I38" s="223"/>
      <c r="M38" s="223"/>
      <c r="N38" s="223"/>
    </row>
    <row r="39" spans="2:15">
      <c r="I39" s="27"/>
    </row>
    <row r="41" spans="2:15">
      <c r="E41" s="16"/>
      <c r="J41" s="16"/>
      <c r="O41" s="16"/>
    </row>
  </sheetData>
  <mergeCells count="21">
    <mergeCell ref="B2:E2"/>
    <mergeCell ref="G2:J2"/>
    <mergeCell ref="L2:O2"/>
    <mergeCell ref="B4:E4"/>
    <mergeCell ref="G4:J4"/>
    <mergeCell ref="L4:O4"/>
    <mergeCell ref="B12:E12"/>
    <mergeCell ref="G12:J12"/>
    <mergeCell ref="L12:O12"/>
    <mergeCell ref="B20:E20"/>
    <mergeCell ref="G20:J20"/>
    <mergeCell ref="L20:O20"/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45259-9515-4663-A66A-2EC443E01643}">
  <dimension ref="A2:P41"/>
  <sheetViews>
    <sheetView showGridLines="0" topLeftCell="A4" zoomScale="50" zoomScaleNormal="50" workbookViewId="0">
      <selection activeCell="B29" sqref="B29:O29"/>
    </sheetView>
  </sheetViews>
  <sheetFormatPr defaultRowHeight="14.5"/>
  <cols>
    <col min="2" max="2" width="60.7265625" bestFit="1" customWidth="1"/>
    <col min="3" max="3" width="18.26953125" bestFit="1" customWidth="1"/>
    <col min="4" max="4" width="12.453125" bestFit="1" customWidth="1"/>
    <col min="5" max="5" width="12.7265625" customWidth="1"/>
    <col min="6" max="6" width="7.26953125" customWidth="1"/>
    <col min="7" max="7" width="60.7265625" bestFit="1" customWidth="1"/>
    <col min="8" max="8" width="18.26953125" bestFit="1" customWidth="1"/>
    <col min="9" max="9" width="12.453125" bestFit="1" customWidth="1"/>
    <col min="10" max="10" width="12.54296875" customWidth="1"/>
    <col min="11" max="11" width="5" customWidth="1"/>
    <col min="12" max="12" width="60.7265625" bestFit="1" customWidth="1"/>
    <col min="13" max="13" width="18.26953125" bestFit="1" customWidth="1"/>
    <col min="14" max="14" width="12.453125" bestFit="1" customWidth="1"/>
    <col min="15" max="15" width="12.26953125" customWidth="1"/>
  </cols>
  <sheetData>
    <row r="2" spans="1:16" ht="15" customHeight="1">
      <c r="B2" s="222" t="s">
        <v>435</v>
      </c>
      <c r="C2" s="222"/>
      <c r="D2" s="222"/>
      <c r="E2" s="222"/>
      <c r="G2" s="222" t="s">
        <v>408</v>
      </c>
      <c r="H2" s="222"/>
      <c r="I2" s="222"/>
      <c r="J2" s="222"/>
      <c r="L2" s="222" t="s">
        <v>434</v>
      </c>
      <c r="M2" s="222"/>
      <c r="N2" s="222"/>
      <c r="O2" s="222"/>
    </row>
    <row r="4" spans="1:16">
      <c r="A4" s="3"/>
      <c r="B4" s="220" t="s">
        <v>352</v>
      </c>
      <c r="C4" s="221"/>
      <c r="D4" s="221"/>
      <c r="E4" s="224"/>
      <c r="F4" s="3"/>
      <c r="G4" s="220" t="s">
        <v>352</v>
      </c>
      <c r="H4" s="221"/>
      <c r="I4" s="221"/>
      <c r="J4" s="224"/>
      <c r="K4" s="3"/>
      <c r="L4" s="220" t="s">
        <v>352</v>
      </c>
      <c r="M4" s="221"/>
      <c r="N4" s="221"/>
      <c r="O4" s="224"/>
      <c r="P4" s="3"/>
    </row>
    <row r="5" spans="1:16">
      <c r="B5" s="1" t="s">
        <v>353</v>
      </c>
      <c r="C5" s="1" t="s">
        <v>354</v>
      </c>
      <c r="D5" s="1" t="s">
        <v>355</v>
      </c>
      <c r="E5" s="38">
        <v>0.02</v>
      </c>
      <c r="F5" s="3"/>
      <c r="G5" s="1" t="s">
        <v>353</v>
      </c>
      <c r="H5" s="1" t="s">
        <v>354</v>
      </c>
      <c r="I5" s="1" t="s">
        <v>355</v>
      </c>
      <c r="J5" s="38">
        <v>0.02</v>
      </c>
      <c r="L5" s="1" t="s">
        <v>353</v>
      </c>
      <c r="M5" s="1" t="s">
        <v>354</v>
      </c>
      <c r="N5" s="1" t="s">
        <v>355</v>
      </c>
      <c r="O5" s="113">
        <f>J5</f>
        <v>0.02</v>
      </c>
    </row>
    <row r="6" spans="1:16">
      <c r="B6" s="1" t="s">
        <v>409</v>
      </c>
      <c r="C6" s="1" t="s">
        <v>357</v>
      </c>
      <c r="D6" s="1"/>
      <c r="E6" s="4">
        <f>'Total PTDs'!R122*0.95</f>
        <v>1320690</v>
      </c>
      <c r="F6" s="3"/>
      <c r="G6" s="1" t="s">
        <v>409</v>
      </c>
      <c r="H6" s="1" t="s">
        <v>357</v>
      </c>
      <c r="I6" s="1"/>
      <c r="J6" s="4">
        <f>'Total PTDs'!P122*0.95</f>
        <v>770070</v>
      </c>
      <c r="L6" s="1" t="s">
        <v>409</v>
      </c>
      <c r="M6" s="1" t="s">
        <v>357</v>
      </c>
      <c r="N6" s="1"/>
      <c r="O6" s="4">
        <f>'Total PTDs'!Q122*0.95</f>
        <v>550620</v>
      </c>
    </row>
    <row r="7" spans="1:16">
      <c r="B7" s="1" t="s">
        <v>358</v>
      </c>
      <c r="C7" s="1" t="s">
        <v>359</v>
      </c>
      <c r="D7" s="1" t="s">
        <v>360</v>
      </c>
      <c r="E7" s="12">
        <f>J7</f>
        <v>4.0000000000000002E-4</v>
      </c>
      <c r="F7" s="3"/>
      <c r="G7" s="1" t="s">
        <v>358</v>
      </c>
      <c r="H7" s="1" t="s">
        <v>359</v>
      </c>
      <c r="I7" s="1" t="s">
        <v>360</v>
      </c>
      <c r="J7" s="12">
        <v>4.0000000000000002E-4</v>
      </c>
      <c r="L7" s="1" t="s">
        <v>358</v>
      </c>
      <c r="M7" s="1" t="s">
        <v>359</v>
      </c>
      <c r="N7" s="1" t="s">
        <v>360</v>
      </c>
      <c r="O7" s="12">
        <f>J7</f>
        <v>4.0000000000000002E-4</v>
      </c>
    </row>
    <row r="8" spans="1:16" ht="29">
      <c r="B8" s="2" t="s">
        <v>410</v>
      </c>
      <c r="C8" s="1" t="s">
        <v>362</v>
      </c>
      <c r="D8" s="1" t="s">
        <v>363</v>
      </c>
      <c r="E8" s="1">
        <v>7.5</v>
      </c>
      <c r="F8" s="3"/>
      <c r="G8" s="2" t="s">
        <v>410</v>
      </c>
      <c r="H8" s="1" t="s">
        <v>362</v>
      </c>
      <c r="I8" s="1" t="s">
        <v>363</v>
      </c>
      <c r="J8" s="1">
        <v>7.5</v>
      </c>
      <c r="L8" s="2" t="s">
        <v>410</v>
      </c>
      <c r="M8" s="1" t="s">
        <v>362</v>
      </c>
      <c r="N8" s="1" t="s">
        <v>363</v>
      </c>
      <c r="O8" s="1">
        <v>7.5</v>
      </c>
    </row>
    <row r="9" spans="1:16">
      <c r="B9" s="2" t="s">
        <v>364</v>
      </c>
      <c r="C9" s="1" t="s">
        <v>365</v>
      </c>
      <c r="D9" s="1" t="s">
        <v>363</v>
      </c>
      <c r="E9" s="1">
        <v>0</v>
      </c>
      <c r="F9" s="3"/>
      <c r="G9" s="2" t="s">
        <v>364</v>
      </c>
      <c r="H9" s="1" t="s">
        <v>365</v>
      </c>
      <c r="I9" s="1" t="s">
        <v>363</v>
      </c>
      <c r="J9" s="1">
        <v>0</v>
      </c>
      <c r="L9" s="2" t="s">
        <v>364</v>
      </c>
      <c r="M9" s="1" t="s">
        <v>365</v>
      </c>
      <c r="N9" s="1" t="s">
        <v>363</v>
      </c>
      <c r="O9" s="1">
        <v>0</v>
      </c>
    </row>
    <row r="10" spans="1:16">
      <c r="B10" s="1" t="s">
        <v>366</v>
      </c>
      <c r="C10" s="1" t="s">
        <v>367</v>
      </c>
      <c r="D10" s="1" t="s">
        <v>368</v>
      </c>
      <c r="E10" s="4">
        <f>(1-E5)*E6*E7*(E8+E9)</f>
        <v>3882.8285999999998</v>
      </c>
      <c r="F10" s="3"/>
      <c r="G10" s="1" t="s">
        <v>366</v>
      </c>
      <c r="H10" s="1" t="s">
        <v>367</v>
      </c>
      <c r="I10" s="1" t="s">
        <v>368</v>
      </c>
      <c r="J10" s="7">
        <f>(1-J5)*J6*J7*(J8+J9)</f>
        <v>2264.0057999999999</v>
      </c>
      <c r="L10" s="1" t="s">
        <v>366</v>
      </c>
      <c r="M10" s="1" t="s">
        <v>367</v>
      </c>
      <c r="N10" s="1" t="s">
        <v>368</v>
      </c>
      <c r="O10" s="7">
        <f>(1-O5)*O6*O7*(O8+O9)</f>
        <v>1618.8227999999999</v>
      </c>
    </row>
    <row r="11" spans="1:16">
      <c r="F11" s="3"/>
    </row>
    <row r="12" spans="1:16">
      <c r="B12" s="220" t="s">
        <v>369</v>
      </c>
      <c r="C12" s="221"/>
      <c r="D12" s="221"/>
      <c r="E12" s="224"/>
      <c r="F12" s="3"/>
      <c r="G12" s="220" t="s">
        <v>369</v>
      </c>
      <c r="H12" s="221"/>
      <c r="I12" s="221"/>
      <c r="J12" s="224"/>
      <c r="L12" s="220" t="s">
        <v>369</v>
      </c>
      <c r="M12" s="221"/>
      <c r="N12" s="221"/>
      <c r="O12" s="224"/>
    </row>
    <row r="13" spans="1:16">
      <c r="B13" s="1" t="s">
        <v>370</v>
      </c>
      <c r="C13" s="1" t="s">
        <v>354</v>
      </c>
      <c r="D13" s="1" t="s">
        <v>355</v>
      </c>
      <c r="E13" s="38">
        <v>0.02</v>
      </c>
      <c r="F13" s="3"/>
      <c r="G13" s="1" t="s">
        <v>370</v>
      </c>
      <c r="H13" s="1" t="s">
        <v>354</v>
      </c>
      <c r="I13" s="1" t="s">
        <v>355</v>
      </c>
      <c r="J13" s="113">
        <f>J5</f>
        <v>0.02</v>
      </c>
      <c r="L13" s="1" t="s">
        <v>370</v>
      </c>
      <c r="M13" s="1" t="s">
        <v>354</v>
      </c>
      <c r="N13" s="1" t="s">
        <v>355</v>
      </c>
      <c r="O13" s="113">
        <f>O5</f>
        <v>0.02</v>
      </c>
    </row>
    <row r="14" spans="1:16">
      <c r="B14" s="1" t="s">
        <v>409</v>
      </c>
      <c r="C14" s="1" t="s">
        <v>357</v>
      </c>
      <c r="D14" s="1"/>
      <c r="E14" s="4">
        <f>E6</f>
        <v>1320690</v>
      </c>
      <c r="F14" s="3"/>
      <c r="G14" s="1" t="s">
        <v>409</v>
      </c>
      <c r="H14" s="1" t="s">
        <v>357</v>
      </c>
      <c r="I14" s="1"/>
      <c r="J14" s="4">
        <f>J6</f>
        <v>770070</v>
      </c>
      <c r="L14" s="1" t="s">
        <v>409</v>
      </c>
      <c r="M14" s="1" t="s">
        <v>357</v>
      </c>
      <c r="N14" s="1"/>
      <c r="O14" s="4">
        <f>O6</f>
        <v>550620</v>
      </c>
    </row>
    <row r="15" spans="1:16">
      <c r="B15" s="1" t="s">
        <v>371</v>
      </c>
      <c r="C15" s="1" t="s">
        <v>372</v>
      </c>
      <c r="D15" s="1" t="s">
        <v>360</v>
      </c>
      <c r="E15" s="12">
        <f>E7</f>
        <v>4.0000000000000002E-4</v>
      </c>
      <c r="F15" s="3"/>
      <c r="G15" s="1" t="s">
        <v>371</v>
      </c>
      <c r="H15" s="1" t="s">
        <v>372</v>
      </c>
      <c r="I15" s="1" t="s">
        <v>360</v>
      </c>
      <c r="J15" s="12">
        <f>J7</f>
        <v>4.0000000000000002E-4</v>
      </c>
      <c r="L15" s="1" t="s">
        <v>371</v>
      </c>
      <c r="M15" s="1" t="s">
        <v>372</v>
      </c>
      <c r="N15" s="1" t="s">
        <v>360</v>
      </c>
      <c r="O15" s="12">
        <f>O7</f>
        <v>4.0000000000000002E-4</v>
      </c>
    </row>
    <row r="16" spans="1:16">
      <c r="B16" s="1" t="s">
        <v>373</v>
      </c>
      <c r="C16" s="1" t="s">
        <v>365</v>
      </c>
      <c r="D16" s="1" t="s">
        <v>363</v>
      </c>
      <c r="E16" s="1">
        <v>0</v>
      </c>
      <c r="F16" s="3"/>
      <c r="G16" s="1" t="s">
        <v>373</v>
      </c>
      <c r="H16" s="1" t="s">
        <v>365</v>
      </c>
      <c r="I16" s="1" t="s">
        <v>363</v>
      </c>
      <c r="J16" s="1">
        <v>0</v>
      </c>
      <c r="L16" s="1" t="s">
        <v>373</v>
      </c>
      <c r="M16" s="1" t="s">
        <v>365</v>
      </c>
      <c r="N16" s="1" t="s">
        <v>363</v>
      </c>
      <c r="O16" s="1">
        <v>0</v>
      </c>
    </row>
    <row r="17" spans="2:15">
      <c r="B17" s="1" t="s">
        <v>374</v>
      </c>
      <c r="C17" s="1" t="s">
        <v>375</v>
      </c>
      <c r="D17" s="1" t="s">
        <v>363</v>
      </c>
      <c r="E17" s="22">
        <v>0</v>
      </c>
      <c r="F17" s="3"/>
      <c r="G17" s="1" t="s">
        <v>374</v>
      </c>
      <c r="H17" s="1" t="s">
        <v>375</v>
      </c>
      <c r="I17" s="1" t="s">
        <v>363</v>
      </c>
      <c r="J17" s="22">
        <v>0</v>
      </c>
      <c r="L17" s="1" t="s">
        <v>374</v>
      </c>
      <c r="M17" s="1" t="s">
        <v>375</v>
      </c>
      <c r="N17" s="1" t="s">
        <v>363</v>
      </c>
      <c r="O17" s="22">
        <v>0</v>
      </c>
    </row>
    <row r="18" spans="2:15">
      <c r="B18" s="1" t="s">
        <v>376</v>
      </c>
      <c r="C18" s="1" t="s">
        <v>377</v>
      </c>
      <c r="D18" s="1" t="s">
        <v>368</v>
      </c>
      <c r="E18" s="7">
        <f>(1-E13)*E14*E15*(E16+E17)</f>
        <v>0</v>
      </c>
      <c r="F18" s="3"/>
      <c r="G18" s="1" t="s">
        <v>376</v>
      </c>
      <c r="H18" s="1" t="s">
        <v>377</v>
      </c>
      <c r="I18" s="1" t="s">
        <v>368</v>
      </c>
      <c r="J18" s="7">
        <f>(1-J13)*J14*J15*(J16+J17)</f>
        <v>0</v>
      </c>
      <c r="L18" s="1" t="s">
        <v>376</v>
      </c>
      <c r="M18" s="1" t="s">
        <v>377</v>
      </c>
      <c r="N18" s="1" t="s">
        <v>368</v>
      </c>
      <c r="O18" s="7">
        <f>(1-O13)*O14*O15*(O16+O17)</f>
        <v>0</v>
      </c>
    </row>
    <row r="19" spans="2:15">
      <c r="F19" s="3"/>
    </row>
    <row r="20" spans="2:15">
      <c r="B20" s="220" t="s">
        <v>378</v>
      </c>
      <c r="C20" s="221"/>
      <c r="D20" s="221"/>
      <c r="E20" s="224"/>
      <c r="F20" s="3"/>
      <c r="G20" s="220" t="s">
        <v>378</v>
      </c>
      <c r="H20" s="221"/>
      <c r="I20" s="221"/>
      <c r="J20" s="224"/>
      <c r="L20" s="220" t="s">
        <v>378</v>
      </c>
      <c r="M20" s="221"/>
      <c r="N20" s="221"/>
      <c r="O20" s="224"/>
    </row>
    <row r="21" spans="2:15">
      <c r="B21" s="2" t="s">
        <v>379</v>
      </c>
      <c r="C21" s="1" t="s">
        <v>379</v>
      </c>
      <c r="D21" s="1" t="s">
        <v>380</v>
      </c>
      <c r="E21" s="8">
        <v>0.95</v>
      </c>
      <c r="F21" s="3"/>
      <c r="G21" s="2" t="s">
        <v>379</v>
      </c>
      <c r="H21" s="1" t="s">
        <v>379</v>
      </c>
      <c r="I21" s="1" t="s">
        <v>380</v>
      </c>
      <c r="J21" s="8">
        <v>0.95</v>
      </c>
      <c r="L21" s="2" t="s">
        <v>379</v>
      </c>
      <c r="M21" s="1" t="s">
        <v>379</v>
      </c>
      <c r="N21" s="1" t="s">
        <v>380</v>
      </c>
      <c r="O21" s="8">
        <v>0.95</v>
      </c>
    </row>
    <row r="22" spans="2:15">
      <c r="B22" s="1" t="s">
        <v>381</v>
      </c>
      <c r="C22" s="1" t="s">
        <v>382</v>
      </c>
      <c r="D22" s="1" t="s">
        <v>383</v>
      </c>
      <c r="E22" s="1">
        <v>112</v>
      </c>
      <c r="F22" s="3"/>
      <c r="G22" s="1" t="s">
        <v>381</v>
      </c>
      <c r="H22" s="1" t="s">
        <v>382</v>
      </c>
      <c r="I22" s="1" t="s">
        <v>383</v>
      </c>
      <c r="J22" s="1">
        <v>112</v>
      </c>
      <c r="L22" s="1" t="s">
        <v>381</v>
      </c>
      <c r="M22" s="1" t="s">
        <v>382</v>
      </c>
      <c r="N22" s="1" t="s">
        <v>383</v>
      </c>
      <c r="O22" s="1">
        <v>112</v>
      </c>
    </row>
    <row r="23" spans="2:15">
      <c r="B23" s="1" t="s">
        <v>411</v>
      </c>
      <c r="C23" s="1" t="s">
        <v>385</v>
      </c>
      <c r="D23" s="1" t="s">
        <v>386</v>
      </c>
      <c r="E23" s="171">
        <f>(J6*J23+O6*O23)/E6</f>
        <v>9.4600000000000009</v>
      </c>
      <c r="F23" s="3"/>
      <c r="G23" s="1" t="s">
        <v>384</v>
      </c>
      <c r="H23" s="1" t="s">
        <v>385</v>
      </c>
      <c r="I23" s="1" t="s">
        <v>386</v>
      </c>
      <c r="J23" s="1">
        <v>9.4600000000000009</v>
      </c>
      <c r="L23" s="1" t="s">
        <v>384</v>
      </c>
      <c r="M23" s="1" t="s">
        <v>385</v>
      </c>
      <c r="N23" s="1" t="s">
        <v>386</v>
      </c>
      <c r="O23" s="1">
        <f>9.46</f>
        <v>9.4600000000000009</v>
      </c>
    </row>
    <row r="24" spans="2:15">
      <c r="B24" s="1" t="s">
        <v>387</v>
      </c>
      <c r="C24" s="1" t="s">
        <v>388</v>
      </c>
      <c r="D24" s="1" t="s">
        <v>389</v>
      </c>
      <c r="E24" s="1">
        <f>0.0156</f>
        <v>1.5599999999999999E-2</v>
      </c>
      <c r="F24" s="3"/>
      <c r="G24" s="1" t="s">
        <v>387</v>
      </c>
      <c r="H24" s="1" t="s">
        <v>388</v>
      </c>
      <c r="I24" s="1" t="s">
        <v>389</v>
      </c>
      <c r="J24" s="1">
        <v>1.5599999999999999E-2</v>
      </c>
      <c r="L24" s="1" t="s">
        <v>387</v>
      </c>
      <c r="M24" s="1" t="s">
        <v>388</v>
      </c>
      <c r="N24" s="1" t="s">
        <v>389</v>
      </c>
      <c r="O24" s="1">
        <v>1.5599999999999999E-2</v>
      </c>
    </row>
    <row r="25" spans="2:15">
      <c r="F25" s="3"/>
    </row>
    <row r="26" spans="2:15">
      <c r="B26" s="220" t="s">
        <v>390</v>
      </c>
      <c r="C26" s="221"/>
      <c r="D26" s="221"/>
      <c r="E26" s="224"/>
      <c r="F26" s="3"/>
      <c r="G26" s="220" t="s">
        <v>390</v>
      </c>
      <c r="H26" s="221"/>
      <c r="I26" s="221"/>
      <c r="J26" s="224"/>
      <c r="L26" s="220" t="s">
        <v>390</v>
      </c>
      <c r="M26" s="221"/>
      <c r="N26" s="221"/>
      <c r="O26" s="224"/>
    </row>
    <row r="27" spans="2:15">
      <c r="B27" s="1" t="s">
        <v>391</v>
      </c>
      <c r="C27" s="1" t="s">
        <v>392</v>
      </c>
      <c r="D27" s="1" t="s">
        <v>393</v>
      </c>
      <c r="E27" s="4">
        <f>E10*((E22*E21)+E23)*E24</f>
        <v>7017.8865368975985</v>
      </c>
      <c r="F27" s="3"/>
      <c r="G27" s="1" t="s">
        <v>391</v>
      </c>
      <c r="H27" s="1" t="s">
        <v>392</v>
      </c>
      <c r="I27" s="1" t="s">
        <v>393</v>
      </c>
      <c r="J27" s="4">
        <f>J10*((J22*J21)+J23)*J24</f>
        <v>4092.0003070127991</v>
      </c>
      <c r="L27" s="1" t="s">
        <v>391</v>
      </c>
      <c r="M27" s="1" t="s">
        <v>392</v>
      </c>
      <c r="N27" s="1" t="s">
        <v>393</v>
      </c>
      <c r="O27" s="4">
        <f>O10*((O22*O21)+O23)*O24</f>
        <v>2925.8862298847989</v>
      </c>
    </row>
    <row r="28" spans="2:15">
      <c r="B28" s="1" t="s">
        <v>394</v>
      </c>
      <c r="C28" s="1" t="s">
        <v>395</v>
      </c>
      <c r="D28" s="1" t="s">
        <v>393</v>
      </c>
      <c r="E28" s="4">
        <f>E18*((E22*E21)+E23)*E24</f>
        <v>0</v>
      </c>
      <c r="F28" s="3"/>
      <c r="G28" s="1" t="s">
        <v>394</v>
      </c>
      <c r="H28" s="1" t="s">
        <v>395</v>
      </c>
      <c r="I28" s="1" t="s">
        <v>393</v>
      </c>
      <c r="J28" s="4">
        <f>J18*((J22*J21)+J23)*J24</f>
        <v>0</v>
      </c>
      <c r="L28" s="1" t="s">
        <v>394</v>
      </c>
      <c r="M28" s="1" t="s">
        <v>395</v>
      </c>
      <c r="N28" s="1" t="s">
        <v>393</v>
      </c>
      <c r="O28" s="4">
        <f>O18*((O22*O21)+O23)*O24</f>
        <v>0</v>
      </c>
    </row>
    <row r="29" spans="2:15">
      <c r="B29" s="1" t="s">
        <v>412</v>
      </c>
      <c r="C29" s="1" t="s">
        <v>397</v>
      </c>
      <c r="D29" s="1" t="s">
        <v>355</v>
      </c>
      <c r="E29" s="181">
        <v>0.81730000000000003</v>
      </c>
      <c r="F29" s="3"/>
      <c r="G29" s="1" t="s">
        <v>412</v>
      </c>
      <c r="H29" s="1" t="s">
        <v>397</v>
      </c>
      <c r="I29" s="1" t="s">
        <v>355</v>
      </c>
      <c r="J29" s="181">
        <v>0.81730000000000003</v>
      </c>
      <c r="L29" s="1" t="s">
        <v>412</v>
      </c>
      <c r="M29" s="1" t="s">
        <v>397</v>
      </c>
      <c r="N29" s="1" t="s">
        <v>355</v>
      </c>
      <c r="O29" s="181">
        <v>0.81730000000000003</v>
      </c>
    </row>
    <row r="30" spans="2:15">
      <c r="B30" s="1" t="s">
        <v>398</v>
      </c>
      <c r="C30" s="1" t="s">
        <v>399</v>
      </c>
      <c r="D30" s="1" t="s">
        <v>393</v>
      </c>
      <c r="E30" s="1">
        <v>0</v>
      </c>
      <c r="F30" s="3"/>
      <c r="G30" s="1" t="s">
        <v>398</v>
      </c>
      <c r="H30" s="1" t="s">
        <v>399</v>
      </c>
      <c r="I30" s="1" t="s">
        <v>393</v>
      </c>
      <c r="J30" s="1">
        <v>0</v>
      </c>
      <c r="L30" s="1" t="s">
        <v>398</v>
      </c>
      <c r="M30" s="1" t="s">
        <v>399</v>
      </c>
      <c r="N30" s="1" t="s">
        <v>393</v>
      </c>
      <c r="O30" s="1">
        <v>0</v>
      </c>
    </row>
    <row r="31" spans="2:15">
      <c r="B31" s="1" t="s">
        <v>400</v>
      </c>
      <c r="C31" s="1" t="s">
        <v>401</v>
      </c>
      <c r="D31" s="1" t="s">
        <v>393</v>
      </c>
      <c r="E31" s="4">
        <f>((E27-E28)*E29)-E30</f>
        <v>5735.7186666064072</v>
      </c>
      <c r="F31" s="3"/>
      <c r="G31" s="1" t="s">
        <v>400</v>
      </c>
      <c r="H31" s="1" t="s">
        <v>401</v>
      </c>
      <c r="I31" s="1" t="s">
        <v>393</v>
      </c>
      <c r="J31" s="7">
        <f>((J27-J28)*J29)-J30</f>
        <v>3344.3918509215609</v>
      </c>
      <c r="L31" s="1" t="s">
        <v>400</v>
      </c>
      <c r="M31" s="1" t="s">
        <v>401</v>
      </c>
      <c r="N31" s="1" t="s">
        <v>393</v>
      </c>
      <c r="O31" s="7">
        <f>((O27-O28)*O29)-O30</f>
        <v>2391.3268156848462</v>
      </c>
    </row>
    <row r="32" spans="2:15">
      <c r="D32" s="5"/>
      <c r="F32" s="3"/>
      <c r="I32" s="5"/>
      <c r="N32" s="5"/>
    </row>
    <row r="33" spans="2:15">
      <c r="B33" s="225" t="s">
        <v>402</v>
      </c>
      <c r="C33" s="225"/>
      <c r="D33" s="225"/>
      <c r="E33" s="225"/>
      <c r="F33" s="3"/>
      <c r="G33" s="225" t="s">
        <v>402</v>
      </c>
      <c r="H33" s="225"/>
      <c r="I33" s="225"/>
      <c r="J33" s="225"/>
      <c r="L33" s="225" t="s">
        <v>402</v>
      </c>
      <c r="M33" s="225"/>
      <c r="N33" s="225"/>
      <c r="O33" s="225"/>
    </row>
    <row r="34" spans="2:15">
      <c r="B34" s="13" t="s">
        <v>403</v>
      </c>
      <c r="C34" s="1"/>
      <c r="D34" s="14"/>
      <c r="E34" s="23">
        <f>1-E35</f>
        <v>0.95</v>
      </c>
      <c r="F34" s="3"/>
      <c r="G34" s="13" t="s">
        <v>403</v>
      </c>
      <c r="H34" s="1"/>
      <c r="I34" s="14"/>
      <c r="J34" s="23">
        <f>1-J35</f>
        <v>0.95</v>
      </c>
      <c r="L34" s="13" t="s">
        <v>403</v>
      </c>
      <c r="M34" s="1"/>
      <c r="N34" s="14"/>
      <c r="O34" s="23">
        <f>1-O35</f>
        <v>0.95</v>
      </c>
    </row>
    <row r="35" spans="2:15">
      <c r="B35" s="13" t="s">
        <v>404</v>
      </c>
      <c r="C35" s="1" t="s">
        <v>405</v>
      </c>
      <c r="D35" s="14" t="s">
        <v>316</v>
      </c>
      <c r="E35" s="23">
        <v>0.05</v>
      </c>
      <c r="F35" s="3"/>
      <c r="G35" s="13" t="s">
        <v>404</v>
      </c>
      <c r="H35" s="1" t="s">
        <v>405</v>
      </c>
      <c r="I35" s="14" t="s">
        <v>316</v>
      </c>
      <c r="J35" s="23">
        <v>0.05</v>
      </c>
      <c r="L35" s="13" t="s">
        <v>404</v>
      </c>
      <c r="M35" s="1" t="s">
        <v>405</v>
      </c>
      <c r="N35" s="14" t="s">
        <v>316</v>
      </c>
      <c r="O35" s="23">
        <v>0.05</v>
      </c>
    </row>
    <row r="36" spans="2:15">
      <c r="B36" s="15" t="s">
        <v>400</v>
      </c>
      <c r="C36" s="15" t="s">
        <v>407</v>
      </c>
      <c r="D36" s="15" t="s">
        <v>393</v>
      </c>
      <c r="E36" s="25">
        <f>E31*(1-E35)</f>
        <v>5448.9327332760868</v>
      </c>
      <c r="F36" s="3"/>
      <c r="G36" s="15" t="s">
        <v>400</v>
      </c>
      <c r="H36" s="15" t="s">
        <v>407</v>
      </c>
      <c r="I36" s="15" t="s">
        <v>393</v>
      </c>
      <c r="J36" s="25">
        <f>J31*(1-J35)</f>
        <v>3177.1722583754827</v>
      </c>
      <c r="L36" s="15" t="s">
        <v>400</v>
      </c>
      <c r="M36" s="15" t="s">
        <v>407</v>
      </c>
      <c r="N36" s="15" t="s">
        <v>393</v>
      </c>
      <c r="O36" s="25">
        <f>O31*(1-O35)</f>
        <v>2271.7604749006036</v>
      </c>
    </row>
    <row r="37" spans="2:15">
      <c r="B37" s="21" t="s">
        <v>413</v>
      </c>
      <c r="C37" s="20" t="s">
        <v>407</v>
      </c>
      <c r="D37" s="20" t="s">
        <v>393</v>
      </c>
      <c r="E37" s="26">
        <f>J37+O37</f>
        <v>5448</v>
      </c>
      <c r="F37" s="3"/>
      <c r="G37" s="21" t="s">
        <v>413</v>
      </c>
      <c r="H37" s="20" t="s">
        <v>407</v>
      </c>
      <c r="I37" s="20" t="s">
        <v>393</v>
      </c>
      <c r="J37" s="26">
        <f>_xlfn.FLOOR.MATH(J36)</f>
        <v>3177</v>
      </c>
      <c r="L37" s="21" t="s">
        <v>413</v>
      </c>
      <c r="M37" s="20" t="s">
        <v>407</v>
      </c>
      <c r="N37" s="20" t="s">
        <v>393</v>
      </c>
      <c r="O37" s="26">
        <f>_xlfn.FLOOR.MATH(O36)</f>
        <v>2271</v>
      </c>
    </row>
    <row r="38" spans="2:15">
      <c r="C38" s="223"/>
      <c r="D38" s="223"/>
      <c r="F38" s="3"/>
      <c r="H38" s="223"/>
      <c r="I38" s="223"/>
      <c r="M38" s="223"/>
      <c r="N38" s="223"/>
    </row>
    <row r="39" spans="2:15">
      <c r="I39" s="27"/>
    </row>
    <row r="41" spans="2:15">
      <c r="E41" s="16"/>
      <c r="J41" s="16"/>
      <c r="O41" s="16"/>
    </row>
  </sheetData>
  <mergeCells count="21">
    <mergeCell ref="B2:E2"/>
    <mergeCell ref="G2:J2"/>
    <mergeCell ref="L2:O2"/>
    <mergeCell ref="B4:E4"/>
    <mergeCell ref="G4:J4"/>
    <mergeCell ref="L4:O4"/>
    <mergeCell ref="B12:E12"/>
    <mergeCell ref="G12:J12"/>
    <mergeCell ref="L12:O12"/>
    <mergeCell ref="B20:E20"/>
    <mergeCell ref="G20:J20"/>
    <mergeCell ref="L20:O20"/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E5A51-E468-4130-9056-D209BBCEC228}">
  <dimension ref="A2:P41"/>
  <sheetViews>
    <sheetView showGridLines="0" zoomScale="50" zoomScaleNormal="50" workbookViewId="0">
      <selection activeCell="B29" sqref="B29:O29"/>
    </sheetView>
  </sheetViews>
  <sheetFormatPr defaultRowHeight="14.5"/>
  <cols>
    <col min="2" max="2" width="60.7265625" bestFit="1" customWidth="1"/>
    <col min="3" max="3" width="18.26953125" bestFit="1" customWidth="1"/>
    <col min="4" max="4" width="12.453125" bestFit="1" customWidth="1"/>
    <col min="5" max="5" width="12.7265625" customWidth="1"/>
    <col min="6" max="6" width="7.26953125" customWidth="1"/>
    <col min="7" max="7" width="60.7265625" bestFit="1" customWidth="1"/>
    <col min="8" max="8" width="18.26953125" bestFit="1" customWidth="1"/>
    <col min="9" max="9" width="12.453125" bestFit="1" customWidth="1"/>
    <col min="10" max="10" width="12.54296875" customWidth="1"/>
    <col min="11" max="11" width="5" customWidth="1"/>
    <col min="12" max="12" width="60.7265625" bestFit="1" customWidth="1"/>
    <col min="13" max="13" width="18.26953125" bestFit="1" customWidth="1"/>
    <col min="14" max="14" width="12.453125" bestFit="1" customWidth="1"/>
    <col min="15" max="15" width="12.26953125" customWidth="1"/>
  </cols>
  <sheetData>
    <row r="2" spans="1:16" ht="15" customHeight="1">
      <c r="B2" s="222" t="s">
        <v>435</v>
      </c>
      <c r="C2" s="222"/>
      <c r="D2" s="222"/>
      <c r="E2" s="222"/>
      <c r="G2" s="222" t="s">
        <v>408</v>
      </c>
      <c r="H2" s="222"/>
      <c r="I2" s="222"/>
      <c r="J2" s="222"/>
      <c r="L2" s="222" t="s">
        <v>434</v>
      </c>
      <c r="M2" s="222"/>
      <c r="N2" s="222"/>
      <c r="O2" s="222"/>
    </row>
    <row r="4" spans="1:16">
      <c r="A4" s="3"/>
      <c r="B4" s="220" t="s">
        <v>352</v>
      </c>
      <c r="C4" s="221"/>
      <c r="D4" s="221"/>
      <c r="E4" s="224"/>
      <c r="F4" s="3"/>
      <c r="G4" s="220" t="s">
        <v>352</v>
      </c>
      <c r="H4" s="221"/>
      <c r="I4" s="221"/>
      <c r="J4" s="224"/>
      <c r="K4" s="3"/>
      <c r="L4" s="220" t="s">
        <v>352</v>
      </c>
      <c r="M4" s="221"/>
      <c r="N4" s="221"/>
      <c r="O4" s="224"/>
      <c r="P4" s="3"/>
    </row>
    <row r="5" spans="1:16">
      <c r="B5" s="1" t="s">
        <v>353</v>
      </c>
      <c r="C5" s="1" t="s">
        <v>354</v>
      </c>
      <c r="D5" s="1" t="s">
        <v>355</v>
      </c>
      <c r="E5" s="38">
        <v>0.02</v>
      </c>
      <c r="F5" s="3"/>
      <c r="G5" s="1" t="s">
        <v>353</v>
      </c>
      <c r="H5" s="1" t="s">
        <v>354</v>
      </c>
      <c r="I5" s="1" t="s">
        <v>355</v>
      </c>
      <c r="J5" s="38">
        <v>0.02</v>
      </c>
      <c r="L5" s="1" t="s">
        <v>353</v>
      </c>
      <c r="M5" s="1" t="s">
        <v>354</v>
      </c>
      <c r="N5" s="1" t="s">
        <v>355</v>
      </c>
      <c r="O5" s="113">
        <f>J5</f>
        <v>0.02</v>
      </c>
    </row>
    <row r="6" spans="1:16">
      <c r="B6" s="1" t="s">
        <v>409</v>
      </c>
      <c r="C6" s="1" t="s">
        <v>357</v>
      </c>
      <c r="D6" s="1"/>
      <c r="E6" s="4">
        <f>'Total PTDs'!R138*0.95</f>
        <v>1365150</v>
      </c>
      <c r="F6" s="3"/>
      <c r="G6" s="1" t="s">
        <v>409</v>
      </c>
      <c r="H6" s="1" t="s">
        <v>357</v>
      </c>
      <c r="I6" s="1"/>
      <c r="J6" s="4">
        <f>'Total PTDs'!P138*0.95</f>
        <v>814530</v>
      </c>
      <c r="L6" s="1" t="s">
        <v>409</v>
      </c>
      <c r="M6" s="1" t="s">
        <v>357</v>
      </c>
      <c r="N6" s="1"/>
      <c r="O6" s="4">
        <f>'Total PTDs'!Q138*0.95</f>
        <v>550620</v>
      </c>
    </row>
    <row r="7" spans="1:16">
      <c r="B7" s="1" t="s">
        <v>358</v>
      </c>
      <c r="C7" s="1" t="s">
        <v>359</v>
      </c>
      <c r="D7" s="1" t="s">
        <v>360</v>
      </c>
      <c r="E7" s="12">
        <f>J7</f>
        <v>4.0000000000000002E-4</v>
      </c>
      <c r="F7" s="3"/>
      <c r="G7" s="1" t="s">
        <v>358</v>
      </c>
      <c r="H7" s="1" t="s">
        <v>359</v>
      </c>
      <c r="I7" s="1" t="s">
        <v>360</v>
      </c>
      <c r="J7" s="12">
        <v>4.0000000000000002E-4</v>
      </c>
      <c r="L7" s="1" t="s">
        <v>358</v>
      </c>
      <c r="M7" s="1" t="s">
        <v>359</v>
      </c>
      <c r="N7" s="1" t="s">
        <v>360</v>
      </c>
      <c r="O7" s="12">
        <f>J7</f>
        <v>4.0000000000000002E-4</v>
      </c>
    </row>
    <row r="8" spans="1:16" ht="29">
      <c r="B8" s="2" t="s">
        <v>410</v>
      </c>
      <c r="C8" s="1" t="s">
        <v>362</v>
      </c>
      <c r="D8" s="1" t="s">
        <v>363</v>
      </c>
      <c r="E8" s="1">
        <v>7.5</v>
      </c>
      <c r="F8" s="3"/>
      <c r="G8" s="2" t="s">
        <v>410</v>
      </c>
      <c r="H8" s="1" t="s">
        <v>362</v>
      </c>
      <c r="I8" s="1" t="s">
        <v>363</v>
      </c>
      <c r="J8" s="1">
        <v>7.5</v>
      </c>
      <c r="L8" s="2" t="s">
        <v>410</v>
      </c>
      <c r="M8" s="1" t="s">
        <v>362</v>
      </c>
      <c r="N8" s="1" t="s">
        <v>363</v>
      </c>
      <c r="O8" s="1">
        <v>7.5</v>
      </c>
    </row>
    <row r="9" spans="1:16">
      <c r="B9" s="2" t="s">
        <v>364</v>
      </c>
      <c r="C9" s="1" t="s">
        <v>365</v>
      </c>
      <c r="D9" s="1" t="s">
        <v>363</v>
      </c>
      <c r="E9" s="1">
        <v>0</v>
      </c>
      <c r="F9" s="3"/>
      <c r="G9" s="2" t="s">
        <v>364</v>
      </c>
      <c r="H9" s="1" t="s">
        <v>365</v>
      </c>
      <c r="I9" s="1" t="s">
        <v>363</v>
      </c>
      <c r="J9" s="1">
        <v>0</v>
      </c>
      <c r="L9" s="2" t="s">
        <v>364</v>
      </c>
      <c r="M9" s="1" t="s">
        <v>365</v>
      </c>
      <c r="N9" s="1" t="s">
        <v>363</v>
      </c>
      <c r="O9" s="1">
        <v>0</v>
      </c>
    </row>
    <row r="10" spans="1:16">
      <c r="B10" s="1" t="s">
        <v>366</v>
      </c>
      <c r="C10" s="1" t="s">
        <v>367</v>
      </c>
      <c r="D10" s="1" t="s">
        <v>368</v>
      </c>
      <c r="E10" s="4">
        <f>(1-E5)*E6*E7*(E8+E9)</f>
        <v>4013.5410000000006</v>
      </c>
      <c r="F10" s="3"/>
      <c r="G10" s="1" t="s">
        <v>366</v>
      </c>
      <c r="H10" s="1" t="s">
        <v>367</v>
      </c>
      <c r="I10" s="1" t="s">
        <v>368</v>
      </c>
      <c r="J10" s="7">
        <f>(1-J5)*J6*J7*(J8+J9)</f>
        <v>2394.7182000000003</v>
      </c>
      <c r="L10" s="1" t="s">
        <v>366</v>
      </c>
      <c r="M10" s="1" t="s">
        <v>367</v>
      </c>
      <c r="N10" s="1" t="s">
        <v>368</v>
      </c>
      <c r="O10" s="7">
        <f>(1-O5)*O6*O7*(O8+O9)</f>
        <v>1618.8227999999999</v>
      </c>
    </row>
    <row r="11" spans="1:16">
      <c r="F11" s="3"/>
    </row>
    <row r="12" spans="1:16">
      <c r="B12" s="220" t="s">
        <v>369</v>
      </c>
      <c r="C12" s="221"/>
      <c r="D12" s="221"/>
      <c r="E12" s="224"/>
      <c r="F12" s="3"/>
      <c r="G12" s="220" t="s">
        <v>369</v>
      </c>
      <c r="H12" s="221"/>
      <c r="I12" s="221"/>
      <c r="J12" s="224"/>
      <c r="L12" s="220" t="s">
        <v>369</v>
      </c>
      <c r="M12" s="221"/>
      <c r="N12" s="221"/>
      <c r="O12" s="224"/>
    </row>
    <row r="13" spans="1:16">
      <c r="B13" s="1" t="s">
        <v>370</v>
      </c>
      <c r="C13" s="1" t="s">
        <v>354</v>
      </c>
      <c r="D13" s="1" t="s">
        <v>355</v>
      </c>
      <c r="E13" s="38">
        <v>0.02</v>
      </c>
      <c r="F13" s="3"/>
      <c r="G13" s="1" t="s">
        <v>370</v>
      </c>
      <c r="H13" s="1" t="s">
        <v>354</v>
      </c>
      <c r="I13" s="1" t="s">
        <v>355</v>
      </c>
      <c r="J13" s="113">
        <f>J5</f>
        <v>0.02</v>
      </c>
      <c r="L13" s="1" t="s">
        <v>370</v>
      </c>
      <c r="M13" s="1" t="s">
        <v>354</v>
      </c>
      <c r="N13" s="1" t="s">
        <v>355</v>
      </c>
      <c r="O13" s="113">
        <f>O5</f>
        <v>0.02</v>
      </c>
    </row>
    <row r="14" spans="1:16">
      <c r="B14" s="1" t="s">
        <v>409</v>
      </c>
      <c r="C14" s="1" t="s">
        <v>357</v>
      </c>
      <c r="D14" s="1"/>
      <c r="E14" s="4">
        <f>E6</f>
        <v>1365150</v>
      </c>
      <c r="F14" s="3"/>
      <c r="G14" s="1" t="s">
        <v>409</v>
      </c>
      <c r="H14" s="1" t="s">
        <v>357</v>
      </c>
      <c r="I14" s="1"/>
      <c r="J14" s="4">
        <f>J6</f>
        <v>814530</v>
      </c>
      <c r="L14" s="1" t="s">
        <v>409</v>
      </c>
      <c r="M14" s="1" t="s">
        <v>357</v>
      </c>
      <c r="N14" s="1"/>
      <c r="O14" s="4">
        <f>O6</f>
        <v>550620</v>
      </c>
    </row>
    <row r="15" spans="1:16">
      <c r="B15" s="1" t="s">
        <v>371</v>
      </c>
      <c r="C15" s="1" t="s">
        <v>372</v>
      </c>
      <c r="D15" s="1" t="s">
        <v>360</v>
      </c>
      <c r="E15" s="12">
        <f>E7</f>
        <v>4.0000000000000002E-4</v>
      </c>
      <c r="F15" s="3"/>
      <c r="G15" s="1" t="s">
        <v>371</v>
      </c>
      <c r="H15" s="1" t="s">
        <v>372</v>
      </c>
      <c r="I15" s="1" t="s">
        <v>360</v>
      </c>
      <c r="J15" s="12">
        <f>J7</f>
        <v>4.0000000000000002E-4</v>
      </c>
      <c r="L15" s="1" t="s">
        <v>371</v>
      </c>
      <c r="M15" s="1" t="s">
        <v>372</v>
      </c>
      <c r="N15" s="1" t="s">
        <v>360</v>
      </c>
      <c r="O15" s="12">
        <f>O7</f>
        <v>4.0000000000000002E-4</v>
      </c>
    </row>
    <row r="16" spans="1:16">
      <c r="B16" s="1" t="s">
        <v>373</v>
      </c>
      <c r="C16" s="1" t="s">
        <v>365</v>
      </c>
      <c r="D16" s="1" t="s">
        <v>363</v>
      </c>
      <c r="E16" s="1">
        <v>0</v>
      </c>
      <c r="F16" s="3"/>
      <c r="G16" s="1" t="s">
        <v>373</v>
      </c>
      <c r="H16" s="1" t="s">
        <v>365</v>
      </c>
      <c r="I16" s="1" t="s">
        <v>363</v>
      </c>
      <c r="J16" s="1">
        <v>0</v>
      </c>
      <c r="L16" s="1" t="s">
        <v>373</v>
      </c>
      <c r="M16" s="1" t="s">
        <v>365</v>
      </c>
      <c r="N16" s="1" t="s">
        <v>363</v>
      </c>
      <c r="O16" s="1">
        <v>0</v>
      </c>
    </row>
    <row r="17" spans="2:15">
      <c r="B17" s="1" t="s">
        <v>374</v>
      </c>
      <c r="C17" s="1" t="s">
        <v>375</v>
      </c>
      <c r="D17" s="1" t="s">
        <v>363</v>
      </c>
      <c r="E17" s="22">
        <v>0</v>
      </c>
      <c r="F17" s="3"/>
      <c r="G17" s="1" t="s">
        <v>374</v>
      </c>
      <c r="H17" s="1" t="s">
        <v>375</v>
      </c>
      <c r="I17" s="1" t="s">
        <v>363</v>
      </c>
      <c r="J17" s="22">
        <v>0</v>
      </c>
      <c r="L17" s="1" t="s">
        <v>374</v>
      </c>
      <c r="M17" s="1" t="s">
        <v>375</v>
      </c>
      <c r="N17" s="1" t="s">
        <v>363</v>
      </c>
      <c r="O17" s="22">
        <v>0</v>
      </c>
    </row>
    <row r="18" spans="2:15">
      <c r="B18" s="1" t="s">
        <v>376</v>
      </c>
      <c r="C18" s="1" t="s">
        <v>377</v>
      </c>
      <c r="D18" s="1" t="s">
        <v>368</v>
      </c>
      <c r="E18" s="7">
        <f>(1-E13)*E14*E15*(E16+E17)</f>
        <v>0</v>
      </c>
      <c r="F18" s="3"/>
      <c r="G18" s="1" t="s">
        <v>376</v>
      </c>
      <c r="H18" s="1" t="s">
        <v>377</v>
      </c>
      <c r="I18" s="1" t="s">
        <v>368</v>
      </c>
      <c r="J18" s="7">
        <f>(1-J13)*J14*J15*(J16+J17)</f>
        <v>0</v>
      </c>
      <c r="L18" s="1" t="s">
        <v>376</v>
      </c>
      <c r="M18" s="1" t="s">
        <v>377</v>
      </c>
      <c r="N18" s="1" t="s">
        <v>368</v>
      </c>
      <c r="O18" s="7">
        <f>(1-O13)*O14*O15*(O16+O17)</f>
        <v>0</v>
      </c>
    </row>
    <row r="19" spans="2:15">
      <c r="F19" s="3"/>
    </row>
    <row r="20" spans="2:15">
      <c r="B20" s="220" t="s">
        <v>378</v>
      </c>
      <c r="C20" s="221"/>
      <c r="D20" s="221"/>
      <c r="E20" s="224"/>
      <c r="F20" s="3"/>
      <c r="G20" s="220" t="s">
        <v>378</v>
      </c>
      <c r="H20" s="221"/>
      <c r="I20" s="221"/>
      <c r="J20" s="224"/>
      <c r="L20" s="220" t="s">
        <v>378</v>
      </c>
      <c r="M20" s="221"/>
      <c r="N20" s="221"/>
      <c r="O20" s="224"/>
    </row>
    <row r="21" spans="2:15">
      <c r="B21" s="2" t="s">
        <v>379</v>
      </c>
      <c r="C21" s="1" t="s">
        <v>379</v>
      </c>
      <c r="D21" s="1" t="s">
        <v>380</v>
      </c>
      <c r="E21" s="8">
        <v>0.95</v>
      </c>
      <c r="F21" s="3"/>
      <c r="G21" s="2" t="s">
        <v>379</v>
      </c>
      <c r="H21" s="1" t="s">
        <v>379</v>
      </c>
      <c r="I21" s="1" t="s">
        <v>380</v>
      </c>
      <c r="J21" s="8">
        <v>0.95</v>
      </c>
      <c r="L21" s="2" t="s">
        <v>379</v>
      </c>
      <c r="M21" s="1" t="s">
        <v>379</v>
      </c>
      <c r="N21" s="1" t="s">
        <v>380</v>
      </c>
      <c r="O21" s="8">
        <v>0.95</v>
      </c>
    </row>
    <row r="22" spans="2:15">
      <c r="B22" s="1" t="s">
        <v>381</v>
      </c>
      <c r="C22" s="1" t="s">
        <v>382</v>
      </c>
      <c r="D22" s="1" t="s">
        <v>383</v>
      </c>
      <c r="E22" s="1">
        <v>112</v>
      </c>
      <c r="F22" s="3"/>
      <c r="G22" s="1" t="s">
        <v>381</v>
      </c>
      <c r="H22" s="1" t="s">
        <v>382</v>
      </c>
      <c r="I22" s="1" t="s">
        <v>383</v>
      </c>
      <c r="J22" s="1">
        <v>112</v>
      </c>
      <c r="L22" s="1" t="s">
        <v>381</v>
      </c>
      <c r="M22" s="1" t="s">
        <v>382</v>
      </c>
      <c r="N22" s="1" t="s">
        <v>383</v>
      </c>
      <c r="O22" s="1">
        <v>112</v>
      </c>
    </row>
    <row r="23" spans="2:15">
      <c r="B23" s="1" t="s">
        <v>411</v>
      </c>
      <c r="C23" s="1" t="s">
        <v>385</v>
      </c>
      <c r="D23" s="1" t="s">
        <v>386</v>
      </c>
      <c r="E23" s="171">
        <f>(J6*J23+O6*O23)/E6</f>
        <v>9.4600000000000009</v>
      </c>
      <c r="F23" s="3"/>
      <c r="G23" s="1" t="s">
        <v>384</v>
      </c>
      <c r="H23" s="1" t="s">
        <v>385</v>
      </c>
      <c r="I23" s="1" t="s">
        <v>386</v>
      </c>
      <c r="J23" s="1">
        <v>9.4600000000000009</v>
      </c>
      <c r="L23" s="1" t="s">
        <v>384</v>
      </c>
      <c r="M23" s="1" t="s">
        <v>385</v>
      </c>
      <c r="N23" s="1" t="s">
        <v>386</v>
      </c>
      <c r="O23" s="1">
        <f>9.46</f>
        <v>9.4600000000000009</v>
      </c>
    </row>
    <row r="24" spans="2:15">
      <c r="B24" s="1" t="s">
        <v>387</v>
      </c>
      <c r="C24" s="1" t="s">
        <v>388</v>
      </c>
      <c r="D24" s="1" t="s">
        <v>389</v>
      </c>
      <c r="E24" s="1">
        <f>0.0156</f>
        <v>1.5599999999999999E-2</v>
      </c>
      <c r="F24" s="3"/>
      <c r="G24" s="1" t="s">
        <v>387</v>
      </c>
      <c r="H24" s="1" t="s">
        <v>388</v>
      </c>
      <c r="I24" s="1" t="s">
        <v>389</v>
      </c>
      <c r="J24" s="1">
        <v>1.5599999999999999E-2</v>
      </c>
      <c r="L24" s="1" t="s">
        <v>387</v>
      </c>
      <c r="M24" s="1" t="s">
        <v>388</v>
      </c>
      <c r="N24" s="1" t="s">
        <v>389</v>
      </c>
      <c r="O24" s="1">
        <v>1.5599999999999999E-2</v>
      </c>
    </row>
    <row r="25" spans="2:15">
      <c r="F25" s="3"/>
    </row>
    <row r="26" spans="2:15">
      <c r="B26" s="220" t="s">
        <v>390</v>
      </c>
      <c r="C26" s="221"/>
      <c r="D26" s="221"/>
      <c r="E26" s="224"/>
      <c r="F26" s="3"/>
      <c r="G26" s="220" t="s">
        <v>390</v>
      </c>
      <c r="H26" s="221"/>
      <c r="I26" s="221"/>
      <c r="J26" s="224"/>
      <c r="L26" s="220" t="s">
        <v>390</v>
      </c>
      <c r="M26" s="221"/>
      <c r="N26" s="221"/>
      <c r="O26" s="224"/>
    </row>
    <row r="27" spans="2:15">
      <c r="B27" s="1" t="s">
        <v>391</v>
      </c>
      <c r="C27" s="1" t="s">
        <v>392</v>
      </c>
      <c r="D27" s="1" t="s">
        <v>393</v>
      </c>
      <c r="E27" s="4">
        <f>E10*((E22*E21)+E23)*E24</f>
        <v>7254.1382200559992</v>
      </c>
      <c r="F27" s="3"/>
      <c r="G27" s="1" t="s">
        <v>391</v>
      </c>
      <c r="H27" s="1" t="s">
        <v>392</v>
      </c>
      <c r="I27" s="1" t="s">
        <v>393</v>
      </c>
      <c r="J27" s="4">
        <f>J10*((J22*J21)+J23)*J24</f>
        <v>4328.2519901712003</v>
      </c>
      <c r="L27" s="1" t="s">
        <v>391</v>
      </c>
      <c r="M27" s="1" t="s">
        <v>392</v>
      </c>
      <c r="N27" s="1" t="s">
        <v>393</v>
      </c>
      <c r="O27" s="4">
        <f>O10*((O22*O21)+O23)*O24</f>
        <v>2925.8862298847989</v>
      </c>
    </row>
    <row r="28" spans="2:15">
      <c r="B28" s="1" t="s">
        <v>394</v>
      </c>
      <c r="C28" s="1" t="s">
        <v>395</v>
      </c>
      <c r="D28" s="1" t="s">
        <v>393</v>
      </c>
      <c r="E28" s="4">
        <f>E18*((E22*E21)+E23)*E24</f>
        <v>0</v>
      </c>
      <c r="F28" s="3"/>
      <c r="G28" s="1" t="s">
        <v>394</v>
      </c>
      <c r="H28" s="1" t="s">
        <v>395</v>
      </c>
      <c r="I28" s="1" t="s">
        <v>393</v>
      </c>
      <c r="J28" s="4">
        <f>J18*((J22*J21)+J23)*J24</f>
        <v>0</v>
      </c>
      <c r="L28" s="1" t="s">
        <v>394</v>
      </c>
      <c r="M28" s="1" t="s">
        <v>395</v>
      </c>
      <c r="N28" s="1" t="s">
        <v>393</v>
      </c>
      <c r="O28" s="4">
        <f>O18*((O22*O21)+O23)*O24</f>
        <v>0</v>
      </c>
    </row>
    <row r="29" spans="2:15">
      <c r="B29" s="1" t="s">
        <v>412</v>
      </c>
      <c r="C29" s="1" t="s">
        <v>397</v>
      </c>
      <c r="D29" s="1" t="s">
        <v>355</v>
      </c>
      <c r="E29" s="181">
        <v>0.81730000000000003</v>
      </c>
      <c r="F29" s="3"/>
      <c r="G29" s="1" t="s">
        <v>412</v>
      </c>
      <c r="H29" s="1" t="s">
        <v>397</v>
      </c>
      <c r="I29" s="1" t="s">
        <v>355</v>
      </c>
      <c r="J29" s="181">
        <v>0.81730000000000003</v>
      </c>
      <c r="L29" s="1" t="s">
        <v>412</v>
      </c>
      <c r="M29" s="1" t="s">
        <v>397</v>
      </c>
      <c r="N29" s="1" t="s">
        <v>355</v>
      </c>
      <c r="O29" s="181">
        <v>0.81730000000000003</v>
      </c>
    </row>
    <row r="30" spans="2:15">
      <c r="B30" s="1" t="s">
        <v>398</v>
      </c>
      <c r="C30" s="1" t="s">
        <v>399</v>
      </c>
      <c r="D30" s="1" t="s">
        <v>393</v>
      </c>
      <c r="E30" s="1">
        <v>0</v>
      </c>
      <c r="F30" s="3"/>
      <c r="G30" s="1" t="s">
        <v>398</v>
      </c>
      <c r="H30" s="1" t="s">
        <v>399</v>
      </c>
      <c r="I30" s="1" t="s">
        <v>393</v>
      </c>
      <c r="J30" s="1">
        <v>0</v>
      </c>
      <c r="L30" s="1" t="s">
        <v>398</v>
      </c>
      <c r="M30" s="1" t="s">
        <v>399</v>
      </c>
      <c r="N30" s="1" t="s">
        <v>393</v>
      </c>
      <c r="O30" s="1">
        <v>0</v>
      </c>
    </row>
    <row r="31" spans="2:15">
      <c r="B31" s="1" t="s">
        <v>400</v>
      </c>
      <c r="C31" s="1" t="s">
        <v>401</v>
      </c>
      <c r="D31" s="1" t="s">
        <v>393</v>
      </c>
      <c r="E31" s="4">
        <f>((E27-E28)*E29)-E30</f>
        <v>5928.8071672517681</v>
      </c>
      <c r="F31" s="3"/>
      <c r="G31" s="1" t="s">
        <v>400</v>
      </c>
      <c r="H31" s="1" t="s">
        <v>401</v>
      </c>
      <c r="I31" s="1" t="s">
        <v>393</v>
      </c>
      <c r="J31" s="7">
        <f>((J27-J28)*J29)-J30</f>
        <v>3537.4803515669223</v>
      </c>
      <c r="L31" s="1" t="s">
        <v>400</v>
      </c>
      <c r="M31" s="1" t="s">
        <v>401</v>
      </c>
      <c r="N31" s="1" t="s">
        <v>393</v>
      </c>
      <c r="O31" s="7">
        <f>((O27-O28)*O29)-O30</f>
        <v>2391.3268156848462</v>
      </c>
    </row>
    <row r="32" spans="2:15">
      <c r="D32" s="5"/>
      <c r="F32" s="3"/>
      <c r="I32" s="5"/>
      <c r="N32" s="5"/>
    </row>
    <row r="33" spans="2:15">
      <c r="B33" s="225" t="s">
        <v>402</v>
      </c>
      <c r="C33" s="225"/>
      <c r="D33" s="225"/>
      <c r="E33" s="225"/>
      <c r="F33" s="3"/>
      <c r="G33" s="225" t="s">
        <v>402</v>
      </c>
      <c r="H33" s="225"/>
      <c r="I33" s="225"/>
      <c r="J33" s="225"/>
      <c r="L33" s="225" t="s">
        <v>402</v>
      </c>
      <c r="M33" s="225"/>
      <c r="N33" s="225"/>
      <c r="O33" s="225"/>
    </row>
    <row r="34" spans="2:15">
      <c r="B34" s="13" t="s">
        <v>403</v>
      </c>
      <c r="C34" s="1"/>
      <c r="D34" s="14"/>
      <c r="E34" s="23">
        <f>1-E35</f>
        <v>0.95</v>
      </c>
      <c r="F34" s="3"/>
      <c r="G34" s="13" t="s">
        <v>403</v>
      </c>
      <c r="H34" s="1"/>
      <c r="I34" s="14"/>
      <c r="J34" s="23">
        <f>1-J35</f>
        <v>0.95</v>
      </c>
      <c r="L34" s="13" t="s">
        <v>403</v>
      </c>
      <c r="M34" s="1"/>
      <c r="N34" s="14"/>
      <c r="O34" s="23">
        <f>1-O35</f>
        <v>0.95</v>
      </c>
    </row>
    <row r="35" spans="2:15">
      <c r="B35" s="13" t="s">
        <v>404</v>
      </c>
      <c r="C35" s="1" t="s">
        <v>405</v>
      </c>
      <c r="D35" s="14" t="s">
        <v>316</v>
      </c>
      <c r="E35" s="23">
        <v>0.05</v>
      </c>
      <c r="F35" s="3"/>
      <c r="G35" s="13" t="s">
        <v>404</v>
      </c>
      <c r="H35" s="1" t="s">
        <v>405</v>
      </c>
      <c r="I35" s="14" t="s">
        <v>316</v>
      </c>
      <c r="J35" s="23">
        <v>0.05</v>
      </c>
      <c r="L35" s="13" t="s">
        <v>404</v>
      </c>
      <c r="M35" s="1" t="s">
        <v>405</v>
      </c>
      <c r="N35" s="14" t="s">
        <v>316</v>
      </c>
      <c r="O35" s="23">
        <v>0.05</v>
      </c>
    </row>
    <row r="36" spans="2:15">
      <c r="B36" s="15" t="s">
        <v>400</v>
      </c>
      <c r="C36" s="15" t="s">
        <v>407</v>
      </c>
      <c r="D36" s="15" t="s">
        <v>393</v>
      </c>
      <c r="E36" s="25">
        <f>E31*(1-E35)</f>
        <v>5632.3668088891791</v>
      </c>
      <c r="F36" s="3"/>
      <c r="G36" s="15" t="s">
        <v>400</v>
      </c>
      <c r="H36" s="15" t="s">
        <v>407</v>
      </c>
      <c r="I36" s="15" t="s">
        <v>393</v>
      </c>
      <c r="J36" s="25">
        <f>J31*(1-J35)</f>
        <v>3360.6063339885759</v>
      </c>
      <c r="L36" s="15" t="s">
        <v>400</v>
      </c>
      <c r="M36" s="15" t="s">
        <v>407</v>
      </c>
      <c r="N36" s="15" t="s">
        <v>393</v>
      </c>
      <c r="O36" s="25">
        <f>O31*(1-O35)</f>
        <v>2271.7604749006036</v>
      </c>
    </row>
    <row r="37" spans="2:15">
      <c r="B37" s="21" t="s">
        <v>413</v>
      </c>
      <c r="C37" s="20" t="s">
        <v>407</v>
      </c>
      <c r="D37" s="20" t="s">
        <v>393</v>
      </c>
      <c r="E37" s="26">
        <f>J37+O37</f>
        <v>5631</v>
      </c>
      <c r="F37" s="3"/>
      <c r="G37" s="21" t="s">
        <v>413</v>
      </c>
      <c r="H37" s="20" t="s">
        <v>407</v>
      </c>
      <c r="I37" s="20" t="s">
        <v>393</v>
      </c>
      <c r="J37" s="26">
        <f>_xlfn.FLOOR.MATH(J36)</f>
        <v>3360</v>
      </c>
      <c r="L37" s="21" t="s">
        <v>413</v>
      </c>
      <c r="M37" s="20" t="s">
        <v>407</v>
      </c>
      <c r="N37" s="20" t="s">
        <v>393</v>
      </c>
      <c r="O37" s="26">
        <f>_xlfn.FLOOR.MATH(O36)</f>
        <v>2271</v>
      </c>
    </row>
    <row r="38" spans="2:15">
      <c r="C38" s="223"/>
      <c r="D38" s="223"/>
      <c r="F38" s="3"/>
      <c r="H38" s="223"/>
      <c r="I38" s="223"/>
      <c r="M38" s="223"/>
      <c r="N38" s="223"/>
    </row>
    <row r="39" spans="2:15">
      <c r="I39" s="27"/>
    </row>
    <row r="41" spans="2:15">
      <c r="E41" s="16"/>
      <c r="J41" s="16"/>
      <c r="O41" s="16"/>
    </row>
  </sheetData>
  <mergeCells count="21">
    <mergeCell ref="B2:E2"/>
    <mergeCell ref="G2:J2"/>
    <mergeCell ref="L2:O2"/>
    <mergeCell ref="B4:E4"/>
    <mergeCell ref="G4:J4"/>
    <mergeCell ref="L4:O4"/>
    <mergeCell ref="B12:E12"/>
    <mergeCell ref="G12:J12"/>
    <mergeCell ref="L12:O12"/>
    <mergeCell ref="B20:E20"/>
    <mergeCell ref="G20:J20"/>
    <mergeCell ref="L20:O20"/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5B261-4779-4F15-961E-7D53802CCE60}">
  <dimension ref="A2:P41"/>
  <sheetViews>
    <sheetView showGridLines="0" topLeftCell="A4" zoomScale="50" zoomScaleNormal="50" workbookViewId="0">
      <selection activeCell="B29" sqref="B29:O29"/>
    </sheetView>
  </sheetViews>
  <sheetFormatPr defaultRowHeight="14.5"/>
  <cols>
    <col min="2" max="2" width="60.7265625" bestFit="1" customWidth="1"/>
    <col min="3" max="3" width="18.26953125" bestFit="1" customWidth="1"/>
    <col min="4" max="4" width="12.453125" bestFit="1" customWidth="1"/>
    <col min="5" max="5" width="12.7265625" customWidth="1"/>
    <col min="6" max="6" width="7.26953125" customWidth="1"/>
    <col min="7" max="7" width="60.7265625" bestFit="1" customWidth="1"/>
    <col min="8" max="8" width="18.26953125" bestFit="1" customWidth="1"/>
    <col min="9" max="9" width="12.453125" bestFit="1" customWidth="1"/>
    <col min="10" max="10" width="12.54296875" customWidth="1"/>
    <col min="11" max="11" width="5" customWidth="1"/>
    <col min="12" max="12" width="60.7265625" bestFit="1" customWidth="1"/>
    <col min="13" max="13" width="18.26953125" bestFit="1" customWidth="1"/>
    <col min="14" max="14" width="12.453125" bestFit="1" customWidth="1"/>
    <col min="15" max="15" width="12.26953125" customWidth="1"/>
  </cols>
  <sheetData>
    <row r="2" spans="1:16" ht="15" customHeight="1">
      <c r="B2" s="222" t="s">
        <v>435</v>
      </c>
      <c r="C2" s="222"/>
      <c r="D2" s="222"/>
      <c r="E2" s="222"/>
      <c r="G2" s="222" t="s">
        <v>408</v>
      </c>
      <c r="H2" s="222"/>
      <c r="I2" s="222"/>
      <c r="J2" s="222"/>
      <c r="L2" s="222" t="s">
        <v>434</v>
      </c>
      <c r="M2" s="222"/>
      <c r="N2" s="222"/>
      <c r="O2" s="222"/>
    </row>
    <row r="4" spans="1:16">
      <c r="A4" s="3"/>
      <c r="B4" s="220" t="s">
        <v>352</v>
      </c>
      <c r="C4" s="221"/>
      <c r="D4" s="221"/>
      <c r="E4" s="224"/>
      <c r="F4" s="3"/>
      <c r="G4" s="220" t="s">
        <v>352</v>
      </c>
      <c r="H4" s="221"/>
      <c r="I4" s="221"/>
      <c r="J4" s="224"/>
      <c r="K4" s="3"/>
      <c r="L4" s="220" t="s">
        <v>352</v>
      </c>
      <c r="M4" s="221"/>
      <c r="N4" s="221"/>
      <c r="O4" s="224"/>
      <c r="P4" s="3"/>
    </row>
    <row r="5" spans="1:16">
      <c r="B5" s="1" t="s">
        <v>353</v>
      </c>
      <c r="C5" s="1" t="s">
        <v>354</v>
      </c>
      <c r="D5" s="1" t="s">
        <v>355</v>
      </c>
      <c r="E5" s="38">
        <v>0.02</v>
      </c>
      <c r="F5" s="3"/>
      <c r="G5" s="1" t="s">
        <v>353</v>
      </c>
      <c r="H5" s="1" t="s">
        <v>354</v>
      </c>
      <c r="I5" s="1" t="s">
        <v>355</v>
      </c>
      <c r="J5" s="38">
        <v>0.02</v>
      </c>
      <c r="L5" s="1" t="s">
        <v>353</v>
      </c>
      <c r="M5" s="1" t="s">
        <v>354</v>
      </c>
      <c r="N5" s="1" t="s">
        <v>355</v>
      </c>
      <c r="O5" s="113">
        <f>J5</f>
        <v>0.02</v>
      </c>
    </row>
    <row r="6" spans="1:16">
      <c r="B6" s="1" t="s">
        <v>409</v>
      </c>
      <c r="C6" s="1" t="s">
        <v>357</v>
      </c>
      <c r="D6" s="1"/>
      <c r="E6" s="4">
        <f>'Total PTDs'!R154*0.95</f>
        <v>1320120</v>
      </c>
      <c r="F6" s="3"/>
      <c r="G6" s="1" t="s">
        <v>409</v>
      </c>
      <c r="H6" s="1" t="s">
        <v>357</v>
      </c>
      <c r="I6" s="1"/>
      <c r="J6" s="4">
        <f>'Total PTDs'!P154*0.95</f>
        <v>769500</v>
      </c>
      <c r="L6" s="1" t="s">
        <v>409</v>
      </c>
      <c r="M6" s="1" t="s">
        <v>357</v>
      </c>
      <c r="N6" s="1"/>
      <c r="O6" s="4">
        <f>'Total PTDs'!Q154*0.95</f>
        <v>550620</v>
      </c>
    </row>
    <row r="7" spans="1:16">
      <c r="B7" s="1" t="s">
        <v>358</v>
      </c>
      <c r="C7" s="1" t="s">
        <v>359</v>
      </c>
      <c r="D7" s="1" t="s">
        <v>360</v>
      </c>
      <c r="E7" s="12">
        <f>J7</f>
        <v>4.0000000000000002E-4</v>
      </c>
      <c r="F7" s="3"/>
      <c r="G7" s="1" t="s">
        <v>358</v>
      </c>
      <c r="H7" s="1" t="s">
        <v>359</v>
      </c>
      <c r="I7" s="1" t="s">
        <v>360</v>
      </c>
      <c r="J7" s="12">
        <v>4.0000000000000002E-4</v>
      </c>
      <c r="L7" s="1" t="s">
        <v>358</v>
      </c>
      <c r="M7" s="1" t="s">
        <v>359</v>
      </c>
      <c r="N7" s="1" t="s">
        <v>360</v>
      </c>
      <c r="O7" s="12">
        <f>J7</f>
        <v>4.0000000000000002E-4</v>
      </c>
    </row>
    <row r="8" spans="1:16" ht="29">
      <c r="B8" s="2" t="s">
        <v>410</v>
      </c>
      <c r="C8" s="1" t="s">
        <v>362</v>
      </c>
      <c r="D8" s="1" t="s">
        <v>363</v>
      </c>
      <c r="E8" s="1">
        <v>7.5</v>
      </c>
      <c r="F8" s="3"/>
      <c r="G8" s="2" t="s">
        <v>410</v>
      </c>
      <c r="H8" s="1" t="s">
        <v>362</v>
      </c>
      <c r="I8" s="1" t="s">
        <v>363</v>
      </c>
      <c r="J8" s="1">
        <v>7.5</v>
      </c>
      <c r="L8" s="2" t="s">
        <v>410</v>
      </c>
      <c r="M8" s="1" t="s">
        <v>362</v>
      </c>
      <c r="N8" s="1" t="s">
        <v>363</v>
      </c>
      <c r="O8" s="1">
        <v>7.5</v>
      </c>
    </row>
    <row r="9" spans="1:16">
      <c r="B9" s="2" t="s">
        <v>364</v>
      </c>
      <c r="C9" s="1" t="s">
        <v>365</v>
      </c>
      <c r="D9" s="1" t="s">
        <v>363</v>
      </c>
      <c r="E9" s="1">
        <v>0</v>
      </c>
      <c r="F9" s="3"/>
      <c r="G9" s="2" t="s">
        <v>364</v>
      </c>
      <c r="H9" s="1" t="s">
        <v>365</v>
      </c>
      <c r="I9" s="1" t="s">
        <v>363</v>
      </c>
      <c r="J9" s="1">
        <v>0</v>
      </c>
      <c r="L9" s="2" t="s">
        <v>364</v>
      </c>
      <c r="M9" s="1" t="s">
        <v>365</v>
      </c>
      <c r="N9" s="1" t="s">
        <v>363</v>
      </c>
      <c r="O9" s="1">
        <v>0</v>
      </c>
    </row>
    <row r="10" spans="1:16">
      <c r="B10" s="1" t="s">
        <v>366</v>
      </c>
      <c r="C10" s="1" t="s">
        <v>367</v>
      </c>
      <c r="D10" s="1" t="s">
        <v>368</v>
      </c>
      <c r="E10" s="4">
        <f>(1-E5)*E6*E7*(E8+E9)</f>
        <v>3881.1527999999998</v>
      </c>
      <c r="F10" s="3"/>
      <c r="G10" s="1" t="s">
        <v>366</v>
      </c>
      <c r="H10" s="1" t="s">
        <v>367</v>
      </c>
      <c r="I10" s="1" t="s">
        <v>368</v>
      </c>
      <c r="J10" s="7">
        <f>(1-J5)*J6*J7*(J8+J9)</f>
        <v>2262.33</v>
      </c>
      <c r="L10" s="1" t="s">
        <v>366</v>
      </c>
      <c r="M10" s="1" t="s">
        <v>367</v>
      </c>
      <c r="N10" s="1" t="s">
        <v>368</v>
      </c>
      <c r="O10" s="7">
        <f>(1-O5)*O6*O7*(O8+O9)</f>
        <v>1618.8227999999999</v>
      </c>
    </row>
    <row r="11" spans="1:16">
      <c r="F11" s="3"/>
    </row>
    <row r="12" spans="1:16">
      <c r="B12" s="220" t="s">
        <v>369</v>
      </c>
      <c r="C12" s="221"/>
      <c r="D12" s="221"/>
      <c r="E12" s="224"/>
      <c r="F12" s="3"/>
      <c r="G12" s="220" t="s">
        <v>369</v>
      </c>
      <c r="H12" s="221"/>
      <c r="I12" s="221"/>
      <c r="J12" s="224"/>
      <c r="L12" s="220" t="s">
        <v>369</v>
      </c>
      <c r="M12" s="221"/>
      <c r="N12" s="221"/>
      <c r="O12" s="224"/>
    </row>
    <row r="13" spans="1:16">
      <c r="B13" s="1" t="s">
        <v>370</v>
      </c>
      <c r="C13" s="1" t="s">
        <v>354</v>
      </c>
      <c r="D13" s="1" t="s">
        <v>355</v>
      </c>
      <c r="E13" s="38">
        <v>0.02</v>
      </c>
      <c r="F13" s="3"/>
      <c r="G13" s="1" t="s">
        <v>370</v>
      </c>
      <c r="H13" s="1" t="s">
        <v>354</v>
      </c>
      <c r="I13" s="1" t="s">
        <v>355</v>
      </c>
      <c r="J13" s="113">
        <f>J5</f>
        <v>0.02</v>
      </c>
      <c r="L13" s="1" t="s">
        <v>370</v>
      </c>
      <c r="M13" s="1" t="s">
        <v>354</v>
      </c>
      <c r="N13" s="1" t="s">
        <v>355</v>
      </c>
      <c r="O13" s="113">
        <f>O5</f>
        <v>0.02</v>
      </c>
    </row>
    <row r="14" spans="1:16">
      <c r="B14" s="1" t="s">
        <v>409</v>
      </c>
      <c r="C14" s="1" t="s">
        <v>357</v>
      </c>
      <c r="D14" s="1"/>
      <c r="E14" s="4">
        <f>E6</f>
        <v>1320120</v>
      </c>
      <c r="F14" s="3"/>
      <c r="G14" s="1" t="s">
        <v>409</v>
      </c>
      <c r="H14" s="1" t="s">
        <v>357</v>
      </c>
      <c r="I14" s="1"/>
      <c r="J14" s="4">
        <f>J6</f>
        <v>769500</v>
      </c>
      <c r="L14" s="1" t="s">
        <v>409</v>
      </c>
      <c r="M14" s="1" t="s">
        <v>357</v>
      </c>
      <c r="N14" s="1"/>
      <c r="O14" s="4">
        <f>O6</f>
        <v>550620</v>
      </c>
    </row>
    <row r="15" spans="1:16">
      <c r="B15" s="1" t="s">
        <v>371</v>
      </c>
      <c r="C15" s="1" t="s">
        <v>372</v>
      </c>
      <c r="D15" s="1" t="s">
        <v>360</v>
      </c>
      <c r="E15" s="12">
        <f>E7</f>
        <v>4.0000000000000002E-4</v>
      </c>
      <c r="F15" s="3"/>
      <c r="G15" s="1" t="s">
        <v>371</v>
      </c>
      <c r="H15" s="1" t="s">
        <v>372</v>
      </c>
      <c r="I15" s="1" t="s">
        <v>360</v>
      </c>
      <c r="J15" s="12">
        <f>J7</f>
        <v>4.0000000000000002E-4</v>
      </c>
      <c r="L15" s="1" t="s">
        <v>371</v>
      </c>
      <c r="M15" s="1" t="s">
        <v>372</v>
      </c>
      <c r="N15" s="1" t="s">
        <v>360</v>
      </c>
      <c r="O15" s="12">
        <f>O7</f>
        <v>4.0000000000000002E-4</v>
      </c>
    </row>
    <row r="16" spans="1:16">
      <c r="B16" s="1" t="s">
        <v>373</v>
      </c>
      <c r="C16" s="1" t="s">
        <v>365</v>
      </c>
      <c r="D16" s="1" t="s">
        <v>363</v>
      </c>
      <c r="E16" s="1">
        <v>0</v>
      </c>
      <c r="F16" s="3"/>
      <c r="G16" s="1" t="s">
        <v>373</v>
      </c>
      <c r="H16" s="1" t="s">
        <v>365</v>
      </c>
      <c r="I16" s="1" t="s">
        <v>363</v>
      </c>
      <c r="J16" s="1">
        <v>0</v>
      </c>
      <c r="L16" s="1" t="s">
        <v>373</v>
      </c>
      <c r="M16" s="1" t="s">
        <v>365</v>
      </c>
      <c r="N16" s="1" t="s">
        <v>363</v>
      </c>
      <c r="O16" s="1">
        <v>0</v>
      </c>
    </row>
    <row r="17" spans="2:15">
      <c r="B17" s="1" t="s">
        <v>374</v>
      </c>
      <c r="C17" s="1" t="s">
        <v>375</v>
      </c>
      <c r="D17" s="1" t="s">
        <v>363</v>
      </c>
      <c r="E17" s="22">
        <v>0</v>
      </c>
      <c r="F17" s="3"/>
      <c r="G17" s="1" t="s">
        <v>374</v>
      </c>
      <c r="H17" s="1" t="s">
        <v>375</v>
      </c>
      <c r="I17" s="1" t="s">
        <v>363</v>
      </c>
      <c r="J17" s="22">
        <v>0</v>
      </c>
      <c r="L17" s="1" t="s">
        <v>374</v>
      </c>
      <c r="M17" s="1" t="s">
        <v>375</v>
      </c>
      <c r="N17" s="1" t="s">
        <v>363</v>
      </c>
      <c r="O17" s="22">
        <v>0</v>
      </c>
    </row>
    <row r="18" spans="2:15">
      <c r="B18" s="1" t="s">
        <v>376</v>
      </c>
      <c r="C18" s="1" t="s">
        <v>377</v>
      </c>
      <c r="D18" s="1" t="s">
        <v>368</v>
      </c>
      <c r="E18" s="7">
        <f>(1-E13)*E14*E15*(E16+E17)</f>
        <v>0</v>
      </c>
      <c r="F18" s="3"/>
      <c r="G18" s="1" t="s">
        <v>376</v>
      </c>
      <c r="H18" s="1" t="s">
        <v>377</v>
      </c>
      <c r="I18" s="1" t="s">
        <v>368</v>
      </c>
      <c r="J18" s="7">
        <f>(1-J13)*J14*J15*(J16+J17)</f>
        <v>0</v>
      </c>
      <c r="L18" s="1" t="s">
        <v>376</v>
      </c>
      <c r="M18" s="1" t="s">
        <v>377</v>
      </c>
      <c r="N18" s="1" t="s">
        <v>368</v>
      </c>
      <c r="O18" s="7">
        <f>(1-O13)*O14*O15*(O16+O17)</f>
        <v>0</v>
      </c>
    </row>
    <row r="19" spans="2:15">
      <c r="F19" s="3"/>
    </row>
    <row r="20" spans="2:15">
      <c r="B20" s="220" t="s">
        <v>378</v>
      </c>
      <c r="C20" s="221"/>
      <c r="D20" s="221"/>
      <c r="E20" s="224"/>
      <c r="F20" s="3"/>
      <c r="G20" s="220" t="s">
        <v>378</v>
      </c>
      <c r="H20" s="221"/>
      <c r="I20" s="221"/>
      <c r="J20" s="224"/>
      <c r="L20" s="220" t="s">
        <v>378</v>
      </c>
      <c r="M20" s="221"/>
      <c r="N20" s="221"/>
      <c r="O20" s="224"/>
    </row>
    <row r="21" spans="2:15">
      <c r="B21" s="2" t="s">
        <v>379</v>
      </c>
      <c r="C21" s="1" t="s">
        <v>379</v>
      </c>
      <c r="D21" s="1" t="s">
        <v>380</v>
      </c>
      <c r="E21" s="8">
        <v>0.95</v>
      </c>
      <c r="F21" s="3"/>
      <c r="G21" s="2" t="s">
        <v>379</v>
      </c>
      <c r="H21" s="1" t="s">
        <v>379</v>
      </c>
      <c r="I21" s="1" t="s">
        <v>380</v>
      </c>
      <c r="J21" s="8">
        <v>0.95</v>
      </c>
      <c r="L21" s="2" t="s">
        <v>379</v>
      </c>
      <c r="M21" s="1" t="s">
        <v>379</v>
      </c>
      <c r="N21" s="1" t="s">
        <v>380</v>
      </c>
      <c r="O21" s="8">
        <v>0.95</v>
      </c>
    </row>
    <row r="22" spans="2:15">
      <c r="B22" s="1" t="s">
        <v>381</v>
      </c>
      <c r="C22" s="1" t="s">
        <v>382</v>
      </c>
      <c r="D22" s="1" t="s">
        <v>383</v>
      </c>
      <c r="E22" s="1">
        <v>112</v>
      </c>
      <c r="F22" s="3"/>
      <c r="G22" s="1" t="s">
        <v>381</v>
      </c>
      <c r="H22" s="1" t="s">
        <v>382</v>
      </c>
      <c r="I22" s="1" t="s">
        <v>383</v>
      </c>
      <c r="J22" s="1">
        <v>112</v>
      </c>
      <c r="L22" s="1" t="s">
        <v>381</v>
      </c>
      <c r="M22" s="1" t="s">
        <v>382</v>
      </c>
      <c r="N22" s="1" t="s">
        <v>383</v>
      </c>
      <c r="O22" s="1">
        <v>112</v>
      </c>
    </row>
    <row r="23" spans="2:15">
      <c r="B23" s="1" t="s">
        <v>411</v>
      </c>
      <c r="C23" s="1" t="s">
        <v>385</v>
      </c>
      <c r="D23" s="1" t="s">
        <v>386</v>
      </c>
      <c r="E23" s="171">
        <f>(J6*J23+O6*O23)/E6</f>
        <v>9.4600000000000009</v>
      </c>
      <c r="F23" s="3"/>
      <c r="G23" s="1" t="s">
        <v>384</v>
      </c>
      <c r="H23" s="1" t="s">
        <v>385</v>
      </c>
      <c r="I23" s="1" t="s">
        <v>386</v>
      </c>
      <c r="J23" s="1">
        <v>9.4600000000000009</v>
      </c>
      <c r="L23" s="1" t="s">
        <v>384</v>
      </c>
      <c r="M23" s="1" t="s">
        <v>385</v>
      </c>
      <c r="N23" s="1" t="s">
        <v>386</v>
      </c>
      <c r="O23" s="1">
        <f>9.46</f>
        <v>9.4600000000000009</v>
      </c>
    </row>
    <row r="24" spans="2:15">
      <c r="B24" s="1" t="s">
        <v>387</v>
      </c>
      <c r="C24" s="1" t="s">
        <v>388</v>
      </c>
      <c r="D24" s="1" t="s">
        <v>389</v>
      </c>
      <c r="E24" s="1">
        <f>0.0156</f>
        <v>1.5599999999999999E-2</v>
      </c>
      <c r="F24" s="3"/>
      <c r="G24" s="1" t="s">
        <v>387</v>
      </c>
      <c r="H24" s="1" t="s">
        <v>388</v>
      </c>
      <c r="I24" s="1" t="s">
        <v>389</v>
      </c>
      <c r="J24" s="1">
        <v>1.5599999999999999E-2</v>
      </c>
      <c r="L24" s="1" t="s">
        <v>387</v>
      </c>
      <c r="M24" s="1" t="s">
        <v>388</v>
      </c>
      <c r="N24" s="1" t="s">
        <v>389</v>
      </c>
      <c r="O24" s="1">
        <v>1.5599999999999999E-2</v>
      </c>
    </row>
    <row r="25" spans="2:15">
      <c r="F25" s="3"/>
    </row>
    <row r="26" spans="2:15">
      <c r="B26" s="220" t="s">
        <v>390</v>
      </c>
      <c r="C26" s="221"/>
      <c r="D26" s="221"/>
      <c r="E26" s="224"/>
      <c r="F26" s="3"/>
      <c r="G26" s="220" t="s">
        <v>390</v>
      </c>
      <c r="H26" s="221"/>
      <c r="I26" s="221"/>
      <c r="J26" s="224"/>
      <c r="L26" s="220" t="s">
        <v>390</v>
      </c>
      <c r="M26" s="221"/>
      <c r="N26" s="221"/>
      <c r="O26" s="224"/>
    </row>
    <row r="27" spans="2:15">
      <c r="B27" s="1" t="s">
        <v>391</v>
      </c>
      <c r="C27" s="1" t="s">
        <v>392</v>
      </c>
      <c r="D27" s="1" t="s">
        <v>393</v>
      </c>
      <c r="E27" s="4">
        <f>E10*((E22*E21)+E23)*E24</f>
        <v>7014.8576691647986</v>
      </c>
      <c r="F27" s="3"/>
      <c r="G27" s="1" t="s">
        <v>391</v>
      </c>
      <c r="H27" s="1" t="s">
        <v>392</v>
      </c>
      <c r="I27" s="1" t="s">
        <v>393</v>
      </c>
      <c r="J27" s="4">
        <f>J10*((J22*J21)+J23)*J24</f>
        <v>4088.9714392799992</v>
      </c>
      <c r="L27" s="1" t="s">
        <v>391</v>
      </c>
      <c r="M27" s="1" t="s">
        <v>392</v>
      </c>
      <c r="N27" s="1" t="s">
        <v>393</v>
      </c>
      <c r="O27" s="4">
        <f>O10*((O22*O21)+O23)*O24</f>
        <v>2925.8862298847989</v>
      </c>
    </row>
    <row r="28" spans="2:15">
      <c r="B28" s="1" t="s">
        <v>394</v>
      </c>
      <c r="C28" s="1" t="s">
        <v>395</v>
      </c>
      <c r="D28" s="1" t="s">
        <v>393</v>
      </c>
      <c r="E28" s="4">
        <f>E18*((E22*E21)+E23)*E24</f>
        <v>0</v>
      </c>
      <c r="F28" s="3"/>
      <c r="G28" s="1" t="s">
        <v>394</v>
      </c>
      <c r="H28" s="1" t="s">
        <v>395</v>
      </c>
      <c r="I28" s="1" t="s">
        <v>393</v>
      </c>
      <c r="J28" s="4">
        <f>J18*((J22*J21)+J23)*J24</f>
        <v>0</v>
      </c>
      <c r="L28" s="1" t="s">
        <v>394</v>
      </c>
      <c r="M28" s="1" t="s">
        <v>395</v>
      </c>
      <c r="N28" s="1" t="s">
        <v>393</v>
      </c>
      <c r="O28" s="4">
        <f>O18*((O22*O21)+O23)*O24</f>
        <v>0</v>
      </c>
    </row>
    <row r="29" spans="2:15">
      <c r="B29" s="1" t="s">
        <v>412</v>
      </c>
      <c r="C29" s="1" t="s">
        <v>397</v>
      </c>
      <c r="D29" s="1" t="s">
        <v>355</v>
      </c>
      <c r="E29" s="181">
        <v>0.81730000000000003</v>
      </c>
      <c r="F29" s="3"/>
      <c r="G29" s="1" t="s">
        <v>412</v>
      </c>
      <c r="H29" s="1" t="s">
        <v>397</v>
      </c>
      <c r="I29" s="1" t="s">
        <v>355</v>
      </c>
      <c r="J29" s="181">
        <v>0.81730000000000003</v>
      </c>
      <c r="L29" s="1" t="s">
        <v>412</v>
      </c>
      <c r="M29" s="1" t="s">
        <v>397</v>
      </c>
      <c r="N29" s="1" t="s">
        <v>355</v>
      </c>
      <c r="O29" s="181">
        <v>0.81730000000000003</v>
      </c>
    </row>
    <row r="30" spans="2:15">
      <c r="B30" s="1" t="s">
        <v>398</v>
      </c>
      <c r="C30" s="1" t="s">
        <v>399</v>
      </c>
      <c r="D30" s="1" t="s">
        <v>393</v>
      </c>
      <c r="E30" s="1">
        <v>0</v>
      </c>
      <c r="F30" s="3"/>
      <c r="G30" s="1" t="s">
        <v>398</v>
      </c>
      <c r="H30" s="1" t="s">
        <v>399</v>
      </c>
      <c r="I30" s="1" t="s">
        <v>393</v>
      </c>
      <c r="J30" s="1">
        <v>0</v>
      </c>
      <c r="L30" s="1" t="s">
        <v>398</v>
      </c>
      <c r="M30" s="1" t="s">
        <v>399</v>
      </c>
      <c r="N30" s="1" t="s">
        <v>393</v>
      </c>
      <c r="O30" s="1">
        <v>0</v>
      </c>
    </row>
    <row r="31" spans="2:15">
      <c r="B31" s="1" t="s">
        <v>400</v>
      </c>
      <c r="C31" s="1" t="s">
        <v>401</v>
      </c>
      <c r="D31" s="1" t="s">
        <v>393</v>
      </c>
      <c r="E31" s="4">
        <f>((E27-E28)*E29)-E30</f>
        <v>5733.2431730083899</v>
      </c>
      <c r="F31" s="3"/>
      <c r="G31" s="1" t="s">
        <v>400</v>
      </c>
      <c r="H31" s="1" t="s">
        <v>401</v>
      </c>
      <c r="I31" s="1" t="s">
        <v>393</v>
      </c>
      <c r="J31" s="7">
        <f>((J27-J28)*J29)-J30</f>
        <v>3341.9163573235437</v>
      </c>
      <c r="L31" s="1" t="s">
        <v>400</v>
      </c>
      <c r="M31" s="1" t="s">
        <v>401</v>
      </c>
      <c r="N31" s="1" t="s">
        <v>393</v>
      </c>
      <c r="O31" s="7">
        <f>((O27-O28)*O29)-O30</f>
        <v>2391.3268156848462</v>
      </c>
    </row>
    <row r="32" spans="2:15">
      <c r="D32" s="5"/>
      <c r="F32" s="3"/>
      <c r="I32" s="5"/>
      <c r="N32" s="5"/>
    </row>
    <row r="33" spans="2:15">
      <c r="B33" s="225" t="s">
        <v>402</v>
      </c>
      <c r="C33" s="225"/>
      <c r="D33" s="225"/>
      <c r="E33" s="225"/>
      <c r="F33" s="3"/>
      <c r="G33" s="225" t="s">
        <v>402</v>
      </c>
      <c r="H33" s="225"/>
      <c r="I33" s="225"/>
      <c r="J33" s="225"/>
      <c r="L33" s="225" t="s">
        <v>402</v>
      </c>
      <c r="M33" s="225"/>
      <c r="N33" s="225"/>
      <c r="O33" s="225"/>
    </row>
    <row r="34" spans="2:15">
      <c r="B34" s="13" t="s">
        <v>403</v>
      </c>
      <c r="C34" s="1"/>
      <c r="D34" s="14"/>
      <c r="E34" s="23">
        <f>1-E35</f>
        <v>0.95</v>
      </c>
      <c r="F34" s="3"/>
      <c r="G34" s="13" t="s">
        <v>403</v>
      </c>
      <c r="H34" s="1"/>
      <c r="I34" s="14"/>
      <c r="J34" s="23">
        <f>1-J35</f>
        <v>0.95</v>
      </c>
      <c r="L34" s="13" t="s">
        <v>403</v>
      </c>
      <c r="M34" s="1"/>
      <c r="N34" s="14"/>
      <c r="O34" s="23">
        <f>1-O35</f>
        <v>0.95</v>
      </c>
    </row>
    <row r="35" spans="2:15">
      <c r="B35" s="13" t="s">
        <v>404</v>
      </c>
      <c r="C35" s="1" t="s">
        <v>405</v>
      </c>
      <c r="D35" s="14" t="s">
        <v>316</v>
      </c>
      <c r="E35" s="23">
        <v>0.05</v>
      </c>
      <c r="F35" s="3"/>
      <c r="G35" s="13" t="s">
        <v>404</v>
      </c>
      <c r="H35" s="1" t="s">
        <v>405</v>
      </c>
      <c r="I35" s="14" t="s">
        <v>316</v>
      </c>
      <c r="J35" s="23">
        <v>0.05</v>
      </c>
      <c r="L35" s="13" t="s">
        <v>404</v>
      </c>
      <c r="M35" s="1" t="s">
        <v>405</v>
      </c>
      <c r="N35" s="14" t="s">
        <v>316</v>
      </c>
      <c r="O35" s="23">
        <v>0.05</v>
      </c>
    </row>
    <row r="36" spans="2:15">
      <c r="B36" s="15" t="s">
        <v>400</v>
      </c>
      <c r="C36" s="15" t="s">
        <v>407</v>
      </c>
      <c r="D36" s="15" t="s">
        <v>393</v>
      </c>
      <c r="E36" s="25">
        <f>E31*(1-E35)</f>
        <v>5446.5810143579702</v>
      </c>
      <c r="F36" s="3"/>
      <c r="G36" s="15" t="s">
        <v>400</v>
      </c>
      <c r="H36" s="15" t="s">
        <v>407</v>
      </c>
      <c r="I36" s="15" t="s">
        <v>393</v>
      </c>
      <c r="J36" s="25">
        <f>J31*(1-J35)</f>
        <v>3174.8205394573665</v>
      </c>
      <c r="L36" s="15" t="s">
        <v>400</v>
      </c>
      <c r="M36" s="15" t="s">
        <v>407</v>
      </c>
      <c r="N36" s="15" t="s">
        <v>393</v>
      </c>
      <c r="O36" s="25">
        <f>O31*(1-O35)</f>
        <v>2271.7604749006036</v>
      </c>
    </row>
    <row r="37" spans="2:15">
      <c r="B37" s="21" t="s">
        <v>413</v>
      </c>
      <c r="C37" s="20" t="s">
        <v>407</v>
      </c>
      <c r="D37" s="20" t="s">
        <v>393</v>
      </c>
      <c r="E37" s="26">
        <f>J37+O37</f>
        <v>5445</v>
      </c>
      <c r="F37" s="3"/>
      <c r="G37" s="21" t="s">
        <v>413</v>
      </c>
      <c r="H37" s="20" t="s">
        <v>407</v>
      </c>
      <c r="I37" s="20" t="s">
        <v>393</v>
      </c>
      <c r="J37" s="26">
        <f>_xlfn.FLOOR.MATH(J36)</f>
        <v>3174</v>
      </c>
      <c r="L37" s="21" t="s">
        <v>413</v>
      </c>
      <c r="M37" s="20" t="s">
        <v>407</v>
      </c>
      <c r="N37" s="20" t="s">
        <v>393</v>
      </c>
      <c r="O37" s="26">
        <f>_xlfn.FLOOR.MATH(O36)</f>
        <v>2271</v>
      </c>
    </row>
    <row r="38" spans="2:15">
      <c r="C38" s="223"/>
      <c r="D38" s="223"/>
      <c r="F38" s="3"/>
      <c r="H38" s="223"/>
      <c r="I38" s="223"/>
      <c r="M38" s="223"/>
      <c r="N38" s="223"/>
    </row>
    <row r="39" spans="2:15">
      <c r="I39" s="27"/>
    </row>
    <row r="41" spans="2:15">
      <c r="E41" s="16"/>
      <c r="J41" s="16"/>
      <c r="O41" s="16"/>
    </row>
  </sheetData>
  <mergeCells count="21">
    <mergeCell ref="B2:E2"/>
    <mergeCell ref="G2:J2"/>
    <mergeCell ref="L2:O2"/>
    <mergeCell ref="B4:E4"/>
    <mergeCell ref="G4:J4"/>
    <mergeCell ref="L4:O4"/>
    <mergeCell ref="B12:E12"/>
    <mergeCell ref="G12:J12"/>
    <mergeCell ref="L12:O12"/>
    <mergeCell ref="B20:E20"/>
    <mergeCell ref="G20:J20"/>
    <mergeCell ref="L20:O20"/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67AE2-D551-4FCF-BA39-C4C7BA9F5409}">
  <dimension ref="A2:D21"/>
  <sheetViews>
    <sheetView workbookViewId="0">
      <selection activeCell="C14" sqref="C14"/>
    </sheetView>
  </sheetViews>
  <sheetFormatPr defaultRowHeight="14.5"/>
  <cols>
    <col min="1" max="1" width="36.81640625" customWidth="1"/>
    <col min="2" max="2" width="52.1796875" customWidth="1"/>
    <col min="3" max="3" width="28.1796875" customWidth="1"/>
    <col min="4" max="4" width="7.54296875" bestFit="1" customWidth="1"/>
  </cols>
  <sheetData>
    <row r="2" spans="1:4" ht="18.5">
      <c r="A2" s="229" t="s">
        <v>414</v>
      </c>
      <c r="B2" s="229"/>
      <c r="C2" s="229"/>
    </row>
    <row r="3" spans="1:4">
      <c r="A3" s="140" t="s">
        <v>415</v>
      </c>
    </row>
    <row r="5" spans="1:4">
      <c r="A5" s="226" t="s">
        <v>416</v>
      </c>
      <c r="B5" s="227"/>
      <c r="C5" s="227"/>
      <c r="D5" s="228"/>
    </row>
    <row r="6" spans="1:4">
      <c r="A6" s="1" t="s">
        <v>417</v>
      </c>
      <c r="B6" s="1" t="s">
        <v>418</v>
      </c>
      <c r="C6" s="1" t="s">
        <v>419</v>
      </c>
      <c r="D6" s="1" t="s">
        <v>313</v>
      </c>
    </row>
    <row r="7" spans="1:4">
      <c r="A7" s="1">
        <v>700</v>
      </c>
      <c r="B7" s="1">
        <v>10</v>
      </c>
      <c r="C7" s="141">
        <f>A7*B7</f>
        <v>7000</v>
      </c>
      <c r="D7" s="1" t="s">
        <v>420</v>
      </c>
    </row>
    <row r="8" spans="1:4">
      <c r="A8" s="226" t="s">
        <v>421</v>
      </c>
      <c r="B8" s="227"/>
      <c r="C8" s="227"/>
      <c r="D8" s="228"/>
    </row>
    <row r="9" spans="1:4">
      <c r="A9" s="1" t="s">
        <v>419</v>
      </c>
      <c r="B9" s="1" t="s">
        <v>422</v>
      </c>
      <c r="C9" s="1" t="s">
        <v>423</v>
      </c>
      <c r="D9" s="1" t="s">
        <v>313</v>
      </c>
    </row>
    <row r="10" spans="1:4">
      <c r="A10" s="142">
        <f>C7</f>
        <v>7000</v>
      </c>
      <c r="B10" s="1">
        <v>20</v>
      </c>
      <c r="C10" s="141">
        <f>A10/B10</f>
        <v>350</v>
      </c>
      <c r="D10" s="1" t="s">
        <v>424</v>
      </c>
    </row>
    <row r="13" spans="1:4" ht="18.5">
      <c r="A13" s="229" t="s">
        <v>425</v>
      </c>
      <c r="B13" s="229"/>
      <c r="C13" s="229"/>
    </row>
    <row r="14" spans="1:4">
      <c r="A14" s="140" t="s">
        <v>426</v>
      </c>
    </row>
    <row r="16" spans="1:4">
      <c r="A16" s="226" t="s">
        <v>416</v>
      </c>
      <c r="B16" s="227"/>
      <c r="C16" s="227"/>
      <c r="D16" s="228"/>
    </row>
    <row r="17" spans="1:4">
      <c r="A17" s="1" t="s">
        <v>417</v>
      </c>
      <c r="B17" s="1" t="s">
        <v>418</v>
      </c>
      <c r="C17" s="1" t="s">
        <v>419</v>
      </c>
      <c r="D17" s="1" t="s">
        <v>313</v>
      </c>
    </row>
    <row r="18" spans="1:4">
      <c r="A18" s="1">
        <v>800</v>
      </c>
      <c r="B18" s="1">
        <v>10</v>
      </c>
      <c r="C18" s="141">
        <f>A18*B18</f>
        <v>8000</v>
      </c>
      <c r="D18" s="1" t="s">
        <v>420</v>
      </c>
    </row>
    <row r="19" spans="1:4">
      <c r="A19" s="226" t="s">
        <v>421</v>
      </c>
      <c r="B19" s="227"/>
      <c r="C19" s="227"/>
      <c r="D19" s="228"/>
    </row>
    <row r="20" spans="1:4">
      <c r="A20" s="1" t="s">
        <v>419</v>
      </c>
      <c r="B20" s="1" t="s">
        <v>422</v>
      </c>
      <c r="C20" s="1" t="s">
        <v>423</v>
      </c>
      <c r="D20" s="1" t="s">
        <v>313</v>
      </c>
    </row>
    <row r="21" spans="1:4">
      <c r="A21" s="142">
        <f>C18</f>
        <v>8000</v>
      </c>
      <c r="B21" s="1">
        <v>20</v>
      </c>
      <c r="C21" s="141">
        <f>A21/B21</f>
        <v>400</v>
      </c>
      <c r="D21" s="1" t="s">
        <v>424</v>
      </c>
    </row>
  </sheetData>
  <mergeCells count="6">
    <mergeCell ref="A19:D19"/>
    <mergeCell ref="A2:C2"/>
    <mergeCell ref="A5:D5"/>
    <mergeCell ref="A8:D8"/>
    <mergeCell ref="A13:C13"/>
    <mergeCell ref="A16:D16"/>
  </mergeCells>
  <hyperlinks>
    <hyperlink ref="A3" r:id="rId1" xr:uid="{08044304-A5A0-49D7-B902-D78D51B923CF}"/>
    <hyperlink ref="A14" r:id="rId2" xr:uid="{D0FCA54E-0A90-4695-9C3A-E5BA7F0357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9656-4920-479C-9FC3-ED4411F9CD90}">
  <dimension ref="A2:AC155"/>
  <sheetViews>
    <sheetView showGridLines="0" topLeftCell="P1" zoomScale="70" zoomScaleNormal="70" workbookViewId="0">
      <pane ySplit="2" topLeftCell="A130" activePane="bottomLeft" state="frozen"/>
      <selection pane="bottomLeft" activeCell="U161" sqref="U161"/>
    </sheetView>
  </sheetViews>
  <sheetFormatPr defaultColWidth="9.26953125" defaultRowHeight="14.5"/>
  <cols>
    <col min="1" max="1" width="9.26953125" style="10"/>
    <col min="2" max="2" width="9.453125" style="11" customWidth="1"/>
    <col min="3" max="3" width="44.54296875" style="10" customWidth="1"/>
    <col min="4" max="4" width="12.453125" style="10" customWidth="1"/>
    <col min="5" max="5" width="11.453125" style="10" customWidth="1"/>
    <col min="6" max="6" width="14.453125" style="10" customWidth="1"/>
    <col min="7" max="7" width="11.81640625" style="10" customWidth="1"/>
    <col min="8" max="8" width="11.54296875" style="10" customWidth="1"/>
    <col min="9" max="9" width="10.453125" style="10" customWidth="1"/>
    <col min="10" max="10" width="15" style="10" customWidth="1"/>
    <col min="11" max="11" width="11.26953125" style="10" customWidth="1"/>
    <col min="12" max="15" width="11.81640625" style="10" customWidth="1"/>
    <col min="16" max="16" width="13.453125" style="10" customWidth="1"/>
    <col min="17" max="17" width="12.81640625" style="10" bestFit="1" customWidth="1"/>
    <col min="18" max="18" width="13.54296875" style="10" bestFit="1" customWidth="1"/>
    <col min="19" max="19" width="14.26953125" style="10" bestFit="1" customWidth="1"/>
    <col min="20" max="20" width="13.81640625" style="10" bestFit="1" customWidth="1"/>
    <col min="21" max="21" width="14.54296875" style="10" bestFit="1" customWidth="1"/>
    <col min="22" max="22" width="14.54296875" style="203" customWidth="1"/>
    <col min="23" max="23" width="16.453125" style="10" bestFit="1" customWidth="1"/>
    <col min="24" max="24" width="38.26953125" style="10" bestFit="1" customWidth="1"/>
    <col min="25" max="25" width="13.81640625" style="10" bestFit="1" customWidth="1"/>
    <col min="26" max="26" width="19.81640625" style="10" bestFit="1" customWidth="1"/>
    <col min="27" max="27" width="11.81640625" style="10" customWidth="1"/>
    <col min="28" max="28" width="34" style="10" customWidth="1"/>
    <col min="29" max="16384" width="9.26953125" style="10"/>
  </cols>
  <sheetData>
    <row r="2" spans="1:29" s="9" customFormat="1" ht="29">
      <c r="B2" s="84" t="s">
        <v>20</v>
      </c>
      <c r="C2" s="85" t="s">
        <v>21</v>
      </c>
      <c r="D2" s="85" t="s">
        <v>22</v>
      </c>
      <c r="E2" s="85" t="s">
        <v>23</v>
      </c>
      <c r="F2" s="85" t="s">
        <v>24</v>
      </c>
      <c r="G2" s="85" t="s">
        <v>25</v>
      </c>
      <c r="H2" s="85" t="s">
        <v>26</v>
      </c>
      <c r="I2" s="86" t="s">
        <v>27</v>
      </c>
      <c r="J2" s="116" t="s">
        <v>28</v>
      </c>
      <c r="K2" s="87" t="s">
        <v>29</v>
      </c>
      <c r="L2" s="116" t="s">
        <v>30</v>
      </c>
      <c r="M2" s="116" t="s">
        <v>440</v>
      </c>
      <c r="N2" s="116" t="s">
        <v>430</v>
      </c>
      <c r="O2" s="116" t="s">
        <v>431</v>
      </c>
      <c r="P2" s="86" t="s">
        <v>31</v>
      </c>
      <c r="Q2" s="86" t="s">
        <v>436</v>
      </c>
      <c r="R2" s="86" t="s">
        <v>32</v>
      </c>
      <c r="S2" s="116" t="s">
        <v>33</v>
      </c>
      <c r="T2" s="116" t="s">
        <v>437</v>
      </c>
      <c r="U2" s="116" t="s">
        <v>34</v>
      </c>
      <c r="V2" s="208" t="s">
        <v>445</v>
      </c>
      <c r="W2"/>
      <c r="X2" s="17" t="s">
        <v>23</v>
      </c>
      <c r="Y2" s="179">
        <v>44335</v>
      </c>
      <c r="Z2" s="10"/>
      <c r="AA2" s="10"/>
      <c r="AB2" s="10"/>
    </row>
    <row r="3" spans="1:29" s="9" customFormat="1">
      <c r="B3" s="144" t="s">
        <v>35</v>
      </c>
      <c r="C3" s="145"/>
      <c r="D3" s="145"/>
      <c r="E3" s="145"/>
      <c r="F3" s="145"/>
      <c r="G3" s="145"/>
      <c r="H3" s="145"/>
      <c r="I3" s="145"/>
      <c r="J3" s="145"/>
      <c r="K3" s="145"/>
      <c r="L3" s="88"/>
      <c r="M3" s="88"/>
      <c r="N3" s="88"/>
      <c r="O3" s="88"/>
      <c r="P3" s="88"/>
      <c r="Q3" s="88"/>
      <c r="R3" s="89"/>
      <c r="S3" s="89"/>
      <c r="T3" s="89"/>
      <c r="U3" s="89"/>
      <c r="V3" s="209"/>
      <c r="W3"/>
      <c r="X3" s="18" t="s">
        <v>36</v>
      </c>
      <c r="Y3" s="180">
        <v>44699</v>
      </c>
      <c r="Z3" s="10"/>
      <c r="AA3" s="10"/>
      <c r="AB3" s="10"/>
      <c r="AC3" s="10"/>
    </row>
    <row r="4" spans="1:29">
      <c r="B4" s="146" t="s">
        <v>37</v>
      </c>
      <c r="C4" s="147" t="s">
        <v>38</v>
      </c>
      <c r="D4" s="148">
        <v>43603</v>
      </c>
      <c r="E4" s="182">
        <f>$Y$2</f>
        <v>44335</v>
      </c>
      <c r="F4" s="149" t="s">
        <v>39</v>
      </c>
      <c r="G4" s="150">
        <v>8.6102880000000006</v>
      </c>
      <c r="H4" s="151">
        <v>-11.042400000000001</v>
      </c>
      <c r="I4" s="149">
        <v>548</v>
      </c>
      <c r="J4" s="152">
        <f>IF(I4&gt;300, 300, I4)</f>
        <v>300</v>
      </c>
      <c r="K4" s="78" t="s">
        <v>40</v>
      </c>
      <c r="L4" s="152">
        <f t="shared" ref="L4:L16" si="0">$Y$4-$E4-M4+1</f>
        <v>122</v>
      </c>
      <c r="M4" s="183">
        <v>105</v>
      </c>
      <c r="N4" s="152">
        <f>$Y$3-$Y$4-O4</f>
        <v>138</v>
      </c>
      <c r="O4" s="183">
        <v>0</v>
      </c>
      <c r="P4" s="79">
        <f t="shared" ref="P4:P16" si="1">L4*J4</f>
        <v>36600</v>
      </c>
      <c r="Q4" s="79">
        <f t="shared" ref="Q4:Q16" si="2">N4*J4</f>
        <v>41400</v>
      </c>
      <c r="R4" s="79">
        <f>SUM(P4:Q4)</f>
        <v>78000</v>
      </c>
      <c r="S4" s="79">
        <f t="shared" ref="S4:S16" si="3">L4*I4</f>
        <v>66856</v>
      </c>
      <c r="T4" s="79">
        <f t="shared" ref="T4:T16" si="4">N4*I4</f>
        <v>75624</v>
      </c>
      <c r="U4" s="79">
        <f>SUM(S4:T4)</f>
        <v>142480</v>
      </c>
      <c r="V4" s="211">
        <f>(M4+O4)/SUM(L4:O4)</f>
        <v>0.28767123287671231</v>
      </c>
      <c r="X4" s="18" t="s">
        <v>427</v>
      </c>
      <c r="Y4" s="180">
        <v>44561</v>
      </c>
    </row>
    <row r="5" spans="1:29">
      <c r="B5" s="146" t="s">
        <v>41</v>
      </c>
      <c r="C5" s="147" t="s">
        <v>42</v>
      </c>
      <c r="D5" s="148">
        <v>43603</v>
      </c>
      <c r="E5" s="182">
        <f t="shared" ref="E5:E16" si="5">$Y$2</f>
        <v>44335</v>
      </c>
      <c r="F5" s="149" t="s">
        <v>39</v>
      </c>
      <c r="G5" s="150">
        <v>8.6087819999999997</v>
      </c>
      <c r="H5" s="151">
        <v>-11.04143</v>
      </c>
      <c r="I5" s="149">
        <v>581</v>
      </c>
      <c r="J5" s="152">
        <f t="shared" ref="J5:J16" si="6">IF(I5&gt;300, 300, I5)</f>
        <v>300</v>
      </c>
      <c r="K5" s="30" t="s">
        <v>40</v>
      </c>
      <c r="L5" s="152">
        <f t="shared" si="0"/>
        <v>225</v>
      </c>
      <c r="M5" s="183">
        <v>2</v>
      </c>
      <c r="N5" s="152">
        <f t="shared" ref="N5:N16" si="7">$Y$3-$Y$4-O5</f>
        <v>138</v>
      </c>
      <c r="O5" s="183">
        <v>0</v>
      </c>
      <c r="P5" s="79">
        <f t="shared" si="1"/>
        <v>67500</v>
      </c>
      <c r="Q5" s="79">
        <f t="shared" si="2"/>
        <v>41400</v>
      </c>
      <c r="R5" s="80">
        <f t="shared" ref="R5:R16" si="8">SUM(P5:Q5)</f>
        <v>108900</v>
      </c>
      <c r="S5" s="79">
        <f t="shared" si="3"/>
        <v>130725</v>
      </c>
      <c r="T5" s="79">
        <f t="shared" si="4"/>
        <v>80178</v>
      </c>
      <c r="U5" s="79">
        <f t="shared" ref="U5:U16" si="9">SUM(S5:T5)</f>
        <v>210903</v>
      </c>
      <c r="V5" s="211">
        <f t="shared" ref="V5:V16" si="10">(M5+O5)/SUM(L5:O5)</f>
        <v>5.4794520547945206E-3</v>
      </c>
      <c r="X5" s="18" t="s">
        <v>428</v>
      </c>
      <c r="Y5" s="31">
        <f>(Y4-Y2+1)</f>
        <v>227</v>
      </c>
    </row>
    <row r="6" spans="1:29">
      <c r="B6" s="146" t="s">
        <v>43</v>
      </c>
      <c r="C6" s="147" t="s">
        <v>44</v>
      </c>
      <c r="D6" s="148">
        <v>43603</v>
      </c>
      <c r="E6" s="182">
        <f t="shared" si="5"/>
        <v>44335</v>
      </c>
      <c r="F6" s="149" t="s">
        <v>39</v>
      </c>
      <c r="G6" s="150">
        <v>8.6231720000000003</v>
      </c>
      <c r="H6" s="151">
        <v>-10.994762</v>
      </c>
      <c r="I6" s="149">
        <v>541</v>
      </c>
      <c r="J6" s="152">
        <f t="shared" si="6"/>
        <v>300</v>
      </c>
      <c r="K6" s="30" t="s">
        <v>40</v>
      </c>
      <c r="L6" s="152">
        <f t="shared" si="0"/>
        <v>227</v>
      </c>
      <c r="M6" s="183">
        <v>0</v>
      </c>
      <c r="N6" s="152">
        <f t="shared" si="7"/>
        <v>138</v>
      </c>
      <c r="O6" s="183">
        <v>0</v>
      </c>
      <c r="P6" s="79">
        <f t="shared" si="1"/>
        <v>68100</v>
      </c>
      <c r="Q6" s="79">
        <f t="shared" si="2"/>
        <v>41400</v>
      </c>
      <c r="R6" s="80">
        <f t="shared" si="8"/>
        <v>109500</v>
      </c>
      <c r="S6" s="79">
        <f t="shared" si="3"/>
        <v>122807</v>
      </c>
      <c r="T6" s="79">
        <f t="shared" si="4"/>
        <v>74658</v>
      </c>
      <c r="U6" s="79">
        <f t="shared" si="9"/>
        <v>197465</v>
      </c>
      <c r="V6" s="211">
        <f t="shared" si="10"/>
        <v>0</v>
      </c>
      <c r="X6" s="19" t="s">
        <v>429</v>
      </c>
      <c r="Y6" s="32">
        <f>(Y3-Y4)</f>
        <v>138</v>
      </c>
    </row>
    <row r="7" spans="1:29">
      <c r="B7" s="146" t="s">
        <v>45</v>
      </c>
      <c r="C7" s="147" t="s">
        <v>46</v>
      </c>
      <c r="D7" s="148">
        <v>43604</v>
      </c>
      <c r="E7" s="182">
        <f t="shared" si="5"/>
        <v>44335</v>
      </c>
      <c r="F7" s="149" t="s">
        <v>39</v>
      </c>
      <c r="G7" s="150">
        <v>8.6557899999999997</v>
      </c>
      <c r="H7" s="151">
        <v>-10.975895</v>
      </c>
      <c r="I7" s="149">
        <v>749</v>
      </c>
      <c r="J7" s="152">
        <f t="shared" si="6"/>
        <v>300</v>
      </c>
      <c r="K7" s="30" t="s">
        <v>40</v>
      </c>
      <c r="L7" s="152">
        <f t="shared" si="0"/>
        <v>227</v>
      </c>
      <c r="M7" s="183">
        <v>0</v>
      </c>
      <c r="N7" s="152">
        <f>$Y$3-$Y$4-O7</f>
        <v>138</v>
      </c>
      <c r="O7" s="183">
        <v>0</v>
      </c>
      <c r="P7" s="79">
        <f t="shared" si="1"/>
        <v>68100</v>
      </c>
      <c r="Q7" s="79">
        <f t="shared" si="2"/>
        <v>41400</v>
      </c>
      <c r="R7" s="80">
        <f t="shared" si="8"/>
        <v>109500</v>
      </c>
      <c r="S7" s="79">
        <f t="shared" si="3"/>
        <v>170023</v>
      </c>
      <c r="T7" s="79">
        <f t="shared" si="4"/>
        <v>103362</v>
      </c>
      <c r="U7" s="79">
        <f t="shared" si="9"/>
        <v>273385</v>
      </c>
      <c r="V7" s="211">
        <f t="shared" si="10"/>
        <v>0</v>
      </c>
    </row>
    <row r="8" spans="1:29">
      <c r="B8" s="146" t="s">
        <v>47</v>
      </c>
      <c r="C8" s="147" t="s">
        <v>48</v>
      </c>
      <c r="D8" s="148">
        <v>43623</v>
      </c>
      <c r="E8" s="182">
        <f t="shared" si="5"/>
        <v>44335</v>
      </c>
      <c r="F8" s="149" t="s">
        <v>39</v>
      </c>
      <c r="G8" s="150">
        <v>8.6235280000000003</v>
      </c>
      <c r="H8" s="151">
        <v>-10.643359999999999</v>
      </c>
      <c r="I8" s="149">
        <v>481</v>
      </c>
      <c r="J8" s="152">
        <f t="shared" si="6"/>
        <v>300</v>
      </c>
      <c r="K8" s="30" t="s">
        <v>40</v>
      </c>
      <c r="L8" s="152">
        <f t="shared" si="0"/>
        <v>227</v>
      </c>
      <c r="M8" s="183">
        <v>0</v>
      </c>
      <c r="N8" s="152">
        <f t="shared" si="7"/>
        <v>138</v>
      </c>
      <c r="O8" s="183">
        <v>0</v>
      </c>
      <c r="P8" s="79">
        <f t="shared" si="1"/>
        <v>68100</v>
      </c>
      <c r="Q8" s="79">
        <f t="shared" si="2"/>
        <v>41400</v>
      </c>
      <c r="R8" s="80">
        <f t="shared" si="8"/>
        <v>109500</v>
      </c>
      <c r="S8" s="79">
        <f t="shared" si="3"/>
        <v>109187</v>
      </c>
      <c r="T8" s="79">
        <f t="shared" si="4"/>
        <v>66378</v>
      </c>
      <c r="U8" s="79">
        <f t="shared" si="9"/>
        <v>175565</v>
      </c>
      <c r="V8" s="211">
        <f t="shared" si="10"/>
        <v>0</v>
      </c>
    </row>
    <row r="9" spans="1:29">
      <c r="B9" s="146" t="s">
        <v>49</v>
      </c>
      <c r="C9" s="147" t="s">
        <v>50</v>
      </c>
      <c r="D9" s="148">
        <v>43673</v>
      </c>
      <c r="E9" s="182">
        <f t="shared" si="5"/>
        <v>44335</v>
      </c>
      <c r="F9" s="149" t="s">
        <v>51</v>
      </c>
      <c r="G9" s="150">
        <v>8.6259999999999994</v>
      </c>
      <c r="H9" s="151">
        <v>-10.860099999999999</v>
      </c>
      <c r="I9" s="149">
        <v>599</v>
      </c>
      <c r="J9" s="152">
        <f t="shared" si="6"/>
        <v>300</v>
      </c>
      <c r="K9" s="24" t="s">
        <v>40</v>
      </c>
      <c r="L9" s="152">
        <f t="shared" si="0"/>
        <v>157</v>
      </c>
      <c r="M9" s="183">
        <v>70</v>
      </c>
      <c r="N9" s="152">
        <f t="shared" si="7"/>
        <v>138</v>
      </c>
      <c r="O9" s="205">
        <v>0</v>
      </c>
      <c r="P9" s="79">
        <f t="shared" si="1"/>
        <v>47100</v>
      </c>
      <c r="Q9" s="79">
        <f t="shared" si="2"/>
        <v>41400</v>
      </c>
      <c r="R9" s="80">
        <f t="shared" si="8"/>
        <v>88500</v>
      </c>
      <c r="S9" s="79">
        <f t="shared" si="3"/>
        <v>94043</v>
      </c>
      <c r="T9" s="79">
        <f t="shared" si="4"/>
        <v>82662</v>
      </c>
      <c r="U9" s="79">
        <f t="shared" si="9"/>
        <v>176705</v>
      </c>
      <c r="V9" s="211">
        <f t="shared" si="10"/>
        <v>0.19178082191780821</v>
      </c>
    </row>
    <row r="10" spans="1:29">
      <c r="A10" s="153"/>
      <c r="B10" s="154" t="s">
        <v>52</v>
      </c>
      <c r="C10" s="154" t="s">
        <v>53</v>
      </c>
      <c r="D10" s="148">
        <v>43946</v>
      </c>
      <c r="E10" s="182">
        <f t="shared" si="5"/>
        <v>44335</v>
      </c>
      <c r="F10" s="149" t="s">
        <v>39</v>
      </c>
      <c r="G10" s="149">
        <v>8.2782230000000006</v>
      </c>
      <c r="H10" s="149">
        <v>-10.574963</v>
      </c>
      <c r="I10" s="149">
        <v>473</v>
      </c>
      <c r="J10" s="152">
        <f t="shared" si="6"/>
        <v>300</v>
      </c>
      <c r="K10" s="24" t="s">
        <v>40</v>
      </c>
      <c r="L10" s="152">
        <f t="shared" si="0"/>
        <v>227</v>
      </c>
      <c r="M10" s="183">
        <v>0</v>
      </c>
      <c r="N10" s="152">
        <f t="shared" si="7"/>
        <v>138</v>
      </c>
      <c r="O10" s="205">
        <v>0</v>
      </c>
      <c r="P10" s="79">
        <f t="shared" si="1"/>
        <v>68100</v>
      </c>
      <c r="Q10" s="79">
        <f t="shared" si="2"/>
        <v>41400</v>
      </c>
      <c r="R10" s="80">
        <f t="shared" si="8"/>
        <v>109500</v>
      </c>
      <c r="S10" s="79">
        <f t="shared" si="3"/>
        <v>107371</v>
      </c>
      <c r="T10" s="79">
        <f t="shared" si="4"/>
        <v>65274</v>
      </c>
      <c r="U10" s="79">
        <f t="shared" si="9"/>
        <v>172645</v>
      </c>
      <c r="V10" s="211">
        <f t="shared" si="10"/>
        <v>0</v>
      </c>
      <c r="Y10" s="155"/>
    </row>
    <row r="11" spans="1:29">
      <c r="B11" s="154" t="s">
        <v>54</v>
      </c>
      <c r="C11" s="154" t="s">
        <v>55</v>
      </c>
      <c r="D11" s="148">
        <v>43946</v>
      </c>
      <c r="E11" s="182">
        <f t="shared" si="5"/>
        <v>44335</v>
      </c>
      <c r="F11" s="149" t="s">
        <v>39</v>
      </c>
      <c r="G11" s="149">
        <v>8.2862030000000004</v>
      </c>
      <c r="H11" s="149">
        <v>-10.573598</v>
      </c>
      <c r="I11" s="149">
        <v>528</v>
      </c>
      <c r="J11" s="152">
        <f t="shared" si="6"/>
        <v>300</v>
      </c>
      <c r="K11" s="24" t="s">
        <v>40</v>
      </c>
      <c r="L11" s="152">
        <f t="shared" si="0"/>
        <v>227</v>
      </c>
      <c r="M11" s="183">
        <v>0</v>
      </c>
      <c r="N11" s="152">
        <f t="shared" si="7"/>
        <v>138</v>
      </c>
      <c r="O11" s="205">
        <v>0</v>
      </c>
      <c r="P11" s="79">
        <f t="shared" si="1"/>
        <v>68100</v>
      </c>
      <c r="Q11" s="79">
        <f t="shared" si="2"/>
        <v>41400</v>
      </c>
      <c r="R11" s="80">
        <f t="shared" si="8"/>
        <v>109500</v>
      </c>
      <c r="S11" s="79">
        <f t="shared" si="3"/>
        <v>119856</v>
      </c>
      <c r="T11" s="79">
        <f t="shared" si="4"/>
        <v>72864</v>
      </c>
      <c r="U11" s="79">
        <f t="shared" si="9"/>
        <v>192720</v>
      </c>
      <c r="V11" s="211">
        <f t="shared" si="10"/>
        <v>0</v>
      </c>
    </row>
    <row r="12" spans="1:29">
      <c r="B12" s="154" t="s">
        <v>56</v>
      </c>
      <c r="C12" s="154" t="s">
        <v>57</v>
      </c>
      <c r="D12" s="148">
        <v>43946</v>
      </c>
      <c r="E12" s="182">
        <f t="shared" si="5"/>
        <v>44335</v>
      </c>
      <c r="F12" s="149" t="s">
        <v>39</v>
      </c>
      <c r="G12" s="149">
        <v>8.2773029999999999</v>
      </c>
      <c r="H12" s="149">
        <v>-10.576995</v>
      </c>
      <c r="I12" s="149">
        <v>643</v>
      </c>
      <c r="J12" s="152">
        <f t="shared" si="6"/>
        <v>300</v>
      </c>
      <c r="K12" s="24" t="s">
        <v>40</v>
      </c>
      <c r="L12" s="152">
        <f t="shared" si="0"/>
        <v>227</v>
      </c>
      <c r="M12" s="183">
        <v>0</v>
      </c>
      <c r="N12" s="152">
        <f t="shared" si="7"/>
        <v>138</v>
      </c>
      <c r="O12" s="205">
        <v>0</v>
      </c>
      <c r="P12" s="79">
        <f t="shared" si="1"/>
        <v>68100</v>
      </c>
      <c r="Q12" s="79">
        <f t="shared" si="2"/>
        <v>41400</v>
      </c>
      <c r="R12" s="80">
        <f t="shared" si="8"/>
        <v>109500</v>
      </c>
      <c r="S12" s="79">
        <f t="shared" si="3"/>
        <v>145961</v>
      </c>
      <c r="T12" s="79">
        <f t="shared" si="4"/>
        <v>88734</v>
      </c>
      <c r="U12" s="79">
        <f t="shared" si="9"/>
        <v>234695</v>
      </c>
      <c r="V12" s="211">
        <f t="shared" si="10"/>
        <v>0</v>
      </c>
    </row>
    <row r="13" spans="1:29">
      <c r="B13" s="154" t="s">
        <v>58</v>
      </c>
      <c r="C13" s="154" t="s">
        <v>59</v>
      </c>
      <c r="D13" s="148">
        <v>43959</v>
      </c>
      <c r="E13" s="182">
        <f t="shared" si="5"/>
        <v>44335</v>
      </c>
      <c r="F13" s="149" t="s">
        <v>39</v>
      </c>
      <c r="G13" s="149">
        <v>8.2846510000000002</v>
      </c>
      <c r="H13" s="149">
        <v>-10.574225</v>
      </c>
      <c r="I13" s="149">
        <v>568</v>
      </c>
      <c r="J13" s="152">
        <f t="shared" si="6"/>
        <v>300</v>
      </c>
      <c r="K13" s="24" t="s">
        <v>40</v>
      </c>
      <c r="L13" s="152">
        <f t="shared" si="0"/>
        <v>227</v>
      </c>
      <c r="M13" s="183">
        <v>0</v>
      </c>
      <c r="N13" s="152">
        <f t="shared" si="7"/>
        <v>138</v>
      </c>
      <c r="O13" s="205">
        <v>0</v>
      </c>
      <c r="P13" s="79">
        <f t="shared" si="1"/>
        <v>68100</v>
      </c>
      <c r="Q13" s="79">
        <f t="shared" si="2"/>
        <v>41400</v>
      </c>
      <c r="R13" s="80">
        <f t="shared" si="8"/>
        <v>109500</v>
      </c>
      <c r="S13" s="79">
        <f t="shared" si="3"/>
        <v>128936</v>
      </c>
      <c r="T13" s="79">
        <f t="shared" si="4"/>
        <v>78384</v>
      </c>
      <c r="U13" s="79">
        <f t="shared" si="9"/>
        <v>207320</v>
      </c>
      <c r="V13" s="211">
        <f t="shared" si="10"/>
        <v>0</v>
      </c>
    </row>
    <row r="14" spans="1:29">
      <c r="B14" s="154" t="s">
        <v>60</v>
      </c>
      <c r="C14" s="154" t="s">
        <v>61</v>
      </c>
      <c r="D14" s="148">
        <v>43938</v>
      </c>
      <c r="E14" s="182">
        <f t="shared" si="5"/>
        <v>44335</v>
      </c>
      <c r="F14" s="149" t="s">
        <v>39</v>
      </c>
      <c r="G14" s="149">
        <v>8.2859549999999995</v>
      </c>
      <c r="H14" s="149">
        <v>-10.562480000000001</v>
      </c>
      <c r="I14" s="149">
        <v>454</v>
      </c>
      <c r="J14" s="152">
        <f t="shared" si="6"/>
        <v>300</v>
      </c>
      <c r="K14" s="24" t="s">
        <v>40</v>
      </c>
      <c r="L14" s="152">
        <f t="shared" si="0"/>
        <v>227</v>
      </c>
      <c r="M14" s="183">
        <v>0</v>
      </c>
      <c r="N14" s="152">
        <f t="shared" si="7"/>
        <v>138</v>
      </c>
      <c r="O14" s="205">
        <v>0</v>
      </c>
      <c r="P14" s="79">
        <f t="shared" si="1"/>
        <v>68100</v>
      </c>
      <c r="Q14" s="79">
        <f t="shared" si="2"/>
        <v>41400</v>
      </c>
      <c r="R14" s="80">
        <f t="shared" si="8"/>
        <v>109500</v>
      </c>
      <c r="S14" s="79">
        <f t="shared" si="3"/>
        <v>103058</v>
      </c>
      <c r="T14" s="79">
        <f t="shared" si="4"/>
        <v>62652</v>
      </c>
      <c r="U14" s="79">
        <f t="shared" si="9"/>
        <v>165710</v>
      </c>
      <c r="V14" s="211">
        <f t="shared" si="10"/>
        <v>0</v>
      </c>
    </row>
    <row r="15" spans="1:29">
      <c r="B15" s="154" t="s">
        <v>62</v>
      </c>
      <c r="C15" s="154" t="s">
        <v>63</v>
      </c>
      <c r="D15" s="148">
        <v>43956</v>
      </c>
      <c r="E15" s="182">
        <f t="shared" si="5"/>
        <v>44335</v>
      </c>
      <c r="F15" s="149" t="s">
        <v>39</v>
      </c>
      <c r="G15" s="149">
        <v>8.2854729999999996</v>
      </c>
      <c r="H15" s="149">
        <v>-10.56527</v>
      </c>
      <c r="I15" s="149">
        <v>516</v>
      </c>
      <c r="J15" s="152">
        <f t="shared" si="6"/>
        <v>300</v>
      </c>
      <c r="K15" s="24" t="s">
        <v>40</v>
      </c>
      <c r="L15" s="152">
        <f t="shared" si="0"/>
        <v>139</v>
      </c>
      <c r="M15" s="183">
        <v>88</v>
      </c>
      <c r="N15" s="152">
        <f t="shared" si="7"/>
        <v>138</v>
      </c>
      <c r="O15" s="205">
        <v>0</v>
      </c>
      <c r="P15" s="79">
        <f t="shared" si="1"/>
        <v>41700</v>
      </c>
      <c r="Q15" s="79">
        <f t="shared" si="2"/>
        <v>41400</v>
      </c>
      <c r="R15" s="80">
        <f t="shared" si="8"/>
        <v>83100</v>
      </c>
      <c r="S15" s="79">
        <f t="shared" si="3"/>
        <v>71724</v>
      </c>
      <c r="T15" s="79">
        <f t="shared" si="4"/>
        <v>71208</v>
      </c>
      <c r="U15" s="79">
        <f t="shared" si="9"/>
        <v>142932</v>
      </c>
      <c r="V15" s="211">
        <f t="shared" si="10"/>
        <v>0.24109589041095891</v>
      </c>
    </row>
    <row r="16" spans="1:29">
      <c r="B16" s="154" t="s">
        <v>64</v>
      </c>
      <c r="C16" s="154" t="s">
        <v>65</v>
      </c>
      <c r="D16" s="148">
        <v>43957</v>
      </c>
      <c r="E16" s="182">
        <f t="shared" si="5"/>
        <v>44335</v>
      </c>
      <c r="F16" s="149" t="s">
        <v>39</v>
      </c>
      <c r="G16" s="149">
        <v>8.2800209999999996</v>
      </c>
      <c r="H16" s="149">
        <v>-10.57105</v>
      </c>
      <c r="I16" s="149">
        <v>524</v>
      </c>
      <c r="J16" s="152">
        <f t="shared" si="6"/>
        <v>300</v>
      </c>
      <c r="K16" s="24" t="s">
        <v>40</v>
      </c>
      <c r="L16" s="152">
        <f t="shared" si="0"/>
        <v>137</v>
      </c>
      <c r="M16" s="183">
        <v>90</v>
      </c>
      <c r="N16" s="152">
        <f t="shared" si="7"/>
        <v>138</v>
      </c>
      <c r="O16" s="205">
        <v>0</v>
      </c>
      <c r="P16" s="79">
        <f t="shared" si="1"/>
        <v>41100</v>
      </c>
      <c r="Q16" s="79">
        <f t="shared" si="2"/>
        <v>41400</v>
      </c>
      <c r="R16" s="80">
        <f t="shared" si="8"/>
        <v>82500</v>
      </c>
      <c r="S16" s="79">
        <f t="shared" si="3"/>
        <v>71788</v>
      </c>
      <c r="T16" s="79">
        <f t="shared" si="4"/>
        <v>72312</v>
      </c>
      <c r="U16" s="79">
        <f t="shared" si="9"/>
        <v>144100</v>
      </c>
      <c r="V16" s="211">
        <f t="shared" si="10"/>
        <v>0.24657534246575341</v>
      </c>
      <c r="X16" s="9"/>
    </row>
    <row r="17" spans="2:24">
      <c r="B17" s="156">
        <f>COUNTA(B4:B16)</f>
        <v>13</v>
      </c>
      <c r="C17" s="157"/>
      <c r="D17" s="157"/>
      <c r="E17" s="157"/>
      <c r="F17" s="90"/>
      <c r="G17" s="90"/>
      <c r="H17" s="90"/>
      <c r="I17" s="91">
        <f>SUM(I4:I16)</f>
        <v>7205</v>
      </c>
      <c r="J17" s="91">
        <f>SUM(J4:J16)</f>
        <v>3900</v>
      </c>
      <c r="K17" s="90"/>
      <c r="L17" s="91">
        <f t="shared" ref="L17:R17" si="11">SUM(L4:L16)</f>
        <v>2596</v>
      </c>
      <c r="M17" s="91">
        <f t="shared" si="11"/>
        <v>355</v>
      </c>
      <c r="N17" s="91">
        <f t="shared" si="11"/>
        <v>1794</v>
      </c>
      <c r="O17" s="91">
        <f t="shared" si="11"/>
        <v>0</v>
      </c>
      <c r="P17" s="92">
        <f t="shared" si="11"/>
        <v>778800</v>
      </c>
      <c r="Q17" s="92">
        <f t="shared" si="11"/>
        <v>538200</v>
      </c>
      <c r="R17" s="92">
        <f t="shared" si="11"/>
        <v>1317000</v>
      </c>
      <c r="S17" s="92">
        <f t="shared" ref="S17:T17" si="12">SUM(S4:S16)</f>
        <v>1442335</v>
      </c>
      <c r="T17" s="92">
        <f t="shared" si="12"/>
        <v>994290</v>
      </c>
      <c r="U17" s="92">
        <f>SUM(U4:U16)</f>
        <v>2436625</v>
      </c>
      <c r="V17" s="212">
        <f>AVERAGE(V4:V16)</f>
        <v>7.4815595363540571E-2</v>
      </c>
      <c r="W17" s="204"/>
      <c r="X17" s="158"/>
    </row>
    <row r="18" spans="2:24">
      <c r="B18" s="144" t="s">
        <v>66</v>
      </c>
      <c r="C18" s="145"/>
      <c r="D18" s="145"/>
      <c r="E18" s="145"/>
      <c r="F18" s="145"/>
      <c r="G18" s="145"/>
      <c r="H18" s="145"/>
      <c r="I18" s="145"/>
      <c r="J18" s="145"/>
      <c r="K18" s="145"/>
      <c r="L18" s="93"/>
      <c r="M18" s="93"/>
      <c r="N18" s="94"/>
      <c r="O18" s="94"/>
      <c r="P18" s="95"/>
      <c r="Q18" s="96"/>
      <c r="R18" s="97"/>
      <c r="S18" s="97"/>
      <c r="T18" s="97"/>
      <c r="U18" s="97"/>
      <c r="V18" s="210"/>
    </row>
    <row r="19" spans="2:24">
      <c r="B19" s="159" t="s">
        <v>67</v>
      </c>
      <c r="C19" s="147" t="s">
        <v>68</v>
      </c>
      <c r="D19" s="148">
        <v>43604</v>
      </c>
      <c r="E19" s="182">
        <f>$Y$2</f>
        <v>44335</v>
      </c>
      <c r="F19" s="149" t="s">
        <v>39</v>
      </c>
      <c r="G19" s="150">
        <v>8.8561700000000005</v>
      </c>
      <c r="H19" s="149">
        <v>-10.171455999999999</v>
      </c>
      <c r="I19" s="149">
        <v>696</v>
      </c>
      <c r="J19" s="152">
        <f>IF(I19&gt;300, 300, I41)</f>
        <v>300</v>
      </c>
      <c r="K19" s="30" t="s">
        <v>40</v>
      </c>
      <c r="L19" s="152">
        <f t="shared" ref="L19:L31" si="13">$Y$4-$E19-M19+1</f>
        <v>227</v>
      </c>
      <c r="M19" s="183">
        <v>0</v>
      </c>
      <c r="N19" s="152">
        <f>$Y$3-$Y$4-O19</f>
        <v>138</v>
      </c>
      <c r="O19" s="183">
        <v>0</v>
      </c>
      <c r="P19" s="80">
        <f t="shared" ref="P19:P31" si="14">L19*J19</f>
        <v>68100</v>
      </c>
      <c r="Q19" s="80">
        <f t="shared" ref="Q19:Q31" si="15">N19*J19</f>
        <v>41400</v>
      </c>
      <c r="R19" s="80">
        <f>SUM(P19:Q19)</f>
        <v>109500</v>
      </c>
      <c r="S19" s="79">
        <f t="shared" ref="S19:S31" si="16">L19*I19</f>
        <v>157992</v>
      </c>
      <c r="T19" s="79">
        <f t="shared" ref="T19:T31" si="17">N19*I19</f>
        <v>96048</v>
      </c>
      <c r="U19" s="79">
        <f t="shared" ref="U19" si="18">SUM(S19:T19)</f>
        <v>254040</v>
      </c>
      <c r="V19" s="211">
        <f>(M19+O19)/SUM(L19:O19)</f>
        <v>0</v>
      </c>
    </row>
    <row r="20" spans="2:24">
      <c r="B20" s="159" t="s">
        <v>69</v>
      </c>
      <c r="C20" s="147" t="s">
        <v>70</v>
      </c>
      <c r="D20" s="148">
        <v>43623</v>
      </c>
      <c r="E20" s="182">
        <f t="shared" ref="E20:E31" si="19">$Y$2</f>
        <v>44335</v>
      </c>
      <c r="F20" s="149" t="s">
        <v>39</v>
      </c>
      <c r="G20" s="150">
        <v>8.6360205299999997</v>
      </c>
      <c r="H20" s="149">
        <v>-10.9890021</v>
      </c>
      <c r="I20" s="149">
        <v>427</v>
      </c>
      <c r="J20" s="152">
        <f xml:space="preserve"> IF(I20&gt;300, 300,#REF!)</f>
        <v>300</v>
      </c>
      <c r="K20" s="30" t="s">
        <v>40</v>
      </c>
      <c r="L20" s="152">
        <f t="shared" si="13"/>
        <v>227</v>
      </c>
      <c r="M20" s="183">
        <v>0</v>
      </c>
      <c r="N20" s="152">
        <f t="shared" ref="N20:N31" si="20">$Y$3-$Y$4-O20</f>
        <v>138</v>
      </c>
      <c r="O20" s="183">
        <v>0</v>
      </c>
      <c r="P20" s="80">
        <f t="shared" si="14"/>
        <v>68100</v>
      </c>
      <c r="Q20" s="80">
        <f t="shared" si="15"/>
        <v>41400</v>
      </c>
      <c r="R20" s="80">
        <f t="shared" ref="R20:R31" si="21">SUM(P20:Q20)</f>
        <v>109500</v>
      </c>
      <c r="S20" s="79">
        <f t="shared" si="16"/>
        <v>96929</v>
      </c>
      <c r="T20" s="79">
        <f t="shared" si="17"/>
        <v>58926</v>
      </c>
      <c r="U20" s="79">
        <f t="shared" ref="U20:U31" si="22">SUM(S20:T20)</f>
        <v>155855</v>
      </c>
      <c r="V20" s="211">
        <f t="shared" ref="V20:V31" si="23">(M20+O20)/SUM(L20:O20)</f>
        <v>0</v>
      </c>
    </row>
    <row r="21" spans="2:24">
      <c r="B21" s="159" t="s">
        <v>71</v>
      </c>
      <c r="C21" s="147" t="s">
        <v>72</v>
      </c>
      <c r="D21" s="148">
        <v>43623</v>
      </c>
      <c r="E21" s="182">
        <f t="shared" si="19"/>
        <v>44335</v>
      </c>
      <c r="F21" s="149" t="s">
        <v>73</v>
      </c>
      <c r="G21" s="150">
        <v>8.6274146999999992</v>
      </c>
      <c r="H21" s="149">
        <v>10.9808769</v>
      </c>
      <c r="I21" s="149">
        <v>602</v>
      </c>
      <c r="J21" s="152">
        <f xml:space="preserve"> IF(I21&gt;300, 300,#REF!)</f>
        <v>300</v>
      </c>
      <c r="K21" s="30" t="s">
        <v>40</v>
      </c>
      <c r="L21" s="152">
        <f t="shared" si="13"/>
        <v>227</v>
      </c>
      <c r="M21" s="183">
        <v>0</v>
      </c>
      <c r="N21" s="152">
        <f t="shared" si="20"/>
        <v>138</v>
      </c>
      <c r="O21" s="183">
        <v>0</v>
      </c>
      <c r="P21" s="80">
        <f t="shared" si="14"/>
        <v>68100</v>
      </c>
      <c r="Q21" s="80">
        <f t="shared" si="15"/>
        <v>41400</v>
      </c>
      <c r="R21" s="80">
        <f t="shared" si="21"/>
        <v>109500</v>
      </c>
      <c r="S21" s="79">
        <f t="shared" si="16"/>
        <v>136654</v>
      </c>
      <c r="T21" s="79">
        <f t="shared" si="17"/>
        <v>83076</v>
      </c>
      <c r="U21" s="79">
        <f t="shared" si="22"/>
        <v>219730</v>
      </c>
      <c r="V21" s="211">
        <f t="shared" si="23"/>
        <v>0</v>
      </c>
    </row>
    <row r="22" spans="2:24">
      <c r="B22" s="159" t="s">
        <v>74</v>
      </c>
      <c r="C22" s="147" t="s">
        <v>75</v>
      </c>
      <c r="D22" s="148">
        <v>43624</v>
      </c>
      <c r="E22" s="182">
        <f t="shared" si="19"/>
        <v>44335</v>
      </c>
      <c r="F22" s="149" t="s">
        <v>39</v>
      </c>
      <c r="G22" s="150">
        <v>8.6572671999999997</v>
      </c>
      <c r="H22" s="149">
        <v>-10.965688</v>
      </c>
      <c r="I22" s="149">
        <v>612</v>
      </c>
      <c r="J22" s="152">
        <f xml:space="preserve"> IF(I22&gt;300, 300,#REF!)</f>
        <v>300</v>
      </c>
      <c r="K22" s="30" t="s">
        <v>40</v>
      </c>
      <c r="L22" s="152">
        <f t="shared" si="13"/>
        <v>227</v>
      </c>
      <c r="M22" s="183">
        <v>0</v>
      </c>
      <c r="N22" s="152">
        <f t="shared" si="20"/>
        <v>138</v>
      </c>
      <c r="O22" s="183">
        <v>0</v>
      </c>
      <c r="P22" s="80">
        <f t="shared" si="14"/>
        <v>68100</v>
      </c>
      <c r="Q22" s="80">
        <f t="shared" si="15"/>
        <v>41400</v>
      </c>
      <c r="R22" s="80">
        <f t="shared" si="21"/>
        <v>109500</v>
      </c>
      <c r="S22" s="79">
        <f t="shared" si="16"/>
        <v>138924</v>
      </c>
      <c r="T22" s="79">
        <f t="shared" si="17"/>
        <v>84456</v>
      </c>
      <c r="U22" s="79">
        <f t="shared" si="22"/>
        <v>223380</v>
      </c>
      <c r="V22" s="211">
        <f t="shared" si="23"/>
        <v>0</v>
      </c>
    </row>
    <row r="23" spans="2:24">
      <c r="B23" s="159" t="s">
        <v>76</v>
      </c>
      <c r="C23" s="147" t="s">
        <v>77</v>
      </c>
      <c r="D23" s="148">
        <v>43638</v>
      </c>
      <c r="E23" s="182">
        <f t="shared" si="19"/>
        <v>44335</v>
      </c>
      <c r="F23" s="149" t="s">
        <v>73</v>
      </c>
      <c r="G23" s="150">
        <v>8.6570196999999993</v>
      </c>
      <c r="H23" s="149">
        <v>-10.986175899999999</v>
      </c>
      <c r="I23" s="149">
        <v>668</v>
      </c>
      <c r="J23" s="152">
        <f xml:space="preserve"> IF(I23&gt;300, 300,#REF!)</f>
        <v>300</v>
      </c>
      <c r="K23" s="30" t="s">
        <v>40</v>
      </c>
      <c r="L23" s="152">
        <f t="shared" si="13"/>
        <v>227</v>
      </c>
      <c r="M23" s="183">
        <v>0</v>
      </c>
      <c r="N23" s="152">
        <f t="shared" si="20"/>
        <v>138</v>
      </c>
      <c r="O23" s="183">
        <v>0</v>
      </c>
      <c r="P23" s="80">
        <f t="shared" si="14"/>
        <v>68100</v>
      </c>
      <c r="Q23" s="80">
        <f t="shared" si="15"/>
        <v>41400</v>
      </c>
      <c r="R23" s="80">
        <f t="shared" si="21"/>
        <v>109500</v>
      </c>
      <c r="S23" s="79">
        <f t="shared" si="16"/>
        <v>151636</v>
      </c>
      <c r="T23" s="79">
        <f t="shared" si="17"/>
        <v>92184</v>
      </c>
      <c r="U23" s="79">
        <f t="shared" si="22"/>
        <v>243820</v>
      </c>
      <c r="V23" s="211">
        <f t="shared" si="23"/>
        <v>0</v>
      </c>
    </row>
    <row r="24" spans="2:24">
      <c r="B24" s="159" t="s">
        <v>78</v>
      </c>
      <c r="C24" s="147" t="s">
        <v>79</v>
      </c>
      <c r="D24" s="148">
        <v>43639</v>
      </c>
      <c r="E24" s="182">
        <f t="shared" si="19"/>
        <v>44335</v>
      </c>
      <c r="F24" s="149" t="s">
        <v>39</v>
      </c>
      <c r="G24" s="150">
        <v>8.6163945999999996</v>
      </c>
      <c r="H24" s="149">
        <v>-11.0338797</v>
      </c>
      <c r="I24" s="149">
        <v>485</v>
      </c>
      <c r="J24" s="152">
        <f xml:space="preserve"> IF(I24&gt;300, 300,#REF!)</f>
        <v>300</v>
      </c>
      <c r="K24" s="24" t="s">
        <v>40</v>
      </c>
      <c r="L24" s="152">
        <f t="shared" si="13"/>
        <v>123</v>
      </c>
      <c r="M24" s="183">
        <v>104</v>
      </c>
      <c r="N24" s="152">
        <f t="shared" si="20"/>
        <v>138</v>
      </c>
      <c r="O24" s="183">
        <v>0</v>
      </c>
      <c r="P24" s="80">
        <f t="shared" si="14"/>
        <v>36900</v>
      </c>
      <c r="Q24" s="80">
        <f t="shared" si="15"/>
        <v>41400</v>
      </c>
      <c r="R24" s="80">
        <f t="shared" si="21"/>
        <v>78300</v>
      </c>
      <c r="S24" s="79">
        <f t="shared" si="16"/>
        <v>59655</v>
      </c>
      <c r="T24" s="79">
        <f t="shared" si="17"/>
        <v>66930</v>
      </c>
      <c r="U24" s="79">
        <f t="shared" si="22"/>
        <v>126585</v>
      </c>
      <c r="V24" s="211">
        <f t="shared" si="23"/>
        <v>0.28493150684931506</v>
      </c>
    </row>
    <row r="25" spans="2:24">
      <c r="B25" s="154" t="s">
        <v>80</v>
      </c>
      <c r="C25" s="154" t="s">
        <v>81</v>
      </c>
      <c r="D25" s="148">
        <v>43945</v>
      </c>
      <c r="E25" s="182">
        <f t="shared" si="19"/>
        <v>44335</v>
      </c>
      <c r="F25" s="149" t="s">
        <v>73</v>
      </c>
      <c r="G25" s="149">
        <v>8.3311010000000003</v>
      </c>
      <c r="H25" s="149">
        <v>-10.629948000000001</v>
      </c>
      <c r="I25" s="149">
        <v>526</v>
      </c>
      <c r="J25" s="152">
        <f t="shared" ref="J25:J31" si="24">IF(I25&gt;300, 300, I25)</f>
        <v>300</v>
      </c>
      <c r="K25" s="24" t="s">
        <v>40</v>
      </c>
      <c r="L25" s="152">
        <f t="shared" si="13"/>
        <v>227</v>
      </c>
      <c r="M25" s="183">
        <v>0</v>
      </c>
      <c r="N25" s="152">
        <f t="shared" si="20"/>
        <v>138</v>
      </c>
      <c r="O25" s="205">
        <v>0</v>
      </c>
      <c r="P25" s="79">
        <f t="shared" si="14"/>
        <v>68100</v>
      </c>
      <c r="Q25" s="79">
        <f t="shared" si="15"/>
        <v>41400</v>
      </c>
      <c r="R25" s="80">
        <f t="shared" si="21"/>
        <v>109500</v>
      </c>
      <c r="S25" s="79">
        <f t="shared" si="16"/>
        <v>119402</v>
      </c>
      <c r="T25" s="79">
        <f t="shared" si="17"/>
        <v>72588</v>
      </c>
      <c r="U25" s="79">
        <f t="shared" si="22"/>
        <v>191990</v>
      </c>
      <c r="V25" s="211">
        <f t="shared" si="23"/>
        <v>0</v>
      </c>
    </row>
    <row r="26" spans="2:24">
      <c r="B26" s="154" t="s">
        <v>82</v>
      </c>
      <c r="C26" s="154" t="s">
        <v>83</v>
      </c>
      <c r="D26" s="148">
        <v>43945</v>
      </c>
      <c r="E26" s="182">
        <f t="shared" si="19"/>
        <v>44335</v>
      </c>
      <c r="F26" s="149" t="s">
        <v>73</v>
      </c>
      <c r="G26" s="149">
        <v>8.2042300000000008</v>
      </c>
      <c r="H26" s="149">
        <v>-10.479983000000001</v>
      </c>
      <c r="I26" s="149">
        <v>528</v>
      </c>
      <c r="J26" s="152">
        <f t="shared" si="24"/>
        <v>300</v>
      </c>
      <c r="K26" s="24" t="s">
        <v>40</v>
      </c>
      <c r="L26" s="152">
        <f t="shared" si="13"/>
        <v>227</v>
      </c>
      <c r="M26" s="183">
        <v>0</v>
      </c>
      <c r="N26" s="152">
        <f t="shared" si="20"/>
        <v>138</v>
      </c>
      <c r="O26" s="205">
        <v>0</v>
      </c>
      <c r="P26" s="79">
        <f t="shared" si="14"/>
        <v>68100</v>
      </c>
      <c r="Q26" s="79">
        <f t="shared" si="15"/>
        <v>41400</v>
      </c>
      <c r="R26" s="80">
        <f t="shared" si="21"/>
        <v>109500</v>
      </c>
      <c r="S26" s="79">
        <f t="shared" si="16"/>
        <v>119856</v>
      </c>
      <c r="T26" s="79">
        <f t="shared" si="17"/>
        <v>72864</v>
      </c>
      <c r="U26" s="79">
        <f t="shared" si="22"/>
        <v>192720</v>
      </c>
      <c r="V26" s="211">
        <f t="shared" si="23"/>
        <v>0</v>
      </c>
    </row>
    <row r="27" spans="2:24">
      <c r="B27" s="154" t="s">
        <v>84</v>
      </c>
      <c r="C27" s="154" t="s">
        <v>85</v>
      </c>
      <c r="D27" s="148">
        <v>43943</v>
      </c>
      <c r="E27" s="182">
        <f t="shared" si="19"/>
        <v>44335</v>
      </c>
      <c r="F27" s="149" t="s">
        <v>39</v>
      </c>
      <c r="G27" s="149">
        <v>8.2243460000000006</v>
      </c>
      <c r="H27" s="149">
        <v>-10.515829999999999</v>
      </c>
      <c r="I27" s="149">
        <v>538</v>
      </c>
      <c r="J27" s="152">
        <f t="shared" si="24"/>
        <v>300</v>
      </c>
      <c r="K27" s="24" t="s">
        <v>40</v>
      </c>
      <c r="L27" s="152">
        <f t="shared" si="13"/>
        <v>227</v>
      </c>
      <c r="M27" s="183">
        <v>0</v>
      </c>
      <c r="N27" s="152">
        <f t="shared" si="20"/>
        <v>138</v>
      </c>
      <c r="O27" s="205">
        <v>0</v>
      </c>
      <c r="P27" s="79">
        <f t="shared" si="14"/>
        <v>68100</v>
      </c>
      <c r="Q27" s="79">
        <f t="shared" si="15"/>
        <v>41400</v>
      </c>
      <c r="R27" s="80">
        <f t="shared" si="21"/>
        <v>109500</v>
      </c>
      <c r="S27" s="79">
        <f t="shared" si="16"/>
        <v>122126</v>
      </c>
      <c r="T27" s="79">
        <f t="shared" si="17"/>
        <v>74244</v>
      </c>
      <c r="U27" s="79">
        <f t="shared" si="22"/>
        <v>196370</v>
      </c>
      <c r="V27" s="211">
        <f t="shared" si="23"/>
        <v>0</v>
      </c>
    </row>
    <row r="28" spans="2:24">
      <c r="B28" s="154" t="s">
        <v>86</v>
      </c>
      <c r="C28" s="154" t="s">
        <v>87</v>
      </c>
      <c r="D28" s="148">
        <v>43946</v>
      </c>
      <c r="E28" s="182">
        <f t="shared" si="19"/>
        <v>44335</v>
      </c>
      <c r="F28" s="149" t="s">
        <v>39</v>
      </c>
      <c r="G28" s="149">
        <v>8.2112216</v>
      </c>
      <c r="H28" s="149">
        <v>-10.507698</v>
      </c>
      <c r="I28" s="149">
        <v>538</v>
      </c>
      <c r="J28" s="152">
        <f t="shared" si="24"/>
        <v>300</v>
      </c>
      <c r="K28" s="24" t="s">
        <v>40</v>
      </c>
      <c r="L28" s="152">
        <f t="shared" si="13"/>
        <v>139</v>
      </c>
      <c r="M28" s="183">
        <v>88</v>
      </c>
      <c r="N28" s="152">
        <f t="shared" si="20"/>
        <v>138</v>
      </c>
      <c r="O28" s="205">
        <v>0</v>
      </c>
      <c r="P28" s="79">
        <f t="shared" si="14"/>
        <v>41700</v>
      </c>
      <c r="Q28" s="79">
        <f t="shared" si="15"/>
        <v>41400</v>
      </c>
      <c r="R28" s="80">
        <f t="shared" si="21"/>
        <v>83100</v>
      </c>
      <c r="S28" s="79">
        <f t="shared" si="16"/>
        <v>74782</v>
      </c>
      <c r="T28" s="79">
        <f t="shared" si="17"/>
        <v>74244</v>
      </c>
      <c r="U28" s="79">
        <f t="shared" si="22"/>
        <v>149026</v>
      </c>
      <c r="V28" s="211">
        <f t="shared" si="23"/>
        <v>0.24109589041095891</v>
      </c>
    </row>
    <row r="29" spans="2:24">
      <c r="B29" s="154" t="s">
        <v>88</v>
      </c>
      <c r="C29" s="154" t="s">
        <v>89</v>
      </c>
      <c r="D29" s="148">
        <v>43951</v>
      </c>
      <c r="E29" s="182">
        <f t="shared" si="19"/>
        <v>44335</v>
      </c>
      <c r="F29" s="149" t="s">
        <v>73</v>
      </c>
      <c r="G29" s="149">
        <v>8.2023229999999998</v>
      </c>
      <c r="H29" s="149">
        <v>-10.481707999999999</v>
      </c>
      <c r="I29" s="149">
        <v>483</v>
      </c>
      <c r="J29" s="152">
        <f t="shared" si="24"/>
        <v>300</v>
      </c>
      <c r="K29" s="24" t="s">
        <v>40</v>
      </c>
      <c r="L29" s="152">
        <f t="shared" si="13"/>
        <v>141</v>
      </c>
      <c r="M29" s="183">
        <v>86</v>
      </c>
      <c r="N29" s="152">
        <f t="shared" si="20"/>
        <v>138</v>
      </c>
      <c r="O29" s="205">
        <v>0</v>
      </c>
      <c r="P29" s="79">
        <f t="shared" si="14"/>
        <v>42300</v>
      </c>
      <c r="Q29" s="79">
        <f t="shared" si="15"/>
        <v>41400</v>
      </c>
      <c r="R29" s="80">
        <f t="shared" si="21"/>
        <v>83700</v>
      </c>
      <c r="S29" s="79">
        <f t="shared" si="16"/>
        <v>68103</v>
      </c>
      <c r="T29" s="79">
        <f t="shared" si="17"/>
        <v>66654</v>
      </c>
      <c r="U29" s="79">
        <f t="shared" si="22"/>
        <v>134757</v>
      </c>
      <c r="V29" s="211">
        <f t="shared" si="23"/>
        <v>0.23561643835616439</v>
      </c>
    </row>
    <row r="30" spans="2:24">
      <c r="B30" s="154" t="s">
        <v>90</v>
      </c>
      <c r="C30" s="154" t="s">
        <v>91</v>
      </c>
      <c r="D30" s="148">
        <v>43941</v>
      </c>
      <c r="E30" s="182">
        <f t="shared" si="19"/>
        <v>44335</v>
      </c>
      <c r="F30" s="149" t="s">
        <v>73</v>
      </c>
      <c r="G30" s="149">
        <v>8.2022879999999994</v>
      </c>
      <c r="H30" s="149">
        <v>-10.480705</v>
      </c>
      <c r="I30" s="149">
        <v>483</v>
      </c>
      <c r="J30" s="152">
        <f t="shared" si="24"/>
        <v>300</v>
      </c>
      <c r="K30" s="24" t="s">
        <v>40</v>
      </c>
      <c r="L30" s="152">
        <f t="shared" si="13"/>
        <v>227</v>
      </c>
      <c r="M30" s="183">
        <v>0</v>
      </c>
      <c r="N30" s="152">
        <f t="shared" si="20"/>
        <v>138</v>
      </c>
      <c r="O30" s="205">
        <v>0</v>
      </c>
      <c r="P30" s="79">
        <f t="shared" si="14"/>
        <v>68100</v>
      </c>
      <c r="Q30" s="79">
        <f t="shared" si="15"/>
        <v>41400</v>
      </c>
      <c r="R30" s="80">
        <f t="shared" si="21"/>
        <v>109500</v>
      </c>
      <c r="S30" s="79">
        <f t="shared" si="16"/>
        <v>109641</v>
      </c>
      <c r="T30" s="79">
        <f t="shared" si="17"/>
        <v>66654</v>
      </c>
      <c r="U30" s="79">
        <f t="shared" si="22"/>
        <v>176295</v>
      </c>
      <c r="V30" s="211">
        <f t="shared" si="23"/>
        <v>0</v>
      </c>
    </row>
    <row r="31" spans="2:24">
      <c r="B31" s="154" t="s">
        <v>92</v>
      </c>
      <c r="C31" s="154" t="s">
        <v>93</v>
      </c>
      <c r="D31" s="148">
        <v>43941</v>
      </c>
      <c r="E31" s="182">
        <f t="shared" si="19"/>
        <v>44335</v>
      </c>
      <c r="F31" s="149" t="s">
        <v>73</v>
      </c>
      <c r="G31" s="149">
        <v>8.2034409999999998</v>
      </c>
      <c r="H31" s="149">
        <v>-10.483663</v>
      </c>
      <c r="I31" s="149">
        <v>534</v>
      </c>
      <c r="J31" s="152">
        <f t="shared" si="24"/>
        <v>300</v>
      </c>
      <c r="K31" s="24" t="s">
        <v>40</v>
      </c>
      <c r="L31" s="152">
        <f t="shared" si="13"/>
        <v>227</v>
      </c>
      <c r="M31" s="183">
        <v>0</v>
      </c>
      <c r="N31" s="152">
        <f t="shared" si="20"/>
        <v>138</v>
      </c>
      <c r="O31" s="205">
        <v>0</v>
      </c>
      <c r="P31" s="79">
        <f t="shared" si="14"/>
        <v>68100</v>
      </c>
      <c r="Q31" s="79">
        <f t="shared" si="15"/>
        <v>41400</v>
      </c>
      <c r="R31" s="80">
        <f t="shared" si="21"/>
        <v>109500</v>
      </c>
      <c r="S31" s="79">
        <f t="shared" si="16"/>
        <v>121218</v>
      </c>
      <c r="T31" s="79">
        <f t="shared" si="17"/>
        <v>73692</v>
      </c>
      <c r="U31" s="79">
        <f t="shared" si="22"/>
        <v>194910</v>
      </c>
      <c r="V31" s="211">
        <f t="shared" si="23"/>
        <v>0</v>
      </c>
    </row>
    <row r="32" spans="2:24">
      <c r="B32" s="156">
        <f>COUNTA(B19:B31)</f>
        <v>13</v>
      </c>
      <c r="C32" s="90"/>
      <c r="D32" s="157"/>
      <c r="E32" s="157"/>
      <c r="F32" s="90"/>
      <c r="G32" s="90"/>
      <c r="H32" s="90"/>
      <c r="I32" s="91">
        <f>SUM(I19:I31)</f>
        <v>7120</v>
      </c>
      <c r="J32" s="91">
        <f>SUM(J19:J31)</f>
        <v>3900</v>
      </c>
      <c r="K32" s="90"/>
      <c r="L32" s="91">
        <f t="shared" ref="L32:R32" si="25">SUM(L19:L31)</f>
        <v>2673</v>
      </c>
      <c r="M32" s="91">
        <f t="shared" si="25"/>
        <v>278</v>
      </c>
      <c r="N32" s="91">
        <f t="shared" si="25"/>
        <v>1794</v>
      </c>
      <c r="O32" s="91">
        <f t="shared" si="25"/>
        <v>0</v>
      </c>
      <c r="P32" s="92">
        <f t="shared" si="25"/>
        <v>801900</v>
      </c>
      <c r="Q32" s="92">
        <f t="shared" si="25"/>
        <v>538200</v>
      </c>
      <c r="R32" s="92">
        <f t="shared" si="25"/>
        <v>1340100</v>
      </c>
      <c r="S32" s="92">
        <f t="shared" ref="S32:T32" si="26">SUM(S19:S31)</f>
        <v>1476918</v>
      </c>
      <c r="T32" s="92">
        <f t="shared" si="26"/>
        <v>982560</v>
      </c>
      <c r="U32" s="92">
        <f>SUM(U19:U31)</f>
        <v>2459478</v>
      </c>
      <c r="V32" s="212">
        <f>AVERAGE(V19:V31)</f>
        <v>5.858798735511065E-2</v>
      </c>
      <c r="W32" s="204"/>
    </row>
    <row r="33" spans="2:23">
      <c r="B33" s="144" t="s">
        <v>94</v>
      </c>
      <c r="C33" s="145"/>
      <c r="D33" s="145"/>
      <c r="E33" s="145"/>
      <c r="F33" s="145"/>
      <c r="G33" s="145"/>
      <c r="H33" s="145"/>
      <c r="I33" s="145"/>
      <c r="J33" s="145"/>
      <c r="K33" s="145"/>
      <c r="L33" s="93"/>
      <c r="M33" s="93"/>
      <c r="N33" s="94"/>
      <c r="O33" s="94"/>
      <c r="P33" s="95"/>
      <c r="Q33" s="96"/>
      <c r="R33" s="97"/>
      <c r="S33" s="97"/>
      <c r="T33" s="97"/>
      <c r="U33" s="97"/>
      <c r="V33" s="210"/>
    </row>
    <row r="34" spans="2:23">
      <c r="B34" s="44" t="s">
        <v>95</v>
      </c>
      <c r="C34" s="1" t="s">
        <v>96</v>
      </c>
      <c r="D34" s="160">
        <v>43628</v>
      </c>
      <c r="E34" s="182">
        <f>$Y$2</f>
        <v>44335</v>
      </c>
      <c r="F34" s="24" t="s">
        <v>39</v>
      </c>
      <c r="G34" s="33">
        <v>8.9606300000000001</v>
      </c>
      <c r="H34" s="24">
        <v>-10.65347</v>
      </c>
      <c r="I34" s="152">
        <v>753</v>
      </c>
      <c r="J34" s="152">
        <f>IF(I34&gt;300, 300, I34)</f>
        <v>300</v>
      </c>
      <c r="K34" s="30" t="s">
        <v>40</v>
      </c>
      <c r="L34" s="152">
        <f t="shared" ref="L34:L46" si="27">$Y$4-$E34-M34+1</f>
        <v>227</v>
      </c>
      <c r="M34" s="183">
        <v>0</v>
      </c>
      <c r="N34" s="152">
        <f>$Y$3-$Y$4-O34</f>
        <v>138</v>
      </c>
      <c r="O34" s="183">
        <v>0</v>
      </c>
      <c r="P34" s="80">
        <f t="shared" ref="P34:P46" si="28">L34*J34</f>
        <v>68100</v>
      </c>
      <c r="Q34" s="80">
        <f t="shared" ref="Q34:Q46" si="29">N34*J34</f>
        <v>41400</v>
      </c>
      <c r="R34" s="80">
        <f>SUM(P34:Q34)</f>
        <v>109500</v>
      </c>
      <c r="S34" s="79">
        <f t="shared" ref="S34:S46" si="30">L34*I34</f>
        <v>170931</v>
      </c>
      <c r="T34" s="79">
        <f t="shared" ref="T34:T46" si="31">N34*I34</f>
        <v>103914</v>
      </c>
      <c r="U34" s="79">
        <f t="shared" ref="U34:U46" si="32">SUM(S34:T34)</f>
        <v>274845</v>
      </c>
      <c r="V34" s="211">
        <f>(M34+O34)/SUM(L34:O34)</f>
        <v>0</v>
      </c>
    </row>
    <row r="35" spans="2:23">
      <c r="B35" s="161" t="s">
        <v>97</v>
      </c>
      <c r="C35" s="2" t="s">
        <v>98</v>
      </c>
      <c r="D35" s="160">
        <v>43629</v>
      </c>
      <c r="E35" s="182">
        <f t="shared" ref="E35:E46" si="33">$Y$2</f>
        <v>44335</v>
      </c>
      <c r="F35" s="24" t="s">
        <v>39</v>
      </c>
      <c r="G35" s="33">
        <v>8.6225970000000007</v>
      </c>
      <c r="H35" s="24">
        <v>-10.54283</v>
      </c>
      <c r="I35" s="24">
        <v>612</v>
      </c>
      <c r="J35" s="152">
        <f t="shared" ref="J35:J39" si="34">IF(I35&gt;300, 300, I35)</f>
        <v>300</v>
      </c>
      <c r="K35" s="30" t="s">
        <v>40</v>
      </c>
      <c r="L35" s="152">
        <f t="shared" si="27"/>
        <v>158</v>
      </c>
      <c r="M35" s="183">
        <v>69</v>
      </c>
      <c r="N35" s="152">
        <f t="shared" ref="N35:N46" si="35">$Y$3-$Y$4-O35</f>
        <v>138</v>
      </c>
      <c r="O35" s="183">
        <v>0</v>
      </c>
      <c r="P35" s="80">
        <f t="shared" si="28"/>
        <v>47400</v>
      </c>
      <c r="Q35" s="80">
        <f t="shared" si="29"/>
        <v>41400</v>
      </c>
      <c r="R35" s="80">
        <f t="shared" ref="R35:R39" si="36">SUM(P35:Q35)</f>
        <v>88800</v>
      </c>
      <c r="S35" s="79">
        <f t="shared" si="30"/>
        <v>96696</v>
      </c>
      <c r="T35" s="79">
        <f t="shared" si="31"/>
        <v>84456</v>
      </c>
      <c r="U35" s="79">
        <f t="shared" si="32"/>
        <v>181152</v>
      </c>
      <c r="V35" s="211">
        <f t="shared" ref="V35:V46" si="37">(M35+O35)/SUM(L35:O35)</f>
        <v>0.18904109589041096</v>
      </c>
    </row>
    <row r="36" spans="2:23">
      <c r="B36" s="44" t="s">
        <v>99</v>
      </c>
      <c r="C36" s="146" t="s">
        <v>100</v>
      </c>
      <c r="D36" s="160">
        <v>43631</v>
      </c>
      <c r="E36" s="182">
        <f t="shared" si="33"/>
        <v>44335</v>
      </c>
      <c r="F36" s="24" t="s">
        <v>51</v>
      </c>
      <c r="G36" s="34">
        <v>8.1949199999999998</v>
      </c>
      <c r="H36" s="24">
        <v>-11.343978</v>
      </c>
      <c r="I36" s="24">
        <v>679</v>
      </c>
      <c r="J36" s="152">
        <f t="shared" si="34"/>
        <v>300</v>
      </c>
      <c r="K36" s="30" t="s">
        <v>40</v>
      </c>
      <c r="L36" s="152">
        <f t="shared" si="27"/>
        <v>227</v>
      </c>
      <c r="M36" s="183">
        <v>0</v>
      </c>
      <c r="N36" s="152">
        <f t="shared" si="35"/>
        <v>138</v>
      </c>
      <c r="O36" s="183">
        <v>0</v>
      </c>
      <c r="P36" s="80">
        <f t="shared" si="28"/>
        <v>68100</v>
      </c>
      <c r="Q36" s="80">
        <f t="shared" si="29"/>
        <v>41400</v>
      </c>
      <c r="R36" s="81">
        <f t="shared" si="36"/>
        <v>109500</v>
      </c>
      <c r="S36" s="79">
        <f t="shared" si="30"/>
        <v>154133</v>
      </c>
      <c r="T36" s="79">
        <f t="shared" si="31"/>
        <v>93702</v>
      </c>
      <c r="U36" s="79">
        <f t="shared" si="32"/>
        <v>247835</v>
      </c>
      <c r="V36" s="211">
        <f t="shared" si="37"/>
        <v>0</v>
      </c>
    </row>
    <row r="37" spans="2:23">
      <c r="B37" s="161" t="s">
        <v>101</v>
      </c>
      <c r="C37" s="2" t="s">
        <v>102</v>
      </c>
      <c r="D37" s="160">
        <v>43633</v>
      </c>
      <c r="E37" s="182">
        <f t="shared" si="33"/>
        <v>44335</v>
      </c>
      <c r="F37" s="24" t="s">
        <v>51</v>
      </c>
      <c r="G37" s="33">
        <v>8.7439999999999998</v>
      </c>
      <c r="H37" s="24">
        <v>-11.1012</v>
      </c>
      <c r="I37" s="24">
        <v>495</v>
      </c>
      <c r="J37" s="152">
        <f t="shared" si="34"/>
        <v>300</v>
      </c>
      <c r="K37" s="30" t="s">
        <v>40</v>
      </c>
      <c r="L37" s="152">
        <f t="shared" si="27"/>
        <v>227</v>
      </c>
      <c r="M37" s="183">
        <v>0</v>
      </c>
      <c r="N37" s="152">
        <f t="shared" si="35"/>
        <v>138</v>
      </c>
      <c r="O37" s="183">
        <v>0</v>
      </c>
      <c r="P37" s="80">
        <f t="shared" si="28"/>
        <v>68100</v>
      </c>
      <c r="Q37" s="80">
        <f t="shared" si="29"/>
        <v>41400</v>
      </c>
      <c r="R37" s="80">
        <f t="shared" si="36"/>
        <v>109500</v>
      </c>
      <c r="S37" s="79">
        <f t="shared" si="30"/>
        <v>112365</v>
      </c>
      <c r="T37" s="79">
        <f t="shared" si="31"/>
        <v>68310</v>
      </c>
      <c r="U37" s="79">
        <f t="shared" si="32"/>
        <v>180675</v>
      </c>
      <c r="V37" s="211">
        <f t="shared" si="37"/>
        <v>0</v>
      </c>
    </row>
    <row r="38" spans="2:23">
      <c r="B38" s="161" t="s">
        <v>103</v>
      </c>
      <c r="C38" s="2" t="s">
        <v>104</v>
      </c>
      <c r="D38" s="160">
        <v>43636</v>
      </c>
      <c r="E38" s="182">
        <f t="shared" si="33"/>
        <v>44335</v>
      </c>
      <c r="F38" s="24" t="s">
        <v>51</v>
      </c>
      <c r="G38" s="33">
        <v>8.6268460000000005</v>
      </c>
      <c r="H38" s="24">
        <v>-10.784241</v>
      </c>
      <c r="I38" s="24">
        <v>619</v>
      </c>
      <c r="J38" s="152">
        <f t="shared" si="34"/>
        <v>300</v>
      </c>
      <c r="K38" s="30" t="s">
        <v>40</v>
      </c>
      <c r="L38" s="152">
        <f t="shared" si="27"/>
        <v>156</v>
      </c>
      <c r="M38" s="183">
        <v>71</v>
      </c>
      <c r="N38" s="152">
        <f t="shared" si="35"/>
        <v>138</v>
      </c>
      <c r="O38" s="183">
        <v>0</v>
      </c>
      <c r="P38" s="80">
        <f t="shared" si="28"/>
        <v>46800</v>
      </c>
      <c r="Q38" s="80">
        <f t="shared" si="29"/>
        <v>41400</v>
      </c>
      <c r="R38" s="80">
        <f t="shared" si="36"/>
        <v>88200</v>
      </c>
      <c r="S38" s="79">
        <f t="shared" si="30"/>
        <v>96564</v>
      </c>
      <c r="T38" s="79">
        <f t="shared" si="31"/>
        <v>85422</v>
      </c>
      <c r="U38" s="79">
        <f t="shared" si="32"/>
        <v>181986</v>
      </c>
      <c r="V38" s="211">
        <f t="shared" si="37"/>
        <v>0.19452054794520549</v>
      </c>
    </row>
    <row r="39" spans="2:23">
      <c r="B39" s="161" t="s">
        <v>105</v>
      </c>
      <c r="C39" s="2" t="s">
        <v>106</v>
      </c>
      <c r="D39" s="160">
        <v>43643</v>
      </c>
      <c r="E39" s="182">
        <f t="shared" si="33"/>
        <v>44335</v>
      </c>
      <c r="F39" s="24" t="s">
        <v>73</v>
      </c>
      <c r="G39" s="33">
        <v>8.8047780000000007</v>
      </c>
      <c r="H39" s="24">
        <v>-10.698423999999999</v>
      </c>
      <c r="I39" s="24">
        <v>439</v>
      </c>
      <c r="J39" s="152">
        <f t="shared" si="34"/>
        <v>300</v>
      </c>
      <c r="K39" s="24" t="s">
        <v>40</v>
      </c>
      <c r="L39" s="152">
        <f t="shared" si="27"/>
        <v>227</v>
      </c>
      <c r="M39" s="183">
        <v>0</v>
      </c>
      <c r="N39" s="152">
        <f t="shared" si="35"/>
        <v>138</v>
      </c>
      <c r="O39" s="183">
        <v>0</v>
      </c>
      <c r="P39" s="80">
        <f t="shared" si="28"/>
        <v>68100</v>
      </c>
      <c r="Q39" s="80">
        <f t="shared" si="29"/>
        <v>41400</v>
      </c>
      <c r="R39" s="80">
        <f t="shared" si="36"/>
        <v>109500</v>
      </c>
      <c r="S39" s="79">
        <f t="shared" si="30"/>
        <v>99653</v>
      </c>
      <c r="T39" s="79">
        <f t="shared" si="31"/>
        <v>60582</v>
      </c>
      <c r="U39" s="79">
        <f t="shared" si="32"/>
        <v>160235</v>
      </c>
      <c r="V39" s="211">
        <f t="shared" si="37"/>
        <v>0</v>
      </c>
    </row>
    <row r="40" spans="2:23">
      <c r="B40" s="154" t="s">
        <v>107</v>
      </c>
      <c r="C40" s="154" t="s">
        <v>108</v>
      </c>
      <c r="D40" s="148">
        <v>43941</v>
      </c>
      <c r="E40" s="182">
        <f t="shared" si="33"/>
        <v>44335</v>
      </c>
      <c r="F40" s="149" t="s">
        <v>73</v>
      </c>
      <c r="G40" s="149">
        <v>8.2016849999999994</v>
      </c>
      <c r="H40" s="149">
        <v>-10.480826</v>
      </c>
      <c r="I40" s="149">
        <v>479</v>
      </c>
      <c r="J40" s="152">
        <f>IF(I40&gt;300, 300, I40)</f>
        <v>300</v>
      </c>
      <c r="K40" s="24" t="s">
        <v>40</v>
      </c>
      <c r="L40" s="152">
        <f t="shared" si="27"/>
        <v>227</v>
      </c>
      <c r="M40" s="183">
        <v>0</v>
      </c>
      <c r="N40" s="152">
        <f t="shared" si="35"/>
        <v>138</v>
      </c>
      <c r="O40" s="205">
        <v>0</v>
      </c>
      <c r="P40" s="79">
        <f t="shared" si="28"/>
        <v>68100</v>
      </c>
      <c r="Q40" s="79">
        <f t="shared" si="29"/>
        <v>41400</v>
      </c>
      <c r="R40" s="80">
        <f>SUM(P40:Q40)</f>
        <v>109500</v>
      </c>
      <c r="S40" s="79">
        <f t="shared" si="30"/>
        <v>108733</v>
      </c>
      <c r="T40" s="79">
        <f t="shared" si="31"/>
        <v>66102</v>
      </c>
      <c r="U40" s="79">
        <f t="shared" si="32"/>
        <v>174835</v>
      </c>
      <c r="V40" s="211">
        <f t="shared" si="37"/>
        <v>0</v>
      </c>
    </row>
    <row r="41" spans="2:23">
      <c r="B41" s="154" t="s">
        <v>109</v>
      </c>
      <c r="C41" s="154" t="s">
        <v>110</v>
      </c>
      <c r="D41" s="148">
        <v>43943</v>
      </c>
      <c r="E41" s="182">
        <f t="shared" si="33"/>
        <v>44335</v>
      </c>
      <c r="F41" s="149" t="s">
        <v>51</v>
      </c>
      <c r="G41" s="149">
        <v>8.1001030000000007</v>
      </c>
      <c r="H41" s="149">
        <v>-10.688140000000001</v>
      </c>
      <c r="I41" s="149">
        <v>527</v>
      </c>
      <c r="J41" s="152">
        <f>IF(I41&gt;300, 300, I41)</f>
        <v>300</v>
      </c>
      <c r="K41" s="24" t="s">
        <v>40</v>
      </c>
      <c r="L41" s="152">
        <f t="shared" si="27"/>
        <v>227</v>
      </c>
      <c r="M41" s="183">
        <v>0</v>
      </c>
      <c r="N41" s="152">
        <f t="shared" si="35"/>
        <v>138</v>
      </c>
      <c r="O41" s="205">
        <v>0</v>
      </c>
      <c r="P41" s="79">
        <f t="shared" si="28"/>
        <v>68100</v>
      </c>
      <c r="Q41" s="79">
        <f t="shared" si="29"/>
        <v>41400</v>
      </c>
      <c r="R41" s="80">
        <f t="shared" ref="R41" si="38">SUM(P41:Q41)</f>
        <v>109500</v>
      </c>
      <c r="S41" s="79">
        <f t="shared" si="30"/>
        <v>119629</v>
      </c>
      <c r="T41" s="79">
        <f t="shared" si="31"/>
        <v>72726</v>
      </c>
      <c r="U41" s="79">
        <f t="shared" si="32"/>
        <v>192355</v>
      </c>
      <c r="V41" s="211">
        <f t="shared" si="37"/>
        <v>0</v>
      </c>
    </row>
    <row r="42" spans="2:23">
      <c r="B42" s="154" t="s">
        <v>111</v>
      </c>
      <c r="C42" s="154" t="s">
        <v>112</v>
      </c>
      <c r="D42" s="148">
        <v>43949</v>
      </c>
      <c r="E42" s="182">
        <f t="shared" si="33"/>
        <v>44335</v>
      </c>
      <c r="F42" s="149" t="s">
        <v>73</v>
      </c>
      <c r="G42" s="149">
        <v>8.1051113000000008</v>
      </c>
      <c r="H42" s="149">
        <v>-10.694163</v>
      </c>
      <c r="I42" s="149">
        <v>513</v>
      </c>
      <c r="J42" s="152">
        <f xml:space="preserve"> IF(I42&gt;300, 300,#REF!)</f>
        <v>300</v>
      </c>
      <c r="K42" s="24" t="s">
        <v>40</v>
      </c>
      <c r="L42" s="152">
        <f t="shared" si="27"/>
        <v>138</v>
      </c>
      <c r="M42" s="183">
        <v>89</v>
      </c>
      <c r="N42" s="152">
        <f t="shared" si="35"/>
        <v>138</v>
      </c>
      <c r="O42" s="183">
        <v>0</v>
      </c>
      <c r="P42" s="80">
        <f t="shared" si="28"/>
        <v>41400</v>
      </c>
      <c r="Q42" s="80">
        <f t="shared" si="29"/>
        <v>41400</v>
      </c>
      <c r="R42" s="80">
        <f t="shared" ref="R42:R44" si="39">SUM(P42:Q42)</f>
        <v>82800</v>
      </c>
      <c r="S42" s="79">
        <f t="shared" si="30"/>
        <v>70794</v>
      </c>
      <c r="T42" s="79">
        <f t="shared" si="31"/>
        <v>70794</v>
      </c>
      <c r="U42" s="79">
        <f t="shared" si="32"/>
        <v>141588</v>
      </c>
      <c r="V42" s="211">
        <f t="shared" si="37"/>
        <v>0.24383561643835616</v>
      </c>
    </row>
    <row r="43" spans="2:23">
      <c r="B43" s="154" t="s">
        <v>113</v>
      </c>
      <c r="C43" s="154" t="s">
        <v>114</v>
      </c>
      <c r="D43" s="148">
        <v>43943</v>
      </c>
      <c r="E43" s="182">
        <f t="shared" si="33"/>
        <v>44335</v>
      </c>
      <c r="F43" s="149" t="s">
        <v>73</v>
      </c>
      <c r="G43" s="149">
        <v>8.2485510000000009</v>
      </c>
      <c r="H43" s="149">
        <v>-10.517200000000001</v>
      </c>
      <c r="I43" s="149">
        <v>486</v>
      </c>
      <c r="J43" s="152">
        <f xml:space="preserve"> IF(I43&gt;300, 300,#REF!)</f>
        <v>300</v>
      </c>
      <c r="K43" s="24" t="s">
        <v>40</v>
      </c>
      <c r="L43" s="152">
        <f t="shared" si="27"/>
        <v>227</v>
      </c>
      <c r="M43" s="183">
        <v>0</v>
      </c>
      <c r="N43" s="152">
        <f t="shared" si="35"/>
        <v>138</v>
      </c>
      <c r="O43" s="183">
        <v>0</v>
      </c>
      <c r="P43" s="80">
        <f t="shared" si="28"/>
        <v>68100</v>
      </c>
      <c r="Q43" s="80">
        <f t="shared" si="29"/>
        <v>41400</v>
      </c>
      <c r="R43" s="80">
        <f t="shared" si="39"/>
        <v>109500</v>
      </c>
      <c r="S43" s="79">
        <f t="shared" si="30"/>
        <v>110322</v>
      </c>
      <c r="T43" s="79">
        <f t="shared" si="31"/>
        <v>67068</v>
      </c>
      <c r="U43" s="79">
        <f t="shared" si="32"/>
        <v>177390</v>
      </c>
      <c r="V43" s="211">
        <f t="shared" si="37"/>
        <v>0</v>
      </c>
    </row>
    <row r="44" spans="2:23">
      <c r="B44" s="154" t="s">
        <v>115</v>
      </c>
      <c r="C44" s="154" t="s">
        <v>116</v>
      </c>
      <c r="D44" s="148">
        <v>43943</v>
      </c>
      <c r="E44" s="182">
        <f t="shared" si="33"/>
        <v>44335</v>
      </c>
      <c r="F44" s="149" t="s">
        <v>39</v>
      </c>
      <c r="G44" s="149">
        <v>8.2489215999999992</v>
      </c>
      <c r="H44" s="149">
        <v>-10.518641000000001</v>
      </c>
      <c r="I44" s="149">
        <v>497</v>
      </c>
      <c r="J44" s="152">
        <f xml:space="preserve"> IF(I44&gt;300, 300,#REF!)</f>
        <v>300</v>
      </c>
      <c r="K44" s="24" t="s">
        <v>40</v>
      </c>
      <c r="L44" s="152">
        <f t="shared" si="27"/>
        <v>227</v>
      </c>
      <c r="M44" s="183">
        <v>0</v>
      </c>
      <c r="N44" s="152">
        <f t="shared" si="35"/>
        <v>138</v>
      </c>
      <c r="O44" s="183">
        <v>0</v>
      </c>
      <c r="P44" s="80">
        <f t="shared" si="28"/>
        <v>68100</v>
      </c>
      <c r="Q44" s="80">
        <f t="shared" si="29"/>
        <v>41400</v>
      </c>
      <c r="R44" s="80">
        <f t="shared" si="39"/>
        <v>109500</v>
      </c>
      <c r="S44" s="79">
        <f t="shared" si="30"/>
        <v>112819</v>
      </c>
      <c r="T44" s="79">
        <f t="shared" si="31"/>
        <v>68586</v>
      </c>
      <c r="U44" s="79">
        <f t="shared" si="32"/>
        <v>181405</v>
      </c>
      <c r="V44" s="211">
        <f t="shared" si="37"/>
        <v>0</v>
      </c>
    </row>
    <row r="45" spans="2:23">
      <c r="B45" s="154" t="s">
        <v>117</v>
      </c>
      <c r="C45" s="154" t="s">
        <v>118</v>
      </c>
      <c r="D45" s="148">
        <v>43971</v>
      </c>
      <c r="E45" s="182">
        <f t="shared" si="33"/>
        <v>44335</v>
      </c>
      <c r="F45" s="149" t="s">
        <v>39</v>
      </c>
      <c r="G45" s="149">
        <v>8.0982880000000002</v>
      </c>
      <c r="H45" s="149">
        <v>-10.700150000000001</v>
      </c>
      <c r="I45" s="149">
        <v>648</v>
      </c>
      <c r="J45" s="152">
        <f>IF(I45&gt;300, 300, I17)</f>
        <v>300</v>
      </c>
      <c r="K45" s="24" t="s">
        <v>40</v>
      </c>
      <c r="L45" s="152">
        <f t="shared" si="27"/>
        <v>227</v>
      </c>
      <c r="M45" s="183">
        <v>0</v>
      </c>
      <c r="N45" s="152">
        <f t="shared" si="35"/>
        <v>138</v>
      </c>
      <c r="O45" s="183">
        <v>0</v>
      </c>
      <c r="P45" s="80">
        <f t="shared" si="28"/>
        <v>68100</v>
      </c>
      <c r="Q45" s="80">
        <f t="shared" si="29"/>
        <v>41400</v>
      </c>
      <c r="R45" s="80">
        <f>SUM(P45:Q45)</f>
        <v>109500</v>
      </c>
      <c r="S45" s="79">
        <f t="shared" si="30"/>
        <v>147096</v>
      </c>
      <c r="T45" s="79">
        <f t="shared" si="31"/>
        <v>89424</v>
      </c>
      <c r="U45" s="79">
        <f t="shared" si="32"/>
        <v>236520</v>
      </c>
      <c r="V45" s="211">
        <f t="shared" si="37"/>
        <v>0</v>
      </c>
    </row>
    <row r="46" spans="2:23">
      <c r="B46" s="154" t="s">
        <v>119</v>
      </c>
      <c r="C46" s="154" t="s">
        <v>120</v>
      </c>
      <c r="D46" s="148">
        <v>43949</v>
      </c>
      <c r="E46" s="182">
        <f t="shared" si="33"/>
        <v>44335</v>
      </c>
      <c r="F46" s="149" t="s">
        <v>39</v>
      </c>
      <c r="G46" s="149">
        <v>8.0996649999999999</v>
      </c>
      <c r="H46" s="149">
        <v>-10.694515000000001</v>
      </c>
      <c r="I46" s="149">
        <v>436</v>
      </c>
      <c r="J46" s="152">
        <f>IF(I46&gt;300, 300, I18)</f>
        <v>300</v>
      </c>
      <c r="K46" s="24" t="s">
        <v>40</v>
      </c>
      <c r="L46" s="152">
        <f t="shared" si="27"/>
        <v>226</v>
      </c>
      <c r="M46" s="183">
        <v>1</v>
      </c>
      <c r="N46" s="152">
        <f t="shared" si="35"/>
        <v>138</v>
      </c>
      <c r="O46" s="183">
        <v>0</v>
      </c>
      <c r="P46" s="80">
        <f t="shared" si="28"/>
        <v>67800</v>
      </c>
      <c r="Q46" s="80">
        <f t="shared" si="29"/>
        <v>41400</v>
      </c>
      <c r="R46" s="80">
        <f>SUM(P46:Q46)</f>
        <v>109200</v>
      </c>
      <c r="S46" s="79">
        <f t="shared" si="30"/>
        <v>98536</v>
      </c>
      <c r="T46" s="79">
        <f t="shared" si="31"/>
        <v>60168</v>
      </c>
      <c r="U46" s="79">
        <f t="shared" si="32"/>
        <v>158704</v>
      </c>
      <c r="V46" s="211">
        <f t="shared" si="37"/>
        <v>2.7397260273972603E-3</v>
      </c>
    </row>
    <row r="47" spans="2:23">
      <c r="B47" s="156">
        <f>COUNTA(B34:B46)</f>
        <v>13</v>
      </c>
      <c r="C47" s="90"/>
      <c r="D47" s="157"/>
      <c r="E47" s="157"/>
      <c r="F47" s="90"/>
      <c r="G47" s="90"/>
      <c r="H47" s="90"/>
      <c r="I47" s="91">
        <f>SUM(I34:I46)</f>
        <v>7183</v>
      </c>
      <c r="J47" s="91">
        <f>SUM(J34:J46)</f>
        <v>3900</v>
      </c>
      <c r="K47" s="90"/>
      <c r="L47" s="91">
        <f t="shared" ref="L47:R47" si="40">SUM(L34:L46)</f>
        <v>2721</v>
      </c>
      <c r="M47" s="91">
        <f t="shared" si="40"/>
        <v>230</v>
      </c>
      <c r="N47" s="91">
        <f t="shared" si="40"/>
        <v>1794</v>
      </c>
      <c r="O47" s="91">
        <f t="shared" si="40"/>
        <v>0</v>
      </c>
      <c r="P47" s="92">
        <f t="shared" si="40"/>
        <v>816300</v>
      </c>
      <c r="Q47" s="92">
        <f t="shared" si="40"/>
        <v>538200</v>
      </c>
      <c r="R47" s="92">
        <f t="shared" si="40"/>
        <v>1354500</v>
      </c>
      <c r="S47" s="92">
        <f t="shared" ref="S47:T47" si="41">SUM(S34:S46)</f>
        <v>1498271</v>
      </c>
      <c r="T47" s="92">
        <f t="shared" si="41"/>
        <v>991254</v>
      </c>
      <c r="U47" s="92">
        <f>SUM(U34:U46)</f>
        <v>2489525</v>
      </c>
      <c r="V47" s="212">
        <f>AVERAGE(V34:V46)</f>
        <v>4.8472075869336141E-2</v>
      </c>
      <c r="W47" s="204"/>
    </row>
    <row r="48" spans="2:23">
      <c r="B48" s="144" t="s">
        <v>121</v>
      </c>
      <c r="C48" s="145"/>
      <c r="D48" s="145"/>
      <c r="E48" s="145"/>
      <c r="F48" s="145"/>
      <c r="G48" s="145"/>
      <c r="H48" s="145"/>
      <c r="I48" s="145"/>
      <c r="J48" s="145"/>
      <c r="K48" s="145"/>
      <c r="L48" s="93"/>
      <c r="M48" s="93"/>
      <c r="N48" s="94"/>
      <c r="O48" s="94"/>
      <c r="P48" s="95"/>
      <c r="Q48" s="96"/>
      <c r="R48" s="97"/>
      <c r="S48" s="97"/>
      <c r="T48" s="97"/>
      <c r="U48" s="97"/>
      <c r="V48" s="210"/>
    </row>
    <row r="49" spans="2:23">
      <c r="B49" s="161" t="s">
        <v>122</v>
      </c>
      <c r="C49" s="2" t="s">
        <v>123</v>
      </c>
      <c r="D49" s="160">
        <v>43643</v>
      </c>
      <c r="E49" s="182">
        <f t="shared" ref="E49:E60" si="42">$Y$2</f>
        <v>44335</v>
      </c>
      <c r="F49" s="24" t="s">
        <v>39</v>
      </c>
      <c r="G49" s="33">
        <v>8.6377000000000006</v>
      </c>
      <c r="H49" s="29">
        <v>-10.876488</v>
      </c>
      <c r="I49" s="152">
        <v>700</v>
      </c>
      <c r="J49" s="152">
        <f t="shared" ref="J49:J53" si="43">IF(I49&gt;300, 300, I49)</f>
        <v>300</v>
      </c>
      <c r="K49" s="30" t="s">
        <v>40</v>
      </c>
      <c r="L49" s="152">
        <f t="shared" ref="L49:L60" si="44">$Y$4-$E49-M49+1</f>
        <v>227</v>
      </c>
      <c r="M49" s="183">
        <v>0</v>
      </c>
      <c r="N49" s="152">
        <f>$Y$3-$Y$4-O49</f>
        <v>138</v>
      </c>
      <c r="O49" s="183">
        <v>0</v>
      </c>
      <c r="P49" s="80">
        <f t="shared" ref="P49:P60" si="45">L49*J49</f>
        <v>68100</v>
      </c>
      <c r="Q49" s="80">
        <f t="shared" ref="Q49:Q60" si="46">N49*J49</f>
        <v>41400</v>
      </c>
      <c r="R49" s="80">
        <f>SUM(P49:Q49)</f>
        <v>109500</v>
      </c>
      <c r="S49" s="79">
        <f t="shared" ref="S49:S60" si="47">L49*I49</f>
        <v>158900</v>
      </c>
      <c r="T49" s="79">
        <f t="shared" ref="T49:T60" si="48">N49*I49</f>
        <v>96600</v>
      </c>
      <c r="U49" s="79">
        <f t="shared" ref="U49:U60" si="49">SUM(S49:T49)</f>
        <v>255500</v>
      </c>
      <c r="V49" s="211">
        <f>(M49+O49)/SUM(L49:O49)</f>
        <v>0</v>
      </c>
    </row>
    <row r="50" spans="2:23">
      <c r="B50" s="161" t="s">
        <v>124</v>
      </c>
      <c r="C50" s="2" t="s">
        <v>125</v>
      </c>
      <c r="D50" s="160">
        <v>43644</v>
      </c>
      <c r="E50" s="182">
        <f t="shared" si="42"/>
        <v>44335</v>
      </c>
      <c r="F50" s="24" t="s">
        <v>39</v>
      </c>
      <c r="G50" s="33">
        <v>8.6814</v>
      </c>
      <c r="H50" s="29">
        <v>-10.5152</v>
      </c>
      <c r="I50" s="24">
        <v>765</v>
      </c>
      <c r="J50" s="152">
        <f t="shared" si="43"/>
        <v>300</v>
      </c>
      <c r="K50" s="30" t="s">
        <v>40</v>
      </c>
      <c r="L50" s="152">
        <f t="shared" si="44"/>
        <v>227</v>
      </c>
      <c r="M50" s="183">
        <v>0</v>
      </c>
      <c r="N50" s="152">
        <f t="shared" ref="N50:N60" si="50">$Y$3-$Y$4-O50</f>
        <v>138</v>
      </c>
      <c r="O50" s="183">
        <v>0</v>
      </c>
      <c r="P50" s="80">
        <f t="shared" si="45"/>
        <v>68100</v>
      </c>
      <c r="Q50" s="80">
        <f t="shared" si="46"/>
        <v>41400</v>
      </c>
      <c r="R50" s="80">
        <f t="shared" ref="R50:R60" si="51">SUM(P50:Q50)</f>
        <v>109500</v>
      </c>
      <c r="S50" s="79">
        <f t="shared" si="47"/>
        <v>173655</v>
      </c>
      <c r="T50" s="79">
        <f t="shared" si="48"/>
        <v>105570</v>
      </c>
      <c r="U50" s="79">
        <f t="shared" si="49"/>
        <v>279225</v>
      </c>
      <c r="V50" s="211">
        <f t="shared" ref="V50:V60" si="52">(M50+O50)/SUM(L50:O50)</f>
        <v>0</v>
      </c>
    </row>
    <row r="51" spans="2:23">
      <c r="B51" s="161" t="s">
        <v>126</v>
      </c>
      <c r="C51" s="2" t="s">
        <v>127</v>
      </c>
      <c r="D51" s="160">
        <v>43670</v>
      </c>
      <c r="E51" s="182">
        <f t="shared" si="42"/>
        <v>44335</v>
      </c>
      <c r="F51" s="24" t="s">
        <v>73</v>
      </c>
      <c r="G51" s="33">
        <v>8.6990180000000006</v>
      </c>
      <c r="H51" s="29">
        <v>-10.917400000000001</v>
      </c>
      <c r="I51" s="24">
        <v>683</v>
      </c>
      <c r="J51" s="152">
        <f t="shared" si="43"/>
        <v>300</v>
      </c>
      <c r="K51" s="30" t="s">
        <v>40</v>
      </c>
      <c r="L51" s="152">
        <f t="shared" si="44"/>
        <v>224</v>
      </c>
      <c r="M51" s="183">
        <v>3</v>
      </c>
      <c r="N51" s="152">
        <f t="shared" si="50"/>
        <v>138</v>
      </c>
      <c r="O51" s="183">
        <v>0</v>
      </c>
      <c r="P51" s="80">
        <f t="shared" si="45"/>
        <v>67200</v>
      </c>
      <c r="Q51" s="80">
        <f t="shared" si="46"/>
        <v>41400</v>
      </c>
      <c r="R51" s="80">
        <f t="shared" si="51"/>
        <v>108600</v>
      </c>
      <c r="S51" s="79">
        <f t="shared" si="47"/>
        <v>152992</v>
      </c>
      <c r="T51" s="79">
        <f t="shared" si="48"/>
        <v>94254</v>
      </c>
      <c r="U51" s="79">
        <f t="shared" si="49"/>
        <v>247246</v>
      </c>
      <c r="V51" s="211">
        <f t="shared" si="52"/>
        <v>8.21917808219178E-3</v>
      </c>
    </row>
    <row r="52" spans="2:23">
      <c r="B52" s="161" t="s">
        <v>128</v>
      </c>
      <c r="C52" s="2" t="s">
        <v>129</v>
      </c>
      <c r="D52" s="160">
        <v>43671</v>
      </c>
      <c r="E52" s="182">
        <f t="shared" si="42"/>
        <v>44335</v>
      </c>
      <c r="F52" s="24" t="s">
        <v>73</v>
      </c>
      <c r="G52" s="33">
        <v>8.7632300000000001</v>
      </c>
      <c r="H52" s="29">
        <v>-10.876488</v>
      </c>
      <c r="I52" s="24">
        <v>685</v>
      </c>
      <c r="J52" s="152">
        <f t="shared" si="43"/>
        <v>300</v>
      </c>
      <c r="K52" s="30" t="s">
        <v>40</v>
      </c>
      <c r="L52" s="152">
        <f t="shared" si="44"/>
        <v>227</v>
      </c>
      <c r="M52" s="183">
        <v>0</v>
      </c>
      <c r="N52" s="152">
        <f t="shared" si="50"/>
        <v>138</v>
      </c>
      <c r="O52" s="183">
        <v>0</v>
      </c>
      <c r="P52" s="80">
        <f t="shared" si="45"/>
        <v>68100</v>
      </c>
      <c r="Q52" s="80">
        <f t="shared" si="46"/>
        <v>41400</v>
      </c>
      <c r="R52" s="80">
        <f t="shared" si="51"/>
        <v>109500</v>
      </c>
      <c r="S52" s="79">
        <f t="shared" si="47"/>
        <v>155495</v>
      </c>
      <c r="T52" s="79">
        <f t="shared" si="48"/>
        <v>94530</v>
      </c>
      <c r="U52" s="79">
        <f t="shared" si="49"/>
        <v>250025</v>
      </c>
      <c r="V52" s="211">
        <f t="shared" si="52"/>
        <v>0</v>
      </c>
    </row>
    <row r="53" spans="2:23">
      <c r="B53" s="44" t="s">
        <v>130</v>
      </c>
      <c r="C53" s="2" t="s">
        <v>131</v>
      </c>
      <c r="D53" s="160">
        <v>43672</v>
      </c>
      <c r="E53" s="182">
        <f t="shared" si="42"/>
        <v>44335</v>
      </c>
      <c r="F53" s="24" t="s">
        <v>51</v>
      </c>
      <c r="G53" s="33">
        <v>7.8739100000000004</v>
      </c>
      <c r="H53" s="29">
        <v>-11.339862999999999</v>
      </c>
      <c r="I53" s="24">
        <v>627</v>
      </c>
      <c r="J53" s="152">
        <f t="shared" si="43"/>
        <v>300</v>
      </c>
      <c r="K53" s="30" t="s">
        <v>40</v>
      </c>
      <c r="L53" s="152">
        <f t="shared" si="44"/>
        <v>227</v>
      </c>
      <c r="M53" s="183">
        <v>0</v>
      </c>
      <c r="N53" s="152">
        <f t="shared" si="50"/>
        <v>138</v>
      </c>
      <c r="O53" s="183">
        <v>0</v>
      </c>
      <c r="P53" s="80">
        <f t="shared" si="45"/>
        <v>68100</v>
      </c>
      <c r="Q53" s="80">
        <f t="shared" si="46"/>
        <v>41400</v>
      </c>
      <c r="R53" s="82">
        <f t="shared" si="51"/>
        <v>109500</v>
      </c>
      <c r="S53" s="79">
        <f t="shared" si="47"/>
        <v>142329</v>
      </c>
      <c r="T53" s="79">
        <f t="shared" si="48"/>
        <v>86526</v>
      </c>
      <c r="U53" s="79">
        <f t="shared" si="49"/>
        <v>228855</v>
      </c>
      <c r="V53" s="211">
        <f t="shared" si="52"/>
        <v>0</v>
      </c>
    </row>
    <row r="54" spans="2:23">
      <c r="B54" s="154" t="s">
        <v>132</v>
      </c>
      <c r="C54" s="154" t="s">
        <v>133</v>
      </c>
      <c r="D54" s="148">
        <v>43969</v>
      </c>
      <c r="E54" s="182">
        <f t="shared" si="42"/>
        <v>44335</v>
      </c>
      <c r="F54" s="149" t="s">
        <v>73</v>
      </c>
      <c r="G54" s="149">
        <v>8.1010200000000001</v>
      </c>
      <c r="H54" s="149">
        <v>-10.695223</v>
      </c>
      <c r="I54" s="149">
        <v>533</v>
      </c>
      <c r="J54" s="152">
        <f t="shared" ref="J54:J59" si="53">IF(I54&gt;300, 300, I19)</f>
        <v>300</v>
      </c>
      <c r="K54" s="30" t="s">
        <v>40</v>
      </c>
      <c r="L54" s="152">
        <f t="shared" si="44"/>
        <v>227</v>
      </c>
      <c r="M54" s="183">
        <v>0</v>
      </c>
      <c r="N54" s="152">
        <f t="shared" si="50"/>
        <v>138</v>
      </c>
      <c r="O54" s="183">
        <v>0</v>
      </c>
      <c r="P54" s="80">
        <f t="shared" si="45"/>
        <v>68100</v>
      </c>
      <c r="Q54" s="80">
        <f t="shared" si="46"/>
        <v>41400</v>
      </c>
      <c r="R54" s="80">
        <f t="shared" si="51"/>
        <v>109500</v>
      </c>
      <c r="S54" s="79">
        <f t="shared" si="47"/>
        <v>120991</v>
      </c>
      <c r="T54" s="79">
        <f t="shared" si="48"/>
        <v>73554</v>
      </c>
      <c r="U54" s="79">
        <f t="shared" si="49"/>
        <v>194545</v>
      </c>
      <c r="V54" s="211">
        <f t="shared" si="52"/>
        <v>0</v>
      </c>
    </row>
    <row r="55" spans="2:23">
      <c r="B55" s="154" t="s">
        <v>134</v>
      </c>
      <c r="C55" s="154" t="s">
        <v>135</v>
      </c>
      <c r="D55" s="148">
        <v>43949</v>
      </c>
      <c r="E55" s="182">
        <f t="shared" si="42"/>
        <v>44335</v>
      </c>
      <c r="F55" s="149" t="s">
        <v>73</v>
      </c>
      <c r="G55" s="149">
        <v>8.0971259999999994</v>
      </c>
      <c r="H55" s="149">
        <v>-10.693291</v>
      </c>
      <c r="I55" s="149">
        <v>557</v>
      </c>
      <c r="J55" s="152">
        <f t="shared" si="53"/>
        <v>300</v>
      </c>
      <c r="K55" s="30" t="s">
        <v>40</v>
      </c>
      <c r="L55" s="152">
        <f t="shared" si="44"/>
        <v>138</v>
      </c>
      <c r="M55" s="183">
        <v>89</v>
      </c>
      <c r="N55" s="152">
        <f t="shared" si="50"/>
        <v>138</v>
      </c>
      <c r="O55" s="183">
        <v>0</v>
      </c>
      <c r="P55" s="80">
        <f t="shared" si="45"/>
        <v>41400</v>
      </c>
      <c r="Q55" s="80">
        <f t="shared" si="46"/>
        <v>41400</v>
      </c>
      <c r="R55" s="80">
        <f t="shared" si="51"/>
        <v>82800</v>
      </c>
      <c r="S55" s="79">
        <f t="shared" si="47"/>
        <v>76866</v>
      </c>
      <c r="T55" s="79">
        <f t="shared" si="48"/>
        <v>76866</v>
      </c>
      <c r="U55" s="79">
        <f t="shared" si="49"/>
        <v>153732</v>
      </c>
      <c r="V55" s="211">
        <f t="shared" si="52"/>
        <v>0.24383561643835616</v>
      </c>
    </row>
    <row r="56" spans="2:23">
      <c r="B56" s="154" t="s">
        <v>136</v>
      </c>
      <c r="C56" s="154" t="s">
        <v>137</v>
      </c>
      <c r="D56" s="148">
        <v>43971</v>
      </c>
      <c r="E56" s="182">
        <f t="shared" si="42"/>
        <v>44335</v>
      </c>
      <c r="F56" s="149" t="s">
        <v>39</v>
      </c>
      <c r="G56" s="149">
        <v>8.0992865999999992</v>
      </c>
      <c r="H56" s="149">
        <v>-10.691665</v>
      </c>
      <c r="I56" s="149">
        <v>508</v>
      </c>
      <c r="J56" s="152">
        <f t="shared" si="53"/>
        <v>300</v>
      </c>
      <c r="K56" s="30" t="s">
        <v>40</v>
      </c>
      <c r="L56" s="152">
        <f t="shared" si="44"/>
        <v>227</v>
      </c>
      <c r="M56" s="183">
        <v>0</v>
      </c>
      <c r="N56" s="152">
        <f t="shared" si="50"/>
        <v>138</v>
      </c>
      <c r="O56" s="183">
        <v>0</v>
      </c>
      <c r="P56" s="80">
        <f t="shared" si="45"/>
        <v>68100</v>
      </c>
      <c r="Q56" s="80">
        <f t="shared" si="46"/>
        <v>41400</v>
      </c>
      <c r="R56" s="80">
        <f t="shared" si="51"/>
        <v>109500</v>
      </c>
      <c r="S56" s="79">
        <f t="shared" si="47"/>
        <v>115316</v>
      </c>
      <c r="T56" s="79">
        <f t="shared" si="48"/>
        <v>70104</v>
      </c>
      <c r="U56" s="79">
        <f t="shared" si="49"/>
        <v>185420</v>
      </c>
      <c r="V56" s="211">
        <f t="shared" si="52"/>
        <v>0</v>
      </c>
    </row>
    <row r="57" spans="2:23">
      <c r="B57" s="154" t="s">
        <v>138</v>
      </c>
      <c r="C57" s="154" t="s">
        <v>139</v>
      </c>
      <c r="D57" s="148">
        <v>43949</v>
      </c>
      <c r="E57" s="182">
        <f t="shared" si="42"/>
        <v>44335</v>
      </c>
      <c r="F57" s="149" t="s">
        <v>39</v>
      </c>
      <c r="G57" s="149">
        <v>7.9309282999999997</v>
      </c>
      <c r="H57" s="149">
        <v>-10.758832999999999</v>
      </c>
      <c r="I57" s="149">
        <v>547</v>
      </c>
      <c r="J57" s="152">
        <f t="shared" si="53"/>
        <v>300</v>
      </c>
      <c r="K57" s="30" t="s">
        <v>40</v>
      </c>
      <c r="L57" s="152">
        <f t="shared" si="44"/>
        <v>135</v>
      </c>
      <c r="M57" s="183">
        <v>92</v>
      </c>
      <c r="N57" s="152">
        <f t="shared" si="50"/>
        <v>138</v>
      </c>
      <c r="O57" s="183">
        <v>0</v>
      </c>
      <c r="P57" s="80">
        <f t="shared" si="45"/>
        <v>40500</v>
      </c>
      <c r="Q57" s="80">
        <f t="shared" si="46"/>
        <v>41400</v>
      </c>
      <c r="R57" s="80">
        <f t="shared" si="51"/>
        <v>81900</v>
      </c>
      <c r="S57" s="79">
        <f t="shared" si="47"/>
        <v>73845</v>
      </c>
      <c r="T57" s="79">
        <f t="shared" si="48"/>
        <v>75486</v>
      </c>
      <c r="U57" s="79">
        <f t="shared" si="49"/>
        <v>149331</v>
      </c>
      <c r="V57" s="211">
        <f t="shared" si="52"/>
        <v>0.25205479452054796</v>
      </c>
    </row>
    <row r="58" spans="2:23">
      <c r="B58" s="154" t="s">
        <v>140</v>
      </c>
      <c r="C58" s="154" t="s">
        <v>141</v>
      </c>
      <c r="D58" s="148">
        <v>43951</v>
      </c>
      <c r="E58" s="182">
        <f t="shared" si="42"/>
        <v>44335</v>
      </c>
      <c r="F58" s="149" t="s">
        <v>73</v>
      </c>
      <c r="G58" s="149">
        <v>8.0375133000000005</v>
      </c>
      <c r="H58" s="149">
        <v>-10.7189116</v>
      </c>
      <c r="I58" s="149">
        <v>492</v>
      </c>
      <c r="J58" s="152">
        <f t="shared" si="53"/>
        <v>300</v>
      </c>
      <c r="K58" s="30" t="s">
        <v>40</v>
      </c>
      <c r="L58" s="152">
        <f t="shared" si="44"/>
        <v>227</v>
      </c>
      <c r="M58" s="183">
        <v>0</v>
      </c>
      <c r="N58" s="152">
        <f t="shared" si="50"/>
        <v>138</v>
      </c>
      <c r="O58" s="183">
        <v>0</v>
      </c>
      <c r="P58" s="80">
        <f t="shared" si="45"/>
        <v>68100</v>
      </c>
      <c r="Q58" s="80">
        <f t="shared" si="46"/>
        <v>41400</v>
      </c>
      <c r="R58" s="80">
        <f t="shared" si="51"/>
        <v>109500</v>
      </c>
      <c r="S58" s="79">
        <f t="shared" si="47"/>
        <v>111684</v>
      </c>
      <c r="T58" s="79">
        <f t="shared" si="48"/>
        <v>67896</v>
      </c>
      <c r="U58" s="79">
        <f t="shared" si="49"/>
        <v>179580</v>
      </c>
      <c r="V58" s="211">
        <f t="shared" si="52"/>
        <v>0</v>
      </c>
    </row>
    <row r="59" spans="2:23">
      <c r="B59" s="154" t="s">
        <v>142</v>
      </c>
      <c r="C59" s="154" t="s">
        <v>143</v>
      </c>
      <c r="D59" s="148">
        <v>43951</v>
      </c>
      <c r="E59" s="182">
        <f t="shared" si="42"/>
        <v>44335</v>
      </c>
      <c r="F59" s="149" t="s">
        <v>73</v>
      </c>
      <c r="G59" s="149">
        <v>8.0377183300000006</v>
      </c>
      <c r="H59" s="149">
        <v>-10.719779900000001</v>
      </c>
      <c r="I59" s="149">
        <v>556</v>
      </c>
      <c r="J59" s="152">
        <f t="shared" si="53"/>
        <v>300</v>
      </c>
      <c r="K59" s="30" t="s">
        <v>40</v>
      </c>
      <c r="L59" s="152">
        <f t="shared" si="44"/>
        <v>227</v>
      </c>
      <c r="M59" s="183">
        <v>0</v>
      </c>
      <c r="N59" s="152">
        <f t="shared" si="50"/>
        <v>138</v>
      </c>
      <c r="O59" s="183">
        <v>0</v>
      </c>
      <c r="P59" s="80">
        <f t="shared" si="45"/>
        <v>68100</v>
      </c>
      <c r="Q59" s="80">
        <f t="shared" si="46"/>
        <v>41400</v>
      </c>
      <c r="R59" s="80">
        <f t="shared" si="51"/>
        <v>109500</v>
      </c>
      <c r="S59" s="79">
        <f t="shared" si="47"/>
        <v>126212</v>
      </c>
      <c r="T59" s="79">
        <f t="shared" si="48"/>
        <v>76728</v>
      </c>
      <c r="U59" s="79">
        <f t="shared" si="49"/>
        <v>202940</v>
      </c>
      <c r="V59" s="211">
        <f t="shared" si="52"/>
        <v>0</v>
      </c>
    </row>
    <row r="60" spans="2:23">
      <c r="B60" s="154" t="s">
        <v>144</v>
      </c>
      <c r="C60" s="154" t="s">
        <v>145</v>
      </c>
      <c r="D60" s="148">
        <v>43969</v>
      </c>
      <c r="E60" s="182">
        <f t="shared" si="42"/>
        <v>44335</v>
      </c>
      <c r="F60" s="149" t="s">
        <v>51</v>
      </c>
      <c r="G60" s="149">
        <v>8.0059415999999999</v>
      </c>
      <c r="H60" s="149">
        <v>-10.9477999</v>
      </c>
      <c r="I60" s="149">
        <v>547</v>
      </c>
      <c r="J60" s="152">
        <f>IF(I60&gt;300, 300, I42)</f>
        <v>300</v>
      </c>
      <c r="K60" s="30" t="s">
        <v>40</v>
      </c>
      <c r="L60" s="152">
        <f t="shared" si="44"/>
        <v>227</v>
      </c>
      <c r="M60" s="183">
        <v>0</v>
      </c>
      <c r="N60" s="152">
        <f t="shared" si="50"/>
        <v>138</v>
      </c>
      <c r="O60" s="183">
        <v>0</v>
      </c>
      <c r="P60" s="80">
        <f t="shared" si="45"/>
        <v>68100</v>
      </c>
      <c r="Q60" s="80">
        <f t="shared" si="46"/>
        <v>41400</v>
      </c>
      <c r="R60" s="80">
        <f t="shared" si="51"/>
        <v>109500</v>
      </c>
      <c r="S60" s="79">
        <f t="shared" si="47"/>
        <v>124169</v>
      </c>
      <c r="T60" s="79">
        <f t="shared" si="48"/>
        <v>75486</v>
      </c>
      <c r="U60" s="79">
        <f t="shared" si="49"/>
        <v>199655</v>
      </c>
      <c r="V60" s="211">
        <f t="shared" si="52"/>
        <v>0</v>
      </c>
    </row>
    <row r="61" spans="2:23">
      <c r="B61" s="156">
        <f>COUNTA(B49:B60)</f>
        <v>12</v>
      </c>
      <c r="C61" s="157"/>
      <c r="D61" s="157"/>
      <c r="E61" s="157"/>
      <c r="F61" s="90"/>
      <c r="G61" s="90"/>
      <c r="H61" s="90"/>
      <c r="I61" s="91">
        <f>SUM(I49:I60)</f>
        <v>7200</v>
      </c>
      <c r="J61" s="91">
        <f>SUM(J49:J60)</f>
        <v>3600</v>
      </c>
      <c r="K61" s="90"/>
      <c r="L61" s="91">
        <f>SUM(L49:L60)</f>
        <v>2540</v>
      </c>
      <c r="M61" s="91">
        <f>SUM(M48:M60)</f>
        <v>184</v>
      </c>
      <c r="N61" s="91">
        <f>SUM(N49:N60)</f>
        <v>1656</v>
      </c>
      <c r="O61" s="91">
        <f>SUM(O48:O60)</f>
        <v>0</v>
      </c>
      <c r="P61" s="92">
        <f>SUM(P49:P60)</f>
        <v>762000</v>
      </c>
      <c r="Q61" s="92">
        <f>SUM(Q49:Q60)</f>
        <v>496800</v>
      </c>
      <c r="R61" s="92">
        <f>SUM(R49:R60)</f>
        <v>1258800</v>
      </c>
      <c r="S61" s="92">
        <f t="shared" ref="S61:T61" si="54">SUM(S49:S60)</f>
        <v>1532454</v>
      </c>
      <c r="T61" s="92">
        <f t="shared" si="54"/>
        <v>993600</v>
      </c>
      <c r="U61" s="92">
        <f>SUM(U49:U60)</f>
        <v>2526054</v>
      </c>
      <c r="V61" s="212">
        <f>AVERAGE(V49:V60)</f>
        <v>4.2009132420091327E-2</v>
      </c>
      <c r="W61" s="204"/>
    </row>
    <row r="62" spans="2:23">
      <c r="B62" s="144" t="s">
        <v>146</v>
      </c>
      <c r="C62" s="145"/>
      <c r="D62" s="145"/>
      <c r="E62" s="145"/>
      <c r="F62" s="145"/>
      <c r="G62" s="145"/>
      <c r="H62" s="145"/>
      <c r="I62" s="145"/>
      <c r="J62" s="145"/>
      <c r="K62" s="145"/>
      <c r="L62" s="93"/>
      <c r="M62" s="93"/>
      <c r="N62" s="94"/>
      <c r="O62" s="94"/>
      <c r="P62" s="95"/>
      <c r="Q62" s="96"/>
      <c r="R62" s="97"/>
      <c r="S62" s="97"/>
      <c r="T62" s="97"/>
      <c r="U62" s="97"/>
      <c r="V62" s="210"/>
    </row>
    <row r="63" spans="2:23">
      <c r="B63" s="161" t="s">
        <v>147</v>
      </c>
      <c r="C63" s="2" t="s">
        <v>50</v>
      </c>
      <c r="D63" s="160">
        <v>43674</v>
      </c>
      <c r="E63" s="182">
        <f t="shared" ref="E63:E75" si="55">$Y$2</f>
        <v>44335</v>
      </c>
      <c r="F63" s="24" t="s">
        <v>51</v>
      </c>
      <c r="G63" s="33">
        <v>8.6621609999999993</v>
      </c>
      <c r="H63" s="24">
        <v>-10.941165</v>
      </c>
      <c r="I63" s="152">
        <v>678</v>
      </c>
      <c r="J63" s="152">
        <f t="shared" ref="J63:J68" si="56">IF(I63&gt;300, 300, I63)</f>
        <v>300</v>
      </c>
      <c r="K63" s="30" t="s">
        <v>40</v>
      </c>
      <c r="L63" s="152">
        <f t="shared" ref="L63:L75" si="57">$Y$4-$E63-M63+1</f>
        <v>150</v>
      </c>
      <c r="M63" s="183">
        <v>77</v>
      </c>
      <c r="N63" s="152">
        <f>$Y$3-$Y$4-O63</f>
        <v>138</v>
      </c>
      <c r="O63" s="183">
        <v>0</v>
      </c>
      <c r="P63" s="80">
        <f t="shared" ref="P63:P75" si="58">L63*J63</f>
        <v>45000</v>
      </c>
      <c r="Q63" s="80">
        <f t="shared" ref="Q63:Q75" si="59">N63*J63</f>
        <v>41400</v>
      </c>
      <c r="R63" s="80">
        <f>SUM(P63:Q63)</f>
        <v>86400</v>
      </c>
      <c r="S63" s="79">
        <f t="shared" ref="S63:S75" si="60">L63*I63</f>
        <v>101700</v>
      </c>
      <c r="T63" s="79">
        <f t="shared" ref="T63:T75" si="61">N63*I63</f>
        <v>93564</v>
      </c>
      <c r="U63" s="79">
        <f t="shared" ref="U63:U74" si="62">SUM(S63:T63)</f>
        <v>195264</v>
      </c>
      <c r="V63" s="211">
        <f>(M63+O63)/SUM(L63:O63)</f>
        <v>0.21095890410958903</v>
      </c>
    </row>
    <row r="64" spans="2:23">
      <c r="B64" s="161" t="s">
        <v>148</v>
      </c>
      <c r="C64" s="2" t="s">
        <v>149</v>
      </c>
      <c r="D64" s="160">
        <v>43675</v>
      </c>
      <c r="E64" s="182">
        <f t="shared" si="55"/>
        <v>44335</v>
      </c>
      <c r="F64" s="24" t="s">
        <v>51</v>
      </c>
      <c r="G64" s="33">
        <v>8.6013999999999999</v>
      </c>
      <c r="H64" s="24">
        <v>-10.6976</v>
      </c>
      <c r="I64" s="152">
        <v>702</v>
      </c>
      <c r="J64" s="152">
        <f t="shared" si="56"/>
        <v>300</v>
      </c>
      <c r="K64" s="30" t="s">
        <v>40</v>
      </c>
      <c r="L64" s="152">
        <f t="shared" si="57"/>
        <v>149</v>
      </c>
      <c r="M64" s="183">
        <v>78</v>
      </c>
      <c r="N64" s="152">
        <f t="shared" ref="N64:N75" si="63">$Y$3-$Y$4-O64</f>
        <v>138</v>
      </c>
      <c r="O64" s="183">
        <v>0</v>
      </c>
      <c r="P64" s="80">
        <f t="shared" si="58"/>
        <v>44700</v>
      </c>
      <c r="Q64" s="80">
        <f t="shared" si="59"/>
        <v>41400</v>
      </c>
      <c r="R64" s="80">
        <f t="shared" ref="R64:R72" si="64">SUM(P64:Q64)</f>
        <v>86100</v>
      </c>
      <c r="S64" s="79">
        <f t="shared" si="60"/>
        <v>104598</v>
      </c>
      <c r="T64" s="79">
        <f t="shared" si="61"/>
        <v>96876</v>
      </c>
      <c r="U64" s="79">
        <f t="shared" si="62"/>
        <v>201474</v>
      </c>
      <c r="V64" s="211">
        <f t="shared" ref="V64:V75" si="65">(M64+O64)/SUM(L64:O64)</f>
        <v>0.21369863013698631</v>
      </c>
    </row>
    <row r="65" spans="2:23">
      <c r="B65" s="161" t="s">
        <v>150</v>
      </c>
      <c r="C65" s="2" t="s">
        <v>151</v>
      </c>
      <c r="D65" s="160">
        <v>43676</v>
      </c>
      <c r="E65" s="182">
        <f t="shared" si="55"/>
        <v>44335</v>
      </c>
      <c r="F65" s="24" t="s">
        <v>39</v>
      </c>
      <c r="G65" s="33">
        <v>8.9291079999999994</v>
      </c>
      <c r="H65" s="24">
        <v>-10.675621</v>
      </c>
      <c r="I65" s="24">
        <v>455</v>
      </c>
      <c r="J65" s="152">
        <f t="shared" si="56"/>
        <v>300</v>
      </c>
      <c r="K65" s="30" t="s">
        <v>40</v>
      </c>
      <c r="L65" s="152">
        <f t="shared" si="57"/>
        <v>156</v>
      </c>
      <c r="M65" s="183">
        <v>71</v>
      </c>
      <c r="N65" s="152">
        <f t="shared" si="63"/>
        <v>138</v>
      </c>
      <c r="O65" s="183">
        <v>0</v>
      </c>
      <c r="P65" s="80">
        <f t="shared" si="58"/>
        <v>46800</v>
      </c>
      <c r="Q65" s="80">
        <f t="shared" si="59"/>
        <v>41400</v>
      </c>
      <c r="R65" s="80">
        <f t="shared" si="64"/>
        <v>88200</v>
      </c>
      <c r="S65" s="79">
        <f t="shared" si="60"/>
        <v>70980</v>
      </c>
      <c r="T65" s="79">
        <f t="shared" si="61"/>
        <v>62790</v>
      </c>
      <c r="U65" s="79">
        <f t="shared" si="62"/>
        <v>133770</v>
      </c>
      <c r="V65" s="211">
        <f t="shared" si="65"/>
        <v>0.19452054794520549</v>
      </c>
    </row>
    <row r="66" spans="2:23">
      <c r="B66" s="161" t="s">
        <v>152</v>
      </c>
      <c r="C66" s="2" t="s">
        <v>50</v>
      </c>
      <c r="D66" s="160">
        <v>43677</v>
      </c>
      <c r="E66" s="182">
        <f t="shared" si="55"/>
        <v>44335</v>
      </c>
      <c r="F66" s="24" t="s">
        <v>51</v>
      </c>
      <c r="G66" s="33">
        <v>8.6034000000000006</v>
      </c>
      <c r="H66" s="24">
        <v>-10.817600000000001</v>
      </c>
      <c r="I66" s="24">
        <v>700</v>
      </c>
      <c r="J66" s="152">
        <f t="shared" si="56"/>
        <v>300</v>
      </c>
      <c r="K66" s="30" t="s">
        <v>40</v>
      </c>
      <c r="L66" s="152">
        <f t="shared" si="57"/>
        <v>157</v>
      </c>
      <c r="M66" s="183">
        <v>70</v>
      </c>
      <c r="N66" s="152">
        <f t="shared" si="63"/>
        <v>138</v>
      </c>
      <c r="O66" s="183">
        <v>0</v>
      </c>
      <c r="P66" s="80">
        <f t="shared" si="58"/>
        <v>47100</v>
      </c>
      <c r="Q66" s="80">
        <f t="shared" si="59"/>
        <v>41400</v>
      </c>
      <c r="R66" s="80">
        <f t="shared" si="64"/>
        <v>88500</v>
      </c>
      <c r="S66" s="79">
        <f t="shared" si="60"/>
        <v>109900</v>
      </c>
      <c r="T66" s="79">
        <f t="shared" si="61"/>
        <v>96600</v>
      </c>
      <c r="U66" s="79">
        <f t="shared" si="62"/>
        <v>206500</v>
      </c>
      <c r="V66" s="211">
        <f t="shared" si="65"/>
        <v>0.19178082191780821</v>
      </c>
    </row>
    <row r="67" spans="2:23">
      <c r="B67" s="44" t="s">
        <v>153</v>
      </c>
      <c r="C67" s="146" t="s">
        <v>154</v>
      </c>
      <c r="D67" s="160">
        <v>43678</v>
      </c>
      <c r="E67" s="182">
        <f t="shared" si="55"/>
        <v>44335</v>
      </c>
      <c r="F67" s="24" t="s">
        <v>51</v>
      </c>
      <c r="G67" s="33">
        <v>7.8845190000000001</v>
      </c>
      <c r="H67" s="24">
        <v>-11.33957</v>
      </c>
      <c r="I67" s="24">
        <v>514</v>
      </c>
      <c r="J67" s="152">
        <f t="shared" si="56"/>
        <v>300</v>
      </c>
      <c r="K67" s="30" t="s">
        <v>40</v>
      </c>
      <c r="L67" s="152">
        <f t="shared" si="57"/>
        <v>123</v>
      </c>
      <c r="M67" s="183">
        <v>104</v>
      </c>
      <c r="N67" s="152">
        <f t="shared" si="63"/>
        <v>138</v>
      </c>
      <c r="O67" s="183">
        <v>0</v>
      </c>
      <c r="P67" s="80">
        <f t="shared" si="58"/>
        <v>36900</v>
      </c>
      <c r="Q67" s="80">
        <f t="shared" si="59"/>
        <v>41400</v>
      </c>
      <c r="R67" s="82">
        <f t="shared" si="64"/>
        <v>78300</v>
      </c>
      <c r="S67" s="79">
        <f t="shared" si="60"/>
        <v>63222</v>
      </c>
      <c r="T67" s="79">
        <f t="shared" si="61"/>
        <v>70932</v>
      </c>
      <c r="U67" s="79">
        <f t="shared" si="62"/>
        <v>134154</v>
      </c>
      <c r="V67" s="211">
        <f t="shared" si="65"/>
        <v>0.28493150684931506</v>
      </c>
    </row>
    <row r="68" spans="2:23">
      <c r="B68" s="161" t="s">
        <v>155</v>
      </c>
      <c r="C68" s="2" t="s">
        <v>156</v>
      </c>
      <c r="D68" s="160">
        <v>43679</v>
      </c>
      <c r="E68" s="182">
        <f t="shared" si="55"/>
        <v>44335</v>
      </c>
      <c r="F68" s="24" t="s">
        <v>73</v>
      </c>
      <c r="G68" s="33">
        <v>8.8160810000000005</v>
      </c>
      <c r="H68" s="24">
        <v>10.697811</v>
      </c>
      <c r="I68" s="24">
        <v>426</v>
      </c>
      <c r="J68" s="152">
        <f t="shared" si="56"/>
        <v>300</v>
      </c>
      <c r="K68" s="24" t="s">
        <v>40</v>
      </c>
      <c r="L68" s="152">
        <f t="shared" si="57"/>
        <v>122</v>
      </c>
      <c r="M68" s="183">
        <v>105</v>
      </c>
      <c r="N68" s="152">
        <f t="shared" si="63"/>
        <v>138</v>
      </c>
      <c r="O68" s="183">
        <v>0</v>
      </c>
      <c r="P68" s="80">
        <f t="shared" si="58"/>
        <v>36600</v>
      </c>
      <c r="Q68" s="80">
        <f t="shared" si="59"/>
        <v>41400</v>
      </c>
      <c r="R68" s="80">
        <f t="shared" si="64"/>
        <v>78000</v>
      </c>
      <c r="S68" s="79">
        <f t="shared" si="60"/>
        <v>51972</v>
      </c>
      <c r="T68" s="79">
        <f t="shared" si="61"/>
        <v>58788</v>
      </c>
      <c r="U68" s="79">
        <f t="shared" si="62"/>
        <v>110760</v>
      </c>
      <c r="V68" s="211">
        <f t="shared" si="65"/>
        <v>0.28767123287671231</v>
      </c>
    </row>
    <row r="69" spans="2:23">
      <c r="B69" s="154" t="s">
        <v>157</v>
      </c>
      <c r="C69" s="154" t="s">
        <v>158</v>
      </c>
      <c r="D69" s="148">
        <v>44001</v>
      </c>
      <c r="E69" s="182">
        <f t="shared" si="55"/>
        <v>44335</v>
      </c>
      <c r="F69" s="149" t="s">
        <v>51</v>
      </c>
      <c r="G69" s="149">
        <v>7.8671329999999999</v>
      </c>
      <c r="H69" s="149">
        <v>-11.3399</v>
      </c>
      <c r="I69" s="149">
        <v>370</v>
      </c>
      <c r="J69" s="152">
        <f>IF(I69&gt;300, 300, I43)</f>
        <v>300</v>
      </c>
      <c r="K69" s="24" t="s">
        <v>40</v>
      </c>
      <c r="L69" s="152">
        <f t="shared" si="57"/>
        <v>123</v>
      </c>
      <c r="M69" s="183">
        <v>104</v>
      </c>
      <c r="N69" s="152">
        <f t="shared" si="63"/>
        <v>138</v>
      </c>
      <c r="O69" s="183">
        <v>0</v>
      </c>
      <c r="P69" s="80">
        <f t="shared" si="58"/>
        <v>36900</v>
      </c>
      <c r="Q69" s="80">
        <f t="shared" si="59"/>
        <v>41400</v>
      </c>
      <c r="R69" s="80">
        <f t="shared" si="64"/>
        <v>78300</v>
      </c>
      <c r="S69" s="79">
        <f t="shared" si="60"/>
        <v>45510</v>
      </c>
      <c r="T69" s="79">
        <f t="shared" si="61"/>
        <v>51060</v>
      </c>
      <c r="U69" s="79">
        <f t="shared" si="62"/>
        <v>96570</v>
      </c>
      <c r="V69" s="211">
        <f t="shared" si="65"/>
        <v>0.28493150684931506</v>
      </c>
    </row>
    <row r="70" spans="2:23">
      <c r="B70" s="154" t="s">
        <v>159</v>
      </c>
      <c r="C70" s="154" t="s">
        <v>160</v>
      </c>
      <c r="D70" s="148">
        <v>43999</v>
      </c>
      <c r="E70" s="182">
        <f t="shared" si="55"/>
        <v>44335</v>
      </c>
      <c r="F70" s="149" t="s">
        <v>51</v>
      </c>
      <c r="G70" s="149">
        <v>7.8782540000000001</v>
      </c>
      <c r="H70" s="149">
        <v>-11.3498</v>
      </c>
      <c r="I70" s="149">
        <v>377</v>
      </c>
      <c r="J70" s="152">
        <f>IF(I70&gt;300, 300, I44)</f>
        <v>300</v>
      </c>
      <c r="K70" s="24" t="s">
        <v>40</v>
      </c>
      <c r="L70" s="152">
        <f t="shared" si="57"/>
        <v>227</v>
      </c>
      <c r="M70" s="183">
        <v>0</v>
      </c>
      <c r="N70" s="152">
        <f t="shared" si="63"/>
        <v>138</v>
      </c>
      <c r="O70" s="183">
        <v>0</v>
      </c>
      <c r="P70" s="80">
        <f t="shared" si="58"/>
        <v>68100</v>
      </c>
      <c r="Q70" s="80">
        <f t="shared" si="59"/>
        <v>41400</v>
      </c>
      <c r="R70" s="80">
        <f t="shared" si="64"/>
        <v>109500</v>
      </c>
      <c r="S70" s="79">
        <f t="shared" si="60"/>
        <v>85579</v>
      </c>
      <c r="T70" s="79">
        <f t="shared" si="61"/>
        <v>52026</v>
      </c>
      <c r="U70" s="79">
        <f t="shared" si="62"/>
        <v>137605</v>
      </c>
      <c r="V70" s="211">
        <f t="shared" si="65"/>
        <v>0</v>
      </c>
    </row>
    <row r="71" spans="2:23">
      <c r="B71" s="154" t="s">
        <v>161</v>
      </c>
      <c r="C71" s="154" t="s">
        <v>162</v>
      </c>
      <c r="D71" s="148">
        <v>44003</v>
      </c>
      <c r="E71" s="182">
        <f t="shared" si="55"/>
        <v>44335</v>
      </c>
      <c r="F71" s="149" t="s">
        <v>51</v>
      </c>
      <c r="G71" s="149">
        <v>7.9682680000000001</v>
      </c>
      <c r="H71" s="149">
        <v>-11.3095</v>
      </c>
      <c r="I71" s="149">
        <v>492</v>
      </c>
      <c r="J71" s="152">
        <f>IF(I71&gt;300, 300, I45)</f>
        <v>300</v>
      </c>
      <c r="K71" s="24" t="s">
        <v>40</v>
      </c>
      <c r="L71" s="152">
        <f t="shared" si="57"/>
        <v>126</v>
      </c>
      <c r="M71" s="183">
        <v>101</v>
      </c>
      <c r="N71" s="152">
        <f t="shared" si="63"/>
        <v>138</v>
      </c>
      <c r="O71" s="183">
        <v>0</v>
      </c>
      <c r="P71" s="80">
        <f t="shared" si="58"/>
        <v>37800</v>
      </c>
      <c r="Q71" s="80">
        <f t="shared" si="59"/>
        <v>41400</v>
      </c>
      <c r="R71" s="80">
        <f t="shared" si="64"/>
        <v>79200</v>
      </c>
      <c r="S71" s="79">
        <f t="shared" si="60"/>
        <v>61992</v>
      </c>
      <c r="T71" s="79">
        <f t="shared" si="61"/>
        <v>67896</v>
      </c>
      <c r="U71" s="79">
        <f t="shared" si="62"/>
        <v>129888</v>
      </c>
      <c r="V71" s="211">
        <f t="shared" si="65"/>
        <v>0.27671232876712326</v>
      </c>
    </row>
    <row r="72" spans="2:23">
      <c r="B72" s="154" t="s">
        <v>163</v>
      </c>
      <c r="C72" s="154" t="s">
        <v>164</v>
      </c>
      <c r="D72" s="148">
        <v>44003</v>
      </c>
      <c r="E72" s="182">
        <f t="shared" si="55"/>
        <v>44335</v>
      </c>
      <c r="F72" s="149" t="s">
        <v>51</v>
      </c>
      <c r="G72" s="149">
        <v>7.9908330000000003</v>
      </c>
      <c r="H72" s="149">
        <v>-11.3325</v>
      </c>
      <c r="I72" s="149">
        <v>512</v>
      </c>
      <c r="J72" s="152">
        <f>IF(I72&gt;300, 300, I46)</f>
        <v>300</v>
      </c>
      <c r="K72" s="24" t="s">
        <v>40</v>
      </c>
      <c r="L72" s="152">
        <f t="shared" si="57"/>
        <v>126</v>
      </c>
      <c r="M72" s="183">
        <v>101</v>
      </c>
      <c r="N72" s="152">
        <f t="shared" si="63"/>
        <v>138</v>
      </c>
      <c r="O72" s="183">
        <v>0</v>
      </c>
      <c r="P72" s="80">
        <f t="shared" si="58"/>
        <v>37800</v>
      </c>
      <c r="Q72" s="80">
        <f t="shared" si="59"/>
        <v>41400</v>
      </c>
      <c r="R72" s="80">
        <f t="shared" si="64"/>
        <v>79200</v>
      </c>
      <c r="S72" s="79">
        <f t="shared" si="60"/>
        <v>64512</v>
      </c>
      <c r="T72" s="79">
        <f t="shared" si="61"/>
        <v>70656</v>
      </c>
      <c r="U72" s="79">
        <f t="shared" si="62"/>
        <v>135168</v>
      </c>
      <c r="V72" s="211">
        <f t="shared" si="65"/>
        <v>0.27671232876712326</v>
      </c>
    </row>
    <row r="73" spans="2:23">
      <c r="B73" s="154" t="s">
        <v>165</v>
      </c>
      <c r="C73" s="154" t="s">
        <v>166</v>
      </c>
      <c r="D73" s="148">
        <v>44001</v>
      </c>
      <c r="E73" s="182">
        <f t="shared" si="55"/>
        <v>44335</v>
      </c>
      <c r="F73" s="149" t="s">
        <v>51</v>
      </c>
      <c r="G73" s="149">
        <v>7.8692080000000004</v>
      </c>
      <c r="H73" s="149">
        <v>-11.348000000000001</v>
      </c>
      <c r="I73" s="149">
        <v>390</v>
      </c>
      <c r="J73" s="152">
        <f>IF(I73&gt;300, 300, I73)</f>
        <v>300</v>
      </c>
      <c r="K73" s="24" t="s">
        <v>40</v>
      </c>
      <c r="L73" s="152">
        <f t="shared" si="57"/>
        <v>123</v>
      </c>
      <c r="M73" s="183">
        <v>104</v>
      </c>
      <c r="N73" s="152">
        <f t="shared" si="63"/>
        <v>138</v>
      </c>
      <c r="O73" s="183">
        <v>0</v>
      </c>
      <c r="P73" s="80">
        <f t="shared" si="58"/>
        <v>36900</v>
      </c>
      <c r="Q73" s="80">
        <f t="shared" si="59"/>
        <v>41400</v>
      </c>
      <c r="R73" s="80">
        <f>SUM(P73:Q73)</f>
        <v>78300</v>
      </c>
      <c r="S73" s="79">
        <f t="shared" si="60"/>
        <v>47970</v>
      </c>
      <c r="T73" s="79">
        <f t="shared" si="61"/>
        <v>53820</v>
      </c>
      <c r="U73" s="79">
        <f t="shared" si="62"/>
        <v>101790</v>
      </c>
      <c r="V73" s="211">
        <f t="shared" si="65"/>
        <v>0.28493150684931506</v>
      </c>
    </row>
    <row r="74" spans="2:23">
      <c r="B74" s="154" t="s">
        <v>167</v>
      </c>
      <c r="C74" s="154" t="s">
        <v>168</v>
      </c>
      <c r="D74" s="148">
        <v>44000</v>
      </c>
      <c r="E74" s="182">
        <f t="shared" si="55"/>
        <v>44335</v>
      </c>
      <c r="F74" s="149" t="s">
        <v>51</v>
      </c>
      <c r="G74" s="149">
        <v>7.8691250000000004</v>
      </c>
      <c r="H74" s="149">
        <v>-11.349399999999999</v>
      </c>
      <c r="I74" s="149">
        <v>409</v>
      </c>
      <c r="J74" s="152">
        <f>IF(I74&gt;300, 300, I74)</f>
        <v>300</v>
      </c>
      <c r="K74" s="24" t="s">
        <v>40</v>
      </c>
      <c r="L74" s="152">
        <f t="shared" si="57"/>
        <v>123</v>
      </c>
      <c r="M74" s="183">
        <v>104</v>
      </c>
      <c r="N74" s="152">
        <f t="shared" si="63"/>
        <v>138</v>
      </c>
      <c r="O74" s="183">
        <v>0</v>
      </c>
      <c r="P74" s="80">
        <f t="shared" si="58"/>
        <v>36900</v>
      </c>
      <c r="Q74" s="80">
        <f t="shared" si="59"/>
        <v>41400</v>
      </c>
      <c r="R74" s="80">
        <f>SUM(P74:Q74)</f>
        <v>78300</v>
      </c>
      <c r="S74" s="79">
        <f t="shared" si="60"/>
        <v>50307</v>
      </c>
      <c r="T74" s="79">
        <f t="shared" si="61"/>
        <v>56442</v>
      </c>
      <c r="U74" s="79">
        <f t="shared" si="62"/>
        <v>106749</v>
      </c>
      <c r="V74" s="211">
        <f t="shared" si="65"/>
        <v>0.28493150684931506</v>
      </c>
    </row>
    <row r="75" spans="2:23">
      <c r="B75" s="154" t="s">
        <v>169</v>
      </c>
      <c r="C75" s="154" t="s">
        <v>170</v>
      </c>
      <c r="D75" s="148">
        <v>44000</v>
      </c>
      <c r="E75" s="182">
        <f t="shared" si="55"/>
        <v>44335</v>
      </c>
      <c r="F75" s="149" t="s">
        <v>51</v>
      </c>
      <c r="G75" s="149">
        <v>7.8676979999999999</v>
      </c>
      <c r="H75" s="149">
        <v>-11.3504</v>
      </c>
      <c r="I75" s="149">
        <v>412</v>
      </c>
      <c r="J75" s="152">
        <f>IF(I75&gt;300, 300, I75)</f>
        <v>300</v>
      </c>
      <c r="K75" s="24" t="s">
        <v>40</v>
      </c>
      <c r="L75" s="152">
        <f t="shared" si="57"/>
        <v>123</v>
      </c>
      <c r="M75" s="183">
        <v>104</v>
      </c>
      <c r="N75" s="152">
        <f t="shared" si="63"/>
        <v>138</v>
      </c>
      <c r="O75" s="183">
        <v>0</v>
      </c>
      <c r="P75" s="80">
        <f t="shared" si="58"/>
        <v>36900</v>
      </c>
      <c r="Q75" s="80">
        <f t="shared" si="59"/>
        <v>41400</v>
      </c>
      <c r="R75" s="80">
        <f>SUM(P75:Q75)</f>
        <v>78300</v>
      </c>
      <c r="S75" s="79">
        <f t="shared" si="60"/>
        <v>50676</v>
      </c>
      <c r="T75" s="79">
        <f t="shared" si="61"/>
        <v>56856</v>
      </c>
      <c r="U75" s="79">
        <f t="shared" ref="U75" si="66">SUM(S75:T75)</f>
        <v>107532</v>
      </c>
      <c r="V75" s="211">
        <f t="shared" si="65"/>
        <v>0.28493150684931506</v>
      </c>
    </row>
    <row r="76" spans="2:23">
      <c r="B76" s="156">
        <f>COUNTA(B63:B75)</f>
        <v>13</v>
      </c>
      <c r="C76" s="90"/>
      <c r="D76" s="157"/>
      <c r="E76" s="157"/>
      <c r="F76" s="90"/>
      <c r="G76" s="90"/>
      <c r="H76" s="90"/>
      <c r="I76" s="91">
        <f>SUM(I63:I75)</f>
        <v>6437</v>
      </c>
      <c r="J76" s="91">
        <f>SUM(J63:J75)</f>
        <v>3900</v>
      </c>
      <c r="K76" s="90"/>
      <c r="L76" s="91">
        <f t="shared" ref="L76:R76" si="67">SUM(L63:L75)</f>
        <v>1828</v>
      </c>
      <c r="M76" s="91">
        <f t="shared" si="67"/>
        <v>1123</v>
      </c>
      <c r="N76" s="91">
        <f t="shared" si="67"/>
        <v>1794</v>
      </c>
      <c r="O76" s="91">
        <f t="shared" si="67"/>
        <v>0</v>
      </c>
      <c r="P76" s="92">
        <f t="shared" si="67"/>
        <v>548400</v>
      </c>
      <c r="Q76" s="92">
        <f t="shared" si="67"/>
        <v>538200</v>
      </c>
      <c r="R76" s="92">
        <f t="shared" si="67"/>
        <v>1086600</v>
      </c>
      <c r="S76" s="92">
        <f t="shared" ref="S76:T76" si="68">SUM(S63:S75)</f>
        <v>908918</v>
      </c>
      <c r="T76" s="92">
        <f t="shared" si="68"/>
        <v>888306</v>
      </c>
      <c r="U76" s="92">
        <f>SUM(U63:U75)</f>
        <v>1797224</v>
      </c>
      <c r="V76" s="212">
        <f>AVERAGE(V63:V75)</f>
        <v>0.23667017913593258</v>
      </c>
      <c r="W76" s="204"/>
    </row>
    <row r="77" spans="2:23">
      <c r="B77" s="144" t="s">
        <v>171</v>
      </c>
      <c r="C77" s="145"/>
      <c r="D77" s="145"/>
      <c r="E77" s="145"/>
      <c r="F77" s="145"/>
      <c r="G77" s="145"/>
      <c r="H77" s="145"/>
      <c r="I77" s="145"/>
      <c r="J77" s="145"/>
      <c r="K77" s="145"/>
      <c r="L77" s="93"/>
      <c r="M77" s="93"/>
      <c r="N77" s="94"/>
      <c r="O77" s="94"/>
      <c r="P77" s="95"/>
      <c r="Q77" s="96"/>
      <c r="R77" s="97"/>
      <c r="S77" s="97"/>
      <c r="T77" s="97"/>
      <c r="U77" s="97"/>
      <c r="V77" s="210"/>
    </row>
    <row r="78" spans="2:23">
      <c r="B78" s="161" t="s">
        <v>172</v>
      </c>
      <c r="C78" s="2" t="s">
        <v>173</v>
      </c>
      <c r="D78" s="160">
        <v>43680</v>
      </c>
      <c r="E78" s="182">
        <f t="shared" ref="E78:E90" si="69">$Y$2</f>
        <v>44335</v>
      </c>
      <c r="F78" s="24" t="s">
        <v>73</v>
      </c>
      <c r="G78" s="35">
        <v>8.8172999999999995</v>
      </c>
      <c r="H78" s="24">
        <v>-10.616</v>
      </c>
      <c r="I78" s="152">
        <v>772</v>
      </c>
      <c r="J78" s="152">
        <v>300</v>
      </c>
      <c r="K78" s="30" t="s">
        <v>40</v>
      </c>
      <c r="L78" s="152">
        <f t="shared" ref="L78:L90" si="70">$Y$4-$E78-M78+1</f>
        <v>227</v>
      </c>
      <c r="M78" s="183">
        <v>0</v>
      </c>
      <c r="N78" s="152">
        <f>$Y$3-$Y$4-O78</f>
        <v>138</v>
      </c>
      <c r="O78" s="183">
        <v>0</v>
      </c>
      <c r="P78" s="80">
        <f t="shared" ref="P78:P90" si="71">L78*J78</f>
        <v>68100</v>
      </c>
      <c r="Q78" s="80">
        <f t="shared" ref="Q78:Q90" si="72">N78*J78</f>
        <v>41400</v>
      </c>
      <c r="R78" s="80">
        <f>SUM(P78:Q78)</f>
        <v>109500</v>
      </c>
      <c r="S78" s="79">
        <f t="shared" ref="S78:S90" si="73">L78*I78</f>
        <v>175244</v>
      </c>
      <c r="T78" s="79">
        <f t="shared" ref="T78:T90" si="74">N78*I78</f>
        <v>106536</v>
      </c>
      <c r="U78" s="79">
        <f t="shared" ref="U78:U89" si="75">SUM(S78:T78)</f>
        <v>281780</v>
      </c>
      <c r="V78" s="211">
        <f>(M78+O78)/SUM(L78:O78)</f>
        <v>0</v>
      </c>
    </row>
    <row r="79" spans="2:23">
      <c r="B79" s="161" t="s">
        <v>174</v>
      </c>
      <c r="C79" s="2" t="s">
        <v>175</v>
      </c>
      <c r="D79" s="160">
        <v>43681</v>
      </c>
      <c r="E79" s="182">
        <f t="shared" si="69"/>
        <v>44335</v>
      </c>
      <c r="F79" s="24" t="s">
        <v>39</v>
      </c>
      <c r="G79" s="35">
        <v>8.657667</v>
      </c>
      <c r="H79" s="24">
        <v>-10.976902000000001</v>
      </c>
      <c r="I79" s="24">
        <v>791</v>
      </c>
      <c r="J79" s="24">
        <v>300</v>
      </c>
      <c r="K79" s="30" t="s">
        <v>40</v>
      </c>
      <c r="L79" s="152">
        <f t="shared" si="70"/>
        <v>227</v>
      </c>
      <c r="M79" s="183">
        <v>0</v>
      </c>
      <c r="N79" s="152">
        <f t="shared" ref="N79:N90" si="76">$Y$3-$Y$4-O79</f>
        <v>138</v>
      </c>
      <c r="O79" s="183">
        <v>0</v>
      </c>
      <c r="P79" s="80">
        <f t="shared" si="71"/>
        <v>68100</v>
      </c>
      <c r="Q79" s="80">
        <f t="shared" si="72"/>
        <v>41400</v>
      </c>
      <c r="R79" s="80">
        <f t="shared" ref="R79:R90" si="77">SUM(P79:Q79)</f>
        <v>109500</v>
      </c>
      <c r="S79" s="79">
        <f t="shared" si="73"/>
        <v>179557</v>
      </c>
      <c r="T79" s="79">
        <f t="shared" si="74"/>
        <v>109158</v>
      </c>
      <c r="U79" s="79">
        <f t="shared" si="75"/>
        <v>288715</v>
      </c>
      <c r="V79" s="211">
        <f t="shared" ref="V79:V90" si="78">(M79+O79)/SUM(L79:O79)</f>
        <v>0</v>
      </c>
    </row>
    <row r="80" spans="2:23">
      <c r="B80" s="161" t="s">
        <v>176</v>
      </c>
      <c r="C80" s="2" t="s">
        <v>177</v>
      </c>
      <c r="D80" s="160">
        <v>43796</v>
      </c>
      <c r="E80" s="182">
        <f t="shared" si="69"/>
        <v>44335</v>
      </c>
      <c r="F80" s="24" t="s">
        <v>73</v>
      </c>
      <c r="G80" s="35">
        <v>8.6324185</v>
      </c>
      <c r="H80" s="24">
        <v>-10.9826432</v>
      </c>
      <c r="I80" s="24">
        <v>824</v>
      </c>
      <c r="J80" s="24">
        <v>300</v>
      </c>
      <c r="K80" s="30" t="s">
        <v>40</v>
      </c>
      <c r="L80" s="152">
        <f t="shared" si="70"/>
        <v>227</v>
      </c>
      <c r="M80" s="183">
        <v>0</v>
      </c>
      <c r="N80" s="152">
        <f t="shared" si="76"/>
        <v>138</v>
      </c>
      <c r="O80" s="183">
        <v>0</v>
      </c>
      <c r="P80" s="80">
        <f t="shared" si="71"/>
        <v>68100</v>
      </c>
      <c r="Q80" s="80">
        <f t="shared" si="72"/>
        <v>41400</v>
      </c>
      <c r="R80" s="80">
        <f t="shared" si="77"/>
        <v>109500</v>
      </c>
      <c r="S80" s="79">
        <f t="shared" si="73"/>
        <v>187048</v>
      </c>
      <c r="T80" s="79">
        <f t="shared" si="74"/>
        <v>113712</v>
      </c>
      <c r="U80" s="79">
        <f t="shared" si="75"/>
        <v>300760</v>
      </c>
      <c r="V80" s="211">
        <f t="shared" si="78"/>
        <v>0</v>
      </c>
    </row>
    <row r="81" spans="2:23">
      <c r="B81" s="44" t="s">
        <v>178</v>
      </c>
      <c r="C81" s="162" t="s">
        <v>179</v>
      </c>
      <c r="D81" s="160">
        <v>43791</v>
      </c>
      <c r="E81" s="182">
        <f t="shared" si="69"/>
        <v>44335</v>
      </c>
      <c r="F81" s="24" t="s">
        <v>51</v>
      </c>
      <c r="G81" s="35">
        <v>7.9891050000000003</v>
      </c>
      <c r="H81" s="24">
        <v>-11.270937999999999</v>
      </c>
      <c r="I81" s="24">
        <v>533</v>
      </c>
      <c r="J81" s="24">
        <v>300</v>
      </c>
      <c r="K81" s="30" t="s">
        <v>40</v>
      </c>
      <c r="L81" s="152">
        <f t="shared" si="70"/>
        <v>227</v>
      </c>
      <c r="M81" s="183">
        <v>0</v>
      </c>
      <c r="N81" s="152">
        <f t="shared" si="76"/>
        <v>138</v>
      </c>
      <c r="O81" s="183">
        <v>0</v>
      </c>
      <c r="P81" s="80">
        <f t="shared" si="71"/>
        <v>68100</v>
      </c>
      <c r="Q81" s="80">
        <f t="shared" si="72"/>
        <v>41400</v>
      </c>
      <c r="R81" s="82">
        <f t="shared" si="77"/>
        <v>109500</v>
      </c>
      <c r="S81" s="79">
        <f t="shared" si="73"/>
        <v>120991</v>
      </c>
      <c r="T81" s="79">
        <f t="shared" si="74"/>
        <v>73554</v>
      </c>
      <c r="U81" s="79">
        <f t="shared" si="75"/>
        <v>194545</v>
      </c>
      <c r="V81" s="211">
        <f t="shared" si="78"/>
        <v>0</v>
      </c>
    </row>
    <row r="82" spans="2:23">
      <c r="B82" s="161" t="s">
        <v>180</v>
      </c>
      <c r="C82" s="2" t="s">
        <v>181</v>
      </c>
      <c r="D82" s="160">
        <v>43790</v>
      </c>
      <c r="E82" s="182">
        <f t="shared" si="69"/>
        <v>44335</v>
      </c>
      <c r="F82" s="24" t="s">
        <v>39</v>
      </c>
      <c r="G82" s="35">
        <v>8.5925130000000003</v>
      </c>
      <c r="H82" s="24">
        <v>-10.641311</v>
      </c>
      <c r="I82" s="24">
        <v>543</v>
      </c>
      <c r="J82" s="24">
        <v>300</v>
      </c>
      <c r="K82" s="30" t="s">
        <v>40</v>
      </c>
      <c r="L82" s="152">
        <f t="shared" si="70"/>
        <v>226</v>
      </c>
      <c r="M82" s="183">
        <v>1</v>
      </c>
      <c r="N82" s="152">
        <f t="shared" si="76"/>
        <v>138</v>
      </c>
      <c r="O82" s="183">
        <v>0</v>
      </c>
      <c r="P82" s="80">
        <f t="shared" si="71"/>
        <v>67800</v>
      </c>
      <c r="Q82" s="80">
        <f t="shared" si="72"/>
        <v>41400</v>
      </c>
      <c r="R82" s="80">
        <f t="shared" si="77"/>
        <v>109200</v>
      </c>
      <c r="S82" s="79">
        <f t="shared" si="73"/>
        <v>122718</v>
      </c>
      <c r="T82" s="79">
        <f t="shared" si="74"/>
        <v>74934</v>
      </c>
      <c r="U82" s="79">
        <f t="shared" si="75"/>
        <v>197652</v>
      </c>
      <c r="V82" s="211">
        <f t="shared" si="78"/>
        <v>2.7397260273972603E-3</v>
      </c>
    </row>
    <row r="83" spans="2:23">
      <c r="B83" s="154" t="s">
        <v>182</v>
      </c>
      <c r="C83" s="154" t="s">
        <v>183</v>
      </c>
      <c r="D83" s="148">
        <v>44002</v>
      </c>
      <c r="E83" s="182">
        <f t="shared" si="69"/>
        <v>44335</v>
      </c>
      <c r="F83" s="149" t="s">
        <v>51</v>
      </c>
      <c r="G83" s="149">
        <v>7.8540029999999996</v>
      </c>
      <c r="H83" s="149">
        <v>-11.2858</v>
      </c>
      <c r="I83" s="149">
        <v>481</v>
      </c>
      <c r="J83" s="152">
        <f t="shared" ref="J83:J90" si="79">IF(I83&gt;300, 300, I83)</f>
        <v>300</v>
      </c>
      <c r="K83" s="30" t="s">
        <v>40</v>
      </c>
      <c r="L83" s="152">
        <f t="shared" si="70"/>
        <v>227</v>
      </c>
      <c r="M83" s="183">
        <v>0</v>
      </c>
      <c r="N83" s="152">
        <f t="shared" si="76"/>
        <v>138</v>
      </c>
      <c r="O83" s="183">
        <v>0</v>
      </c>
      <c r="P83" s="80">
        <f t="shared" si="71"/>
        <v>68100</v>
      </c>
      <c r="Q83" s="80">
        <f t="shared" si="72"/>
        <v>41400</v>
      </c>
      <c r="R83" s="80">
        <f t="shared" si="77"/>
        <v>109500</v>
      </c>
      <c r="S83" s="79">
        <f t="shared" si="73"/>
        <v>109187</v>
      </c>
      <c r="T83" s="79">
        <f t="shared" si="74"/>
        <v>66378</v>
      </c>
      <c r="U83" s="79">
        <f t="shared" si="75"/>
        <v>175565</v>
      </c>
      <c r="V83" s="211">
        <f t="shared" si="78"/>
        <v>0</v>
      </c>
    </row>
    <row r="84" spans="2:23">
      <c r="B84" s="154" t="s">
        <v>184</v>
      </c>
      <c r="C84" s="154" t="s">
        <v>185</v>
      </c>
      <c r="D84" s="148">
        <v>43991</v>
      </c>
      <c r="E84" s="182">
        <f t="shared" si="69"/>
        <v>44335</v>
      </c>
      <c r="F84" s="149" t="s">
        <v>73</v>
      </c>
      <c r="G84" s="149">
        <v>8.2817260000000008</v>
      </c>
      <c r="H84" s="149">
        <v>-10.372299999999999</v>
      </c>
      <c r="I84" s="149">
        <v>478</v>
      </c>
      <c r="J84" s="152">
        <f t="shared" si="79"/>
        <v>300</v>
      </c>
      <c r="K84" s="30" t="s">
        <v>40</v>
      </c>
      <c r="L84" s="152">
        <f t="shared" si="70"/>
        <v>227</v>
      </c>
      <c r="M84" s="183">
        <v>0</v>
      </c>
      <c r="N84" s="152">
        <f t="shared" si="76"/>
        <v>138</v>
      </c>
      <c r="O84" s="183">
        <v>0</v>
      </c>
      <c r="P84" s="80">
        <f t="shared" si="71"/>
        <v>68100</v>
      </c>
      <c r="Q84" s="80">
        <f t="shared" si="72"/>
        <v>41400</v>
      </c>
      <c r="R84" s="80">
        <f t="shared" si="77"/>
        <v>109500</v>
      </c>
      <c r="S84" s="79">
        <f t="shared" si="73"/>
        <v>108506</v>
      </c>
      <c r="T84" s="79">
        <f t="shared" si="74"/>
        <v>65964</v>
      </c>
      <c r="U84" s="79">
        <f t="shared" si="75"/>
        <v>174470</v>
      </c>
      <c r="V84" s="211">
        <f t="shared" si="78"/>
        <v>0</v>
      </c>
    </row>
    <row r="85" spans="2:23">
      <c r="B85" s="154" t="s">
        <v>186</v>
      </c>
      <c r="C85" s="154" t="s">
        <v>187</v>
      </c>
      <c r="D85" s="148">
        <v>43990</v>
      </c>
      <c r="E85" s="182">
        <f t="shared" si="69"/>
        <v>44335</v>
      </c>
      <c r="F85" s="149" t="s">
        <v>39</v>
      </c>
      <c r="G85" s="149">
        <v>8.2814709999999998</v>
      </c>
      <c r="H85" s="149">
        <v>-10.3704</v>
      </c>
      <c r="I85" s="149">
        <v>408</v>
      </c>
      <c r="J85" s="152">
        <f t="shared" si="79"/>
        <v>300</v>
      </c>
      <c r="K85" s="30" t="s">
        <v>40</v>
      </c>
      <c r="L85" s="152">
        <f t="shared" si="70"/>
        <v>227</v>
      </c>
      <c r="M85" s="183">
        <v>0</v>
      </c>
      <c r="N85" s="152">
        <f t="shared" si="76"/>
        <v>138</v>
      </c>
      <c r="O85" s="183">
        <v>0</v>
      </c>
      <c r="P85" s="80">
        <f t="shared" si="71"/>
        <v>68100</v>
      </c>
      <c r="Q85" s="80">
        <f t="shared" si="72"/>
        <v>41400</v>
      </c>
      <c r="R85" s="80">
        <f t="shared" si="77"/>
        <v>109500</v>
      </c>
      <c r="S85" s="79">
        <f t="shared" si="73"/>
        <v>92616</v>
      </c>
      <c r="T85" s="79">
        <f t="shared" si="74"/>
        <v>56304</v>
      </c>
      <c r="U85" s="79">
        <f t="shared" si="75"/>
        <v>148920</v>
      </c>
      <c r="V85" s="211">
        <f t="shared" si="78"/>
        <v>0</v>
      </c>
    </row>
    <row r="86" spans="2:23">
      <c r="B86" s="154" t="s">
        <v>188</v>
      </c>
      <c r="C86" s="154" t="s">
        <v>189</v>
      </c>
      <c r="D86" s="148">
        <v>43991</v>
      </c>
      <c r="E86" s="182">
        <f t="shared" si="69"/>
        <v>44335</v>
      </c>
      <c r="F86" s="149" t="s">
        <v>73</v>
      </c>
      <c r="G86" s="149">
        <v>8.2819699999999994</v>
      </c>
      <c r="H86" s="149">
        <v>-10.372299999999999</v>
      </c>
      <c r="I86" s="149">
        <v>439</v>
      </c>
      <c r="J86" s="152">
        <f t="shared" si="79"/>
        <v>300</v>
      </c>
      <c r="K86" s="30" t="s">
        <v>40</v>
      </c>
      <c r="L86" s="152">
        <f t="shared" si="70"/>
        <v>132</v>
      </c>
      <c r="M86" s="183">
        <v>95</v>
      </c>
      <c r="N86" s="152">
        <f t="shared" si="76"/>
        <v>138</v>
      </c>
      <c r="O86" s="183">
        <v>0</v>
      </c>
      <c r="P86" s="80">
        <f t="shared" si="71"/>
        <v>39600</v>
      </c>
      <c r="Q86" s="80">
        <f t="shared" si="72"/>
        <v>41400</v>
      </c>
      <c r="R86" s="80">
        <f t="shared" si="77"/>
        <v>81000</v>
      </c>
      <c r="S86" s="79">
        <f t="shared" si="73"/>
        <v>57948</v>
      </c>
      <c r="T86" s="79">
        <f t="shared" si="74"/>
        <v>60582</v>
      </c>
      <c r="U86" s="79">
        <f t="shared" si="75"/>
        <v>118530</v>
      </c>
      <c r="V86" s="211">
        <f t="shared" si="78"/>
        <v>0.26027397260273971</v>
      </c>
    </row>
    <row r="87" spans="2:23">
      <c r="B87" s="154" t="s">
        <v>190</v>
      </c>
      <c r="C87" s="154" t="s">
        <v>191</v>
      </c>
      <c r="D87" s="148">
        <v>43992</v>
      </c>
      <c r="E87" s="182">
        <f t="shared" si="69"/>
        <v>44335</v>
      </c>
      <c r="F87" s="149" t="s">
        <v>39</v>
      </c>
      <c r="G87" s="149">
        <v>8.4628099999999993</v>
      </c>
      <c r="H87" s="149">
        <v>-10.309699999999999</v>
      </c>
      <c r="I87" s="149">
        <v>414</v>
      </c>
      <c r="J87" s="152">
        <f t="shared" si="79"/>
        <v>300</v>
      </c>
      <c r="K87" s="30" t="s">
        <v>40</v>
      </c>
      <c r="L87" s="152">
        <f t="shared" si="70"/>
        <v>227</v>
      </c>
      <c r="M87" s="183">
        <v>0</v>
      </c>
      <c r="N87" s="152">
        <f t="shared" si="76"/>
        <v>138</v>
      </c>
      <c r="O87" s="183">
        <v>0</v>
      </c>
      <c r="P87" s="80">
        <f t="shared" si="71"/>
        <v>68100</v>
      </c>
      <c r="Q87" s="80">
        <f t="shared" si="72"/>
        <v>41400</v>
      </c>
      <c r="R87" s="80">
        <f t="shared" si="77"/>
        <v>109500</v>
      </c>
      <c r="S87" s="79">
        <f t="shared" si="73"/>
        <v>93978</v>
      </c>
      <c r="T87" s="79">
        <f t="shared" si="74"/>
        <v>57132</v>
      </c>
      <c r="U87" s="79">
        <f t="shared" si="75"/>
        <v>151110</v>
      </c>
      <c r="V87" s="211">
        <f t="shared" si="78"/>
        <v>0</v>
      </c>
    </row>
    <row r="88" spans="2:23">
      <c r="B88" s="154" t="s">
        <v>192</v>
      </c>
      <c r="C88" s="154" t="s">
        <v>193</v>
      </c>
      <c r="D88" s="148">
        <v>43992</v>
      </c>
      <c r="E88" s="182">
        <f t="shared" si="69"/>
        <v>44335</v>
      </c>
      <c r="F88" s="149" t="s">
        <v>39</v>
      </c>
      <c r="G88" s="149">
        <v>8.4324560000000002</v>
      </c>
      <c r="H88" s="149">
        <v>-10.366899999999999</v>
      </c>
      <c r="I88" s="149">
        <v>498</v>
      </c>
      <c r="J88" s="152">
        <f t="shared" si="79"/>
        <v>300</v>
      </c>
      <c r="K88" s="30" t="s">
        <v>40</v>
      </c>
      <c r="L88" s="152">
        <f t="shared" si="70"/>
        <v>137</v>
      </c>
      <c r="M88" s="183">
        <v>90</v>
      </c>
      <c r="N88" s="152">
        <f t="shared" si="76"/>
        <v>138</v>
      </c>
      <c r="O88" s="183">
        <v>0</v>
      </c>
      <c r="P88" s="80">
        <f t="shared" si="71"/>
        <v>41100</v>
      </c>
      <c r="Q88" s="80">
        <f t="shared" si="72"/>
        <v>41400</v>
      </c>
      <c r="R88" s="80">
        <f t="shared" si="77"/>
        <v>82500</v>
      </c>
      <c r="S88" s="79">
        <f t="shared" si="73"/>
        <v>68226</v>
      </c>
      <c r="T88" s="79">
        <f t="shared" si="74"/>
        <v>68724</v>
      </c>
      <c r="U88" s="79">
        <f t="shared" si="75"/>
        <v>136950</v>
      </c>
      <c r="V88" s="211">
        <f t="shared" si="78"/>
        <v>0.24657534246575341</v>
      </c>
    </row>
    <row r="89" spans="2:23">
      <c r="B89" s="154" t="s">
        <v>194</v>
      </c>
      <c r="C89" s="154" t="s">
        <v>195</v>
      </c>
      <c r="D89" s="148">
        <v>43993</v>
      </c>
      <c r="E89" s="182">
        <f t="shared" si="69"/>
        <v>44335</v>
      </c>
      <c r="F89" s="149" t="s">
        <v>39</v>
      </c>
      <c r="G89" s="149">
        <v>8.4321649999999995</v>
      </c>
      <c r="H89" s="149">
        <v>-10.366400000000001</v>
      </c>
      <c r="I89" s="149">
        <v>428</v>
      </c>
      <c r="J89" s="152">
        <f t="shared" si="79"/>
        <v>300</v>
      </c>
      <c r="K89" s="30" t="s">
        <v>40</v>
      </c>
      <c r="L89" s="152">
        <f t="shared" si="70"/>
        <v>137</v>
      </c>
      <c r="M89" s="183">
        <v>90</v>
      </c>
      <c r="N89" s="152">
        <f t="shared" si="76"/>
        <v>138</v>
      </c>
      <c r="O89" s="183">
        <v>0</v>
      </c>
      <c r="P89" s="80">
        <f t="shared" si="71"/>
        <v>41100</v>
      </c>
      <c r="Q89" s="80">
        <f t="shared" si="72"/>
        <v>41400</v>
      </c>
      <c r="R89" s="80">
        <f t="shared" si="77"/>
        <v>82500</v>
      </c>
      <c r="S89" s="79">
        <f t="shared" si="73"/>
        <v>58636</v>
      </c>
      <c r="T89" s="79">
        <f t="shared" si="74"/>
        <v>59064</v>
      </c>
      <c r="U89" s="79">
        <f t="shared" si="75"/>
        <v>117700</v>
      </c>
      <c r="V89" s="211">
        <f t="shared" si="78"/>
        <v>0.24657534246575341</v>
      </c>
    </row>
    <row r="90" spans="2:23">
      <c r="B90" s="154" t="s">
        <v>196</v>
      </c>
      <c r="C90" s="154" t="s">
        <v>197</v>
      </c>
      <c r="D90" s="148">
        <v>43993</v>
      </c>
      <c r="E90" s="182">
        <f t="shared" si="69"/>
        <v>44335</v>
      </c>
      <c r="F90" s="149" t="s">
        <v>39</v>
      </c>
      <c r="G90" s="149">
        <v>8.4262099999999993</v>
      </c>
      <c r="H90" s="149">
        <v>-10.386900000000001</v>
      </c>
      <c r="I90" s="149">
        <v>547</v>
      </c>
      <c r="J90" s="152">
        <f t="shared" si="79"/>
        <v>300</v>
      </c>
      <c r="K90" s="30" t="s">
        <v>40</v>
      </c>
      <c r="L90" s="152">
        <f t="shared" si="70"/>
        <v>227</v>
      </c>
      <c r="M90" s="183">
        <v>0</v>
      </c>
      <c r="N90" s="152">
        <f t="shared" si="76"/>
        <v>138</v>
      </c>
      <c r="O90" s="183">
        <v>0</v>
      </c>
      <c r="P90" s="80">
        <f t="shared" si="71"/>
        <v>68100</v>
      </c>
      <c r="Q90" s="80">
        <f t="shared" si="72"/>
        <v>41400</v>
      </c>
      <c r="R90" s="80">
        <f t="shared" si="77"/>
        <v>109500</v>
      </c>
      <c r="S90" s="79">
        <f t="shared" si="73"/>
        <v>124169</v>
      </c>
      <c r="T90" s="79">
        <f t="shared" si="74"/>
        <v>75486</v>
      </c>
      <c r="U90" s="79">
        <f t="shared" ref="U90" si="80">SUM(S90:T90)</f>
        <v>199655</v>
      </c>
      <c r="V90" s="211">
        <f t="shared" si="78"/>
        <v>0</v>
      </c>
    </row>
    <row r="91" spans="2:23">
      <c r="B91" s="156">
        <f>COUNTA(B78:B90)</f>
        <v>13</v>
      </c>
      <c r="C91" s="90"/>
      <c r="D91" s="157"/>
      <c r="E91" s="157"/>
      <c r="F91" s="90"/>
      <c r="G91" s="90"/>
      <c r="H91" s="90"/>
      <c r="I91" s="91">
        <f>SUM(I78:I90)</f>
        <v>7156</v>
      </c>
      <c r="J91" s="91">
        <f>SUM(J78:J90)</f>
        <v>3900</v>
      </c>
      <c r="K91" s="90"/>
      <c r="L91" s="91">
        <f t="shared" ref="L91:R91" si="81">SUM(L78:L90)</f>
        <v>2675</v>
      </c>
      <c r="M91" s="91">
        <f t="shared" si="81"/>
        <v>276</v>
      </c>
      <c r="N91" s="91">
        <f t="shared" si="81"/>
        <v>1794</v>
      </c>
      <c r="O91" s="91">
        <f t="shared" si="81"/>
        <v>0</v>
      </c>
      <c r="P91" s="92">
        <f t="shared" si="81"/>
        <v>802500</v>
      </c>
      <c r="Q91" s="92">
        <f t="shared" si="81"/>
        <v>538200</v>
      </c>
      <c r="R91" s="92">
        <f t="shared" si="81"/>
        <v>1340700</v>
      </c>
      <c r="S91" s="92">
        <f t="shared" ref="S91:T91" si="82">SUM(S78:S90)</f>
        <v>1498824</v>
      </c>
      <c r="T91" s="92">
        <f t="shared" si="82"/>
        <v>987528</v>
      </c>
      <c r="U91" s="92">
        <f>SUM(U78:U90)</f>
        <v>2486352</v>
      </c>
      <c r="V91" s="212">
        <f>AVERAGE(V78:V90)</f>
        <v>5.8166491043203365E-2</v>
      </c>
      <c r="W91" s="204"/>
    </row>
    <row r="92" spans="2:23">
      <c r="B92" s="144" t="s">
        <v>198</v>
      </c>
      <c r="C92" s="145"/>
      <c r="D92" s="145"/>
      <c r="E92" s="145"/>
      <c r="F92" s="145"/>
      <c r="G92" s="145"/>
      <c r="H92" s="145"/>
      <c r="I92" s="145"/>
      <c r="J92" s="145"/>
      <c r="K92" s="145"/>
      <c r="L92" s="93"/>
      <c r="M92" s="93"/>
      <c r="N92" s="94"/>
      <c r="O92" s="94"/>
      <c r="P92" s="95"/>
      <c r="Q92" s="96"/>
      <c r="R92" s="97"/>
      <c r="S92" s="97"/>
      <c r="T92" s="97"/>
      <c r="U92" s="97"/>
      <c r="V92" s="210"/>
    </row>
    <row r="93" spans="2:23">
      <c r="B93" s="44" t="s">
        <v>199</v>
      </c>
      <c r="C93" s="146" t="s">
        <v>200</v>
      </c>
      <c r="D93" s="160">
        <v>43787</v>
      </c>
      <c r="E93" s="182">
        <f t="shared" ref="E93:E105" si="83">$Y$2</f>
        <v>44335</v>
      </c>
      <c r="F93" s="24" t="s">
        <v>51</v>
      </c>
      <c r="G93" s="35">
        <v>7.9679887000000003</v>
      </c>
      <c r="H93" s="29">
        <v>-11.311707999999999</v>
      </c>
      <c r="I93" s="152">
        <v>773</v>
      </c>
      <c r="J93" s="152">
        <v>300</v>
      </c>
      <c r="K93" s="30" t="s">
        <v>40</v>
      </c>
      <c r="L93" s="152">
        <f t="shared" ref="L93:L105" si="84">$Y$4-$E93-M93+1</f>
        <v>227</v>
      </c>
      <c r="M93" s="183">
        <v>0</v>
      </c>
      <c r="N93" s="152">
        <f>$Y$3-$Y$4-O93</f>
        <v>138</v>
      </c>
      <c r="O93" s="183">
        <v>0</v>
      </c>
      <c r="P93" s="82">
        <f t="shared" ref="P93:P105" si="85">L93*J93</f>
        <v>68100</v>
      </c>
      <c r="Q93" s="82">
        <f t="shared" ref="Q93:Q105" si="86">N93*J93</f>
        <v>41400</v>
      </c>
      <c r="R93" s="82">
        <f>SUM(P93:Q93)</f>
        <v>109500</v>
      </c>
      <c r="S93" s="79">
        <f t="shared" ref="S93:S105" si="87">L93*I93</f>
        <v>175471</v>
      </c>
      <c r="T93" s="79">
        <f t="shared" ref="T93:T105" si="88">N93*I93</f>
        <v>106674</v>
      </c>
      <c r="U93" s="79">
        <f t="shared" ref="U93:U104" si="89">SUM(S93:T93)</f>
        <v>282145</v>
      </c>
      <c r="V93" s="211">
        <f>(M93+O93)/SUM(L93:O93)</f>
        <v>0</v>
      </c>
    </row>
    <row r="94" spans="2:23">
      <c r="B94" s="161" t="s">
        <v>201</v>
      </c>
      <c r="C94" s="2" t="s">
        <v>202</v>
      </c>
      <c r="D94" s="160">
        <v>43784</v>
      </c>
      <c r="E94" s="182">
        <f t="shared" si="83"/>
        <v>44335</v>
      </c>
      <c r="F94" s="24" t="s">
        <v>73</v>
      </c>
      <c r="G94" s="35">
        <v>8.6871550000000006</v>
      </c>
      <c r="H94" s="29">
        <v>-10.928291</v>
      </c>
      <c r="I94" s="24">
        <v>712</v>
      </c>
      <c r="J94" s="24">
        <v>300</v>
      </c>
      <c r="K94" s="30" t="s">
        <v>40</v>
      </c>
      <c r="L94" s="152">
        <f t="shared" si="84"/>
        <v>122</v>
      </c>
      <c r="M94" s="183">
        <v>105</v>
      </c>
      <c r="N94" s="152">
        <f t="shared" ref="N94:N105" si="90">$Y$3-$Y$4-O94</f>
        <v>138</v>
      </c>
      <c r="O94" s="183">
        <v>0</v>
      </c>
      <c r="P94" s="82">
        <f t="shared" si="85"/>
        <v>36600</v>
      </c>
      <c r="Q94" s="82">
        <f t="shared" si="86"/>
        <v>41400</v>
      </c>
      <c r="R94" s="80">
        <f t="shared" ref="R94:R105" si="91">SUM(P94:Q94)</f>
        <v>78000</v>
      </c>
      <c r="S94" s="79">
        <f t="shared" si="87"/>
        <v>86864</v>
      </c>
      <c r="T94" s="79">
        <f t="shared" si="88"/>
        <v>98256</v>
      </c>
      <c r="U94" s="79">
        <f t="shared" si="89"/>
        <v>185120</v>
      </c>
      <c r="V94" s="211">
        <f t="shared" ref="V94:V105" si="92">(M94+O94)/SUM(L94:O94)</f>
        <v>0.28767123287671231</v>
      </c>
    </row>
    <row r="95" spans="2:23">
      <c r="B95" s="44" t="s">
        <v>203</v>
      </c>
      <c r="C95" s="146" t="s">
        <v>112</v>
      </c>
      <c r="D95" s="160">
        <v>43788</v>
      </c>
      <c r="E95" s="182">
        <f t="shared" si="83"/>
        <v>44335</v>
      </c>
      <c r="F95" s="24" t="s">
        <v>51</v>
      </c>
      <c r="G95" s="35">
        <v>7.881488</v>
      </c>
      <c r="H95" s="29">
        <v>-11.345285000000001</v>
      </c>
      <c r="I95" s="24">
        <v>703</v>
      </c>
      <c r="J95" s="24">
        <v>300</v>
      </c>
      <c r="K95" s="30" t="s">
        <v>40</v>
      </c>
      <c r="L95" s="152">
        <f t="shared" si="84"/>
        <v>123</v>
      </c>
      <c r="M95" s="183">
        <v>104</v>
      </c>
      <c r="N95" s="152">
        <f t="shared" si="90"/>
        <v>138</v>
      </c>
      <c r="O95" s="183">
        <v>0</v>
      </c>
      <c r="P95" s="82">
        <f t="shared" si="85"/>
        <v>36900</v>
      </c>
      <c r="Q95" s="82">
        <f t="shared" si="86"/>
        <v>41400</v>
      </c>
      <c r="R95" s="82">
        <f t="shared" si="91"/>
        <v>78300</v>
      </c>
      <c r="S95" s="79">
        <f t="shared" si="87"/>
        <v>86469</v>
      </c>
      <c r="T95" s="79">
        <f t="shared" si="88"/>
        <v>97014</v>
      </c>
      <c r="U95" s="79">
        <f t="shared" si="89"/>
        <v>183483</v>
      </c>
      <c r="V95" s="211">
        <f t="shared" si="92"/>
        <v>0.28493150684931506</v>
      </c>
    </row>
    <row r="96" spans="2:23">
      <c r="B96" s="44" t="s">
        <v>204</v>
      </c>
      <c r="C96" s="146" t="s">
        <v>205</v>
      </c>
      <c r="D96" s="160">
        <v>43789</v>
      </c>
      <c r="E96" s="182">
        <f t="shared" si="83"/>
        <v>44335</v>
      </c>
      <c r="F96" s="24" t="s">
        <v>51</v>
      </c>
      <c r="G96" s="35">
        <v>7.8726165999999997</v>
      </c>
      <c r="H96" s="29">
        <v>-11.345789999999999</v>
      </c>
      <c r="I96" s="24">
        <v>643</v>
      </c>
      <c r="J96" s="24">
        <v>300</v>
      </c>
      <c r="K96" s="30" t="s">
        <v>40</v>
      </c>
      <c r="L96" s="152">
        <f t="shared" si="84"/>
        <v>123</v>
      </c>
      <c r="M96" s="183">
        <v>104</v>
      </c>
      <c r="N96" s="152">
        <f t="shared" si="90"/>
        <v>138</v>
      </c>
      <c r="O96" s="183">
        <v>0</v>
      </c>
      <c r="P96" s="82">
        <f t="shared" si="85"/>
        <v>36900</v>
      </c>
      <c r="Q96" s="82">
        <f t="shared" si="86"/>
        <v>41400</v>
      </c>
      <c r="R96" s="82">
        <f t="shared" si="91"/>
        <v>78300</v>
      </c>
      <c r="S96" s="79">
        <f t="shared" si="87"/>
        <v>79089</v>
      </c>
      <c r="T96" s="79">
        <f t="shared" si="88"/>
        <v>88734</v>
      </c>
      <c r="U96" s="79">
        <f t="shared" si="89"/>
        <v>167823</v>
      </c>
      <c r="V96" s="211">
        <f t="shared" si="92"/>
        <v>0.28493150684931506</v>
      </c>
    </row>
    <row r="97" spans="2:24">
      <c r="B97" s="161" t="s">
        <v>206</v>
      </c>
      <c r="C97" s="2" t="s">
        <v>207</v>
      </c>
      <c r="D97" s="160">
        <v>43782</v>
      </c>
      <c r="E97" s="182">
        <f t="shared" si="83"/>
        <v>44335</v>
      </c>
      <c r="F97" s="24" t="s">
        <v>39</v>
      </c>
      <c r="G97" s="35">
        <v>8.5962549999999993</v>
      </c>
      <c r="H97" s="29">
        <v>-10.590665</v>
      </c>
      <c r="I97" s="24">
        <v>634</v>
      </c>
      <c r="J97" s="24">
        <v>300</v>
      </c>
      <c r="K97" s="30" t="s">
        <v>40</v>
      </c>
      <c r="L97" s="152">
        <f t="shared" si="84"/>
        <v>122</v>
      </c>
      <c r="M97" s="183">
        <v>105</v>
      </c>
      <c r="N97" s="152">
        <f t="shared" si="90"/>
        <v>138</v>
      </c>
      <c r="O97" s="183">
        <v>0</v>
      </c>
      <c r="P97" s="82">
        <f t="shared" si="85"/>
        <v>36600</v>
      </c>
      <c r="Q97" s="82">
        <f t="shared" si="86"/>
        <v>41400</v>
      </c>
      <c r="R97" s="80">
        <f t="shared" si="91"/>
        <v>78000</v>
      </c>
      <c r="S97" s="79">
        <f t="shared" si="87"/>
        <v>77348</v>
      </c>
      <c r="T97" s="79">
        <f t="shared" si="88"/>
        <v>87492</v>
      </c>
      <c r="U97" s="79">
        <f t="shared" si="89"/>
        <v>164840</v>
      </c>
      <c r="V97" s="211">
        <f t="shared" si="92"/>
        <v>0.28767123287671231</v>
      </c>
    </row>
    <row r="98" spans="2:24">
      <c r="B98" s="154" t="s">
        <v>208</v>
      </c>
      <c r="C98" s="154" t="s">
        <v>209</v>
      </c>
      <c r="D98" s="148">
        <v>43998</v>
      </c>
      <c r="E98" s="182">
        <f t="shared" si="83"/>
        <v>44335</v>
      </c>
      <c r="F98" s="149" t="s">
        <v>39</v>
      </c>
      <c r="G98" s="149">
        <v>8.2985950000000006</v>
      </c>
      <c r="H98" s="149">
        <v>-10.460100000000001</v>
      </c>
      <c r="I98" s="149">
        <v>525</v>
      </c>
      <c r="J98" s="152">
        <f t="shared" ref="J98:J105" si="93">IF(I98&gt;300, 300, I98)</f>
        <v>300</v>
      </c>
      <c r="K98" s="30" t="s">
        <v>40</v>
      </c>
      <c r="L98" s="152">
        <f t="shared" si="84"/>
        <v>141</v>
      </c>
      <c r="M98" s="183">
        <v>86</v>
      </c>
      <c r="N98" s="152">
        <f t="shared" si="90"/>
        <v>138</v>
      </c>
      <c r="O98" s="183">
        <v>0</v>
      </c>
      <c r="P98" s="80">
        <f t="shared" si="85"/>
        <v>42300</v>
      </c>
      <c r="Q98" s="80">
        <f t="shared" si="86"/>
        <v>41400</v>
      </c>
      <c r="R98" s="80">
        <f t="shared" si="91"/>
        <v>83700</v>
      </c>
      <c r="S98" s="79">
        <f t="shared" si="87"/>
        <v>74025</v>
      </c>
      <c r="T98" s="79">
        <f t="shared" si="88"/>
        <v>72450</v>
      </c>
      <c r="U98" s="79">
        <f t="shared" si="89"/>
        <v>146475</v>
      </c>
      <c r="V98" s="211">
        <f t="shared" si="92"/>
        <v>0.23561643835616439</v>
      </c>
    </row>
    <row r="99" spans="2:24">
      <c r="B99" s="154" t="s">
        <v>210</v>
      </c>
      <c r="C99" s="154" t="s">
        <v>211</v>
      </c>
      <c r="D99" s="148">
        <v>43998</v>
      </c>
      <c r="E99" s="182">
        <f t="shared" si="83"/>
        <v>44335</v>
      </c>
      <c r="F99" s="149" t="s">
        <v>39</v>
      </c>
      <c r="G99" s="149">
        <v>8.3004479999999994</v>
      </c>
      <c r="H99" s="149">
        <v>-10.460800000000001</v>
      </c>
      <c r="I99" s="149">
        <v>469</v>
      </c>
      <c r="J99" s="152">
        <f t="shared" si="93"/>
        <v>300</v>
      </c>
      <c r="K99" s="30" t="s">
        <v>40</v>
      </c>
      <c r="L99" s="152">
        <f t="shared" si="84"/>
        <v>227</v>
      </c>
      <c r="M99" s="183">
        <v>0</v>
      </c>
      <c r="N99" s="152">
        <f t="shared" si="90"/>
        <v>138</v>
      </c>
      <c r="O99" s="183">
        <v>0</v>
      </c>
      <c r="P99" s="80">
        <f t="shared" si="85"/>
        <v>68100</v>
      </c>
      <c r="Q99" s="80">
        <f t="shared" si="86"/>
        <v>41400</v>
      </c>
      <c r="R99" s="80">
        <f t="shared" si="91"/>
        <v>109500</v>
      </c>
      <c r="S99" s="79">
        <f t="shared" si="87"/>
        <v>106463</v>
      </c>
      <c r="T99" s="79">
        <f t="shared" si="88"/>
        <v>64722</v>
      </c>
      <c r="U99" s="79">
        <f t="shared" si="89"/>
        <v>171185</v>
      </c>
      <c r="V99" s="211">
        <f t="shared" si="92"/>
        <v>0</v>
      </c>
    </row>
    <row r="100" spans="2:24">
      <c r="B100" s="154" t="s">
        <v>212</v>
      </c>
      <c r="C100" s="154" t="s">
        <v>213</v>
      </c>
      <c r="D100" s="148">
        <v>43990</v>
      </c>
      <c r="E100" s="182">
        <f t="shared" si="83"/>
        <v>44335</v>
      </c>
      <c r="F100" s="149" t="s">
        <v>73</v>
      </c>
      <c r="G100" s="149">
        <v>8.2818550000000002</v>
      </c>
      <c r="H100" s="149">
        <v>-10.3711</v>
      </c>
      <c r="I100" s="149">
        <v>423</v>
      </c>
      <c r="J100" s="152">
        <f t="shared" si="93"/>
        <v>300</v>
      </c>
      <c r="K100" s="30" t="s">
        <v>40</v>
      </c>
      <c r="L100" s="152">
        <f t="shared" si="84"/>
        <v>137</v>
      </c>
      <c r="M100" s="183">
        <v>90</v>
      </c>
      <c r="N100" s="152">
        <f t="shared" si="90"/>
        <v>138</v>
      </c>
      <c r="O100" s="183">
        <v>0</v>
      </c>
      <c r="P100" s="80">
        <f t="shared" si="85"/>
        <v>41100</v>
      </c>
      <c r="Q100" s="80">
        <f t="shared" si="86"/>
        <v>41400</v>
      </c>
      <c r="R100" s="80">
        <f t="shared" si="91"/>
        <v>82500</v>
      </c>
      <c r="S100" s="79">
        <f t="shared" si="87"/>
        <v>57951</v>
      </c>
      <c r="T100" s="79">
        <f t="shared" si="88"/>
        <v>58374</v>
      </c>
      <c r="U100" s="79">
        <f t="shared" si="89"/>
        <v>116325</v>
      </c>
      <c r="V100" s="211">
        <f t="shared" si="92"/>
        <v>0.24657534246575341</v>
      </c>
    </row>
    <row r="101" spans="2:24">
      <c r="B101" s="154" t="s">
        <v>214</v>
      </c>
      <c r="C101" s="154" t="s">
        <v>215</v>
      </c>
      <c r="D101" s="148">
        <v>43997</v>
      </c>
      <c r="E101" s="182">
        <f t="shared" si="83"/>
        <v>44335</v>
      </c>
      <c r="F101" s="149" t="s">
        <v>39</v>
      </c>
      <c r="G101" s="149">
        <v>8.2978660000000009</v>
      </c>
      <c r="H101" s="149">
        <v>-10.461959999999999</v>
      </c>
      <c r="I101" s="149">
        <v>514</v>
      </c>
      <c r="J101" s="152">
        <f t="shared" si="93"/>
        <v>300</v>
      </c>
      <c r="K101" s="30" t="s">
        <v>40</v>
      </c>
      <c r="L101" s="152">
        <f t="shared" si="84"/>
        <v>227</v>
      </c>
      <c r="M101" s="183">
        <v>0</v>
      </c>
      <c r="N101" s="152">
        <f t="shared" si="90"/>
        <v>138</v>
      </c>
      <c r="O101" s="183">
        <v>0</v>
      </c>
      <c r="P101" s="80">
        <f t="shared" si="85"/>
        <v>68100</v>
      </c>
      <c r="Q101" s="80">
        <f t="shared" si="86"/>
        <v>41400</v>
      </c>
      <c r="R101" s="80">
        <f t="shared" si="91"/>
        <v>109500</v>
      </c>
      <c r="S101" s="79">
        <f t="shared" si="87"/>
        <v>116678</v>
      </c>
      <c r="T101" s="79">
        <f t="shared" si="88"/>
        <v>70932</v>
      </c>
      <c r="U101" s="79">
        <f t="shared" si="89"/>
        <v>187610</v>
      </c>
      <c r="V101" s="211">
        <f t="shared" si="92"/>
        <v>0</v>
      </c>
    </row>
    <row r="102" spans="2:24">
      <c r="B102" s="154" t="s">
        <v>216</v>
      </c>
      <c r="C102" s="154" t="s">
        <v>217</v>
      </c>
      <c r="D102" s="148">
        <v>43997</v>
      </c>
      <c r="E102" s="182">
        <f t="shared" si="83"/>
        <v>44335</v>
      </c>
      <c r="F102" s="149" t="s">
        <v>39</v>
      </c>
      <c r="G102" s="149">
        <v>8.2965309999999999</v>
      </c>
      <c r="H102" s="149">
        <v>-10.463900000000001</v>
      </c>
      <c r="I102" s="149">
        <v>492</v>
      </c>
      <c r="J102" s="152">
        <f t="shared" si="93"/>
        <v>300</v>
      </c>
      <c r="K102" s="30" t="s">
        <v>40</v>
      </c>
      <c r="L102" s="152">
        <f t="shared" si="84"/>
        <v>227</v>
      </c>
      <c r="M102" s="183">
        <v>0</v>
      </c>
      <c r="N102" s="152">
        <f t="shared" si="90"/>
        <v>138</v>
      </c>
      <c r="O102" s="183">
        <v>0</v>
      </c>
      <c r="P102" s="80">
        <f t="shared" si="85"/>
        <v>68100</v>
      </c>
      <c r="Q102" s="80">
        <f t="shared" si="86"/>
        <v>41400</v>
      </c>
      <c r="R102" s="80">
        <f t="shared" si="91"/>
        <v>109500</v>
      </c>
      <c r="S102" s="79">
        <f t="shared" si="87"/>
        <v>111684</v>
      </c>
      <c r="T102" s="79">
        <f t="shared" si="88"/>
        <v>67896</v>
      </c>
      <c r="U102" s="79">
        <f t="shared" si="89"/>
        <v>179580</v>
      </c>
      <c r="V102" s="211">
        <f t="shared" si="92"/>
        <v>0</v>
      </c>
      <c r="X102" s="43"/>
    </row>
    <row r="103" spans="2:24">
      <c r="B103" s="154" t="s">
        <v>218</v>
      </c>
      <c r="C103" s="154" t="s">
        <v>219</v>
      </c>
      <c r="D103" s="148">
        <v>43996</v>
      </c>
      <c r="E103" s="182">
        <f t="shared" si="83"/>
        <v>44335</v>
      </c>
      <c r="F103" s="149" t="s">
        <v>39</v>
      </c>
      <c r="G103" s="149">
        <v>8.2517879999999995</v>
      </c>
      <c r="H103" s="149">
        <v>-10.52496</v>
      </c>
      <c r="I103" s="149">
        <v>470</v>
      </c>
      <c r="J103" s="152">
        <f t="shared" si="93"/>
        <v>300</v>
      </c>
      <c r="K103" s="30" t="s">
        <v>40</v>
      </c>
      <c r="L103" s="152">
        <f t="shared" si="84"/>
        <v>138</v>
      </c>
      <c r="M103" s="183">
        <v>89</v>
      </c>
      <c r="N103" s="152">
        <f t="shared" si="90"/>
        <v>138</v>
      </c>
      <c r="O103" s="183">
        <v>0</v>
      </c>
      <c r="P103" s="80">
        <f t="shared" si="85"/>
        <v>41400</v>
      </c>
      <c r="Q103" s="80">
        <f t="shared" si="86"/>
        <v>41400</v>
      </c>
      <c r="R103" s="82">
        <f t="shared" si="91"/>
        <v>82800</v>
      </c>
      <c r="S103" s="79">
        <f t="shared" si="87"/>
        <v>64860</v>
      </c>
      <c r="T103" s="79">
        <f t="shared" si="88"/>
        <v>64860</v>
      </c>
      <c r="U103" s="79">
        <f t="shared" si="89"/>
        <v>129720</v>
      </c>
      <c r="V103" s="211">
        <f t="shared" si="92"/>
        <v>0.24383561643835616</v>
      </c>
      <c r="W103" s="43"/>
    </row>
    <row r="104" spans="2:24">
      <c r="B104" s="154" t="s">
        <v>220</v>
      </c>
      <c r="C104" s="154" t="s">
        <v>221</v>
      </c>
      <c r="D104" s="148">
        <v>43996</v>
      </c>
      <c r="E104" s="182">
        <f t="shared" si="83"/>
        <v>44335</v>
      </c>
      <c r="F104" s="149" t="s">
        <v>39</v>
      </c>
      <c r="G104" s="149">
        <v>8.2768680000000003</v>
      </c>
      <c r="H104" s="149">
        <v>-10.567729999999999</v>
      </c>
      <c r="I104" s="149">
        <v>496</v>
      </c>
      <c r="J104" s="152">
        <f t="shared" si="93"/>
        <v>300</v>
      </c>
      <c r="K104" s="30" t="s">
        <v>40</v>
      </c>
      <c r="L104" s="152">
        <f t="shared" si="84"/>
        <v>227</v>
      </c>
      <c r="M104" s="183">
        <v>0</v>
      </c>
      <c r="N104" s="152">
        <f t="shared" si="90"/>
        <v>138</v>
      </c>
      <c r="O104" s="183">
        <v>0</v>
      </c>
      <c r="P104" s="80">
        <f t="shared" si="85"/>
        <v>68100</v>
      </c>
      <c r="Q104" s="80">
        <f t="shared" si="86"/>
        <v>41400</v>
      </c>
      <c r="R104" s="82">
        <f t="shared" si="91"/>
        <v>109500</v>
      </c>
      <c r="S104" s="79">
        <f t="shared" si="87"/>
        <v>112592</v>
      </c>
      <c r="T104" s="79">
        <f t="shared" si="88"/>
        <v>68448</v>
      </c>
      <c r="U104" s="79">
        <f t="shared" si="89"/>
        <v>181040</v>
      </c>
      <c r="V104" s="211">
        <f t="shared" si="92"/>
        <v>0</v>
      </c>
    </row>
    <row r="105" spans="2:24">
      <c r="B105" s="154" t="s">
        <v>222</v>
      </c>
      <c r="C105" s="154" t="s">
        <v>223</v>
      </c>
      <c r="D105" s="148">
        <v>43996</v>
      </c>
      <c r="E105" s="182">
        <f t="shared" si="83"/>
        <v>44335</v>
      </c>
      <c r="F105" s="149" t="s">
        <v>39</v>
      </c>
      <c r="G105" s="149">
        <v>8.274025</v>
      </c>
      <c r="H105" s="149">
        <v>-10.57512</v>
      </c>
      <c r="I105" s="149">
        <v>474</v>
      </c>
      <c r="J105" s="152">
        <f t="shared" si="93"/>
        <v>300</v>
      </c>
      <c r="K105" s="30" t="s">
        <v>40</v>
      </c>
      <c r="L105" s="152">
        <f t="shared" si="84"/>
        <v>227</v>
      </c>
      <c r="M105" s="183">
        <v>0</v>
      </c>
      <c r="N105" s="152">
        <f t="shared" si="90"/>
        <v>138</v>
      </c>
      <c r="O105" s="183">
        <v>0</v>
      </c>
      <c r="P105" s="80">
        <f t="shared" si="85"/>
        <v>68100</v>
      </c>
      <c r="Q105" s="80">
        <f t="shared" si="86"/>
        <v>41400</v>
      </c>
      <c r="R105" s="82">
        <f t="shared" si="91"/>
        <v>109500</v>
      </c>
      <c r="S105" s="79">
        <f t="shared" si="87"/>
        <v>107598</v>
      </c>
      <c r="T105" s="79">
        <f t="shared" si="88"/>
        <v>65412</v>
      </c>
      <c r="U105" s="79">
        <f t="shared" ref="U105" si="94">SUM(S105:T105)</f>
        <v>173010</v>
      </c>
      <c r="V105" s="211">
        <f t="shared" si="92"/>
        <v>0</v>
      </c>
    </row>
    <row r="106" spans="2:24">
      <c r="B106" s="156">
        <f>COUNTA(B93:B105)</f>
        <v>13</v>
      </c>
      <c r="C106" s="157"/>
      <c r="D106" s="157"/>
      <c r="E106" s="157"/>
      <c r="F106" s="90"/>
      <c r="G106" s="90"/>
      <c r="H106" s="90"/>
      <c r="I106" s="91">
        <f>SUM(I93:I105)</f>
        <v>7328</v>
      </c>
      <c r="J106" s="91">
        <f>SUM(J93:J105)</f>
        <v>3900</v>
      </c>
      <c r="K106" s="90"/>
      <c r="L106" s="91">
        <f t="shared" ref="L106:R106" si="95">SUM(L93:L105)</f>
        <v>2268</v>
      </c>
      <c r="M106" s="91">
        <f t="shared" si="95"/>
        <v>683</v>
      </c>
      <c r="N106" s="91">
        <f t="shared" si="95"/>
        <v>1794</v>
      </c>
      <c r="O106" s="91">
        <f t="shared" si="95"/>
        <v>0</v>
      </c>
      <c r="P106" s="92">
        <f t="shared" si="95"/>
        <v>680400</v>
      </c>
      <c r="Q106" s="92">
        <f t="shared" si="95"/>
        <v>538200</v>
      </c>
      <c r="R106" s="92">
        <f t="shared" si="95"/>
        <v>1218600</v>
      </c>
      <c r="S106" s="92">
        <f t="shared" ref="S106:T106" si="96">SUM(S93:S105)</f>
        <v>1257092</v>
      </c>
      <c r="T106" s="92">
        <f t="shared" si="96"/>
        <v>1011264</v>
      </c>
      <c r="U106" s="92">
        <f>SUM(U93:U105)</f>
        <v>2268356</v>
      </c>
      <c r="V106" s="212">
        <f>AVERAGE(V93:V105)</f>
        <v>0.14394099051633297</v>
      </c>
      <c r="W106" s="204"/>
    </row>
    <row r="107" spans="2:24">
      <c r="B107" s="144" t="s">
        <v>224</v>
      </c>
      <c r="C107" s="145"/>
      <c r="D107" s="145"/>
      <c r="E107" s="145"/>
      <c r="F107" s="145"/>
      <c r="G107" s="145"/>
      <c r="H107" s="145"/>
      <c r="I107" s="145"/>
      <c r="J107" s="145"/>
      <c r="K107" s="145"/>
      <c r="L107" s="93"/>
      <c r="M107" s="93"/>
      <c r="N107" s="94"/>
      <c r="O107" s="94"/>
      <c r="P107" s="95"/>
      <c r="Q107" s="96"/>
      <c r="R107" s="97"/>
      <c r="S107" s="97"/>
      <c r="T107" s="97"/>
      <c r="U107" s="97"/>
      <c r="V107" s="210"/>
    </row>
    <row r="108" spans="2:24">
      <c r="B108" s="44" t="s">
        <v>225</v>
      </c>
      <c r="C108" s="146" t="s">
        <v>226</v>
      </c>
      <c r="D108" s="160">
        <v>43797</v>
      </c>
      <c r="E108" s="182">
        <f t="shared" ref="E108:E121" si="97">$Y$2</f>
        <v>44335</v>
      </c>
      <c r="F108" s="24" t="s">
        <v>51</v>
      </c>
      <c r="G108" s="35">
        <v>7.9672666999999997</v>
      </c>
      <c r="H108" s="24">
        <v>-11.310376</v>
      </c>
      <c r="I108" s="152">
        <v>597</v>
      </c>
      <c r="J108" s="152">
        <v>300</v>
      </c>
      <c r="K108" s="30" t="s">
        <v>40</v>
      </c>
      <c r="L108" s="152">
        <f t="shared" ref="L108:L121" si="98">$Y$4-$E108-M108+1</f>
        <v>227</v>
      </c>
      <c r="M108" s="183">
        <v>0</v>
      </c>
      <c r="N108" s="152">
        <f>$Y$3-$Y$4-O108</f>
        <v>138</v>
      </c>
      <c r="O108" s="183">
        <v>0</v>
      </c>
      <c r="P108" s="82">
        <f t="shared" ref="P108:P121" si="99">L108*J108</f>
        <v>68100</v>
      </c>
      <c r="Q108" s="82">
        <f t="shared" ref="Q108:Q121" si="100">N108*J108</f>
        <v>41400</v>
      </c>
      <c r="R108" s="82">
        <f>SUM(P108:Q108)</f>
        <v>109500</v>
      </c>
      <c r="S108" s="79">
        <f t="shared" ref="S108:S121" si="101">L108*I108</f>
        <v>135519</v>
      </c>
      <c r="T108" s="79">
        <f t="shared" ref="T108:T121" si="102">N108*I108</f>
        <v>82386</v>
      </c>
      <c r="U108" s="79">
        <f t="shared" ref="U108:U119" si="103">SUM(S108:T108)</f>
        <v>217905</v>
      </c>
      <c r="V108" s="211">
        <f>(M108+O108)/SUM(L108:O108)</f>
        <v>0</v>
      </c>
    </row>
    <row r="109" spans="2:24">
      <c r="B109" s="36" t="s">
        <v>227</v>
      </c>
      <c r="C109" s="146" t="s">
        <v>228</v>
      </c>
      <c r="D109" s="160">
        <v>43783</v>
      </c>
      <c r="E109" s="182">
        <f t="shared" si="97"/>
        <v>44335</v>
      </c>
      <c r="F109" s="24" t="s">
        <v>51</v>
      </c>
      <c r="G109" s="37">
        <v>7.9806609999999996</v>
      </c>
      <c r="H109" s="24">
        <v>-11.29828</v>
      </c>
      <c r="I109" s="152">
        <v>578</v>
      </c>
      <c r="J109" s="152">
        <v>300</v>
      </c>
      <c r="K109" s="30" t="s">
        <v>40</v>
      </c>
      <c r="L109" s="152">
        <f t="shared" si="98"/>
        <v>227</v>
      </c>
      <c r="M109" s="183">
        <v>0</v>
      </c>
      <c r="N109" s="152">
        <f t="shared" ref="N109:N121" si="104">$Y$3-$Y$4-O109</f>
        <v>138</v>
      </c>
      <c r="O109" s="183">
        <v>0</v>
      </c>
      <c r="P109" s="82">
        <f t="shared" si="99"/>
        <v>68100</v>
      </c>
      <c r="Q109" s="82">
        <f t="shared" si="100"/>
        <v>41400</v>
      </c>
      <c r="R109" s="82">
        <f t="shared" ref="R109:R121" si="105">SUM(P109:Q109)</f>
        <v>109500</v>
      </c>
      <c r="S109" s="79">
        <f t="shared" si="101"/>
        <v>131206</v>
      </c>
      <c r="T109" s="79">
        <f t="shared" si="102"/>
        <v>79764</v>
      </c>
      <c r="U109" s="79">
        <f t="shared" si="103"/>
        <v>210970</v>
      </c>
      <c r="V109" s="211">
        <f t="shared" ref="V109:V121" si="106">(M109+O109)/SUM(L109:O109)</f>
        <v>0</v>
      </c>
    </row>
    <row r="110" spans="2:24">
      <c r="B110" s="44" t="s">
        <v>229</v>
      </c>
      <c r="C110" s="146" t="s">
        <v>230</v>
      </c>
      <c r="D110" s="160">
        <v>43782</v>
      </c>
      <c r="E110" s="182">
        <f t="shared" si="97"/>
        <v>44335</v>
      </c>
      <c r="F110" s="24" t="s">
        <v>51</v>
      </c>
      <c r="G110" s="35">
        <v>7.8761299999999999</v>
      </c>
      <c r="H110" s="24">
        <v>-11.347569999999999</v>
      </c>
      <c r="I110" s="24">
        <v>598</v>
      </c>
      <c r="J110" s="24">
        <v>300</v>
      </c>
      <c r="K110" s="30" t="s">
        <v>40</v>
      </c>
      <c r="L110" s="152">
        <f t="shared" si="98"/>
        <v>226</v>
      </c>
      <c r="M110" s="183">
        <v>1</v>
      </c>
      <c r="N110" s="152">
        <f t="shared" si="104"/>
        <v>138</v>
      </c>
      <c r="O110" s="183">
        <v>0</v>
      </c>
      <c r="P110" s="82">
        <f t="shared" si="99"/>
        <v>67800</v>
      </c>
      <c r="Q110" s="82">
        <f t="shared" si="100"/>
        <v>41400</v>
      </c>
      <c r="R110" s="82">
        <f t="shared" si="105"/>
        <v>109200</v>
      </c>
      <c r="S110" s="79">
        <f t="shared" si="101"/>
        <v>135148</v>
      </c>
      <c r="T110" s="79">
        <f t="shared" si="102"/>
        <v>82524</v>
      </c>
      <c r="U110" s="79">
        <f t="shared" si="103"/>
        <v>217672</v>
      </c>
      <c r="V110" s="211">
        <f t="shared" si="106"/>
        <v>2.7397260273972603E-3</v>
      </c>
    </row>
    <row r="111" spans="2:24">
      <c r="B111" s="44" t="s">
        <v>231</v>
      </c>
      <c r="C111" s="146" t="s">
        <v>232</v>
      </c>
      <c r="D111" s="160">
        <v>43784</v>
      </c>
      <c r="E111" s="182">
        <f t="shared" si="97"/>
        <v>44335</v>
      </c>
      <c r="F111" s="24" t="s">
        <v>51</v>
      </c>
      <c r="G111" s="35">
        <v>7.996283</v>
      </c>
      <c r="H111" s="24">
        <v>-11.331149999999999</v>
      </c>
      <c r="I111" s="24">
        <v>587</v>
      </c>
      <c r="J111" s="24">
        <v>300</v>
      </c>
      <c r="K111" s="30" t="s">
        <v>40</v>
      </c>
      <c r="L111" s="152">
        <f t="shared" si="98"/>
        <v>227</v>
      </c>
      <c r="M111" s="183">
        <v>0</v>
      </c>
      <c r="N111" s="152">
        <f t="shared" si="104"/>
        <v>138</v>
      </c>
      <c r="O111" s="206">
        <v>0</v>
      </c>
      <c r="P111" s="82">
        <f t="shared" si="99"/>
        <v>68100</v>
      </c>
      <c r="Q111" s="82">
        <f t="shared" si="100"/>
        <v>41400</v>
      </c>
      <c r="R111" s="82">
        <f t="shared" si="105"/>
        <v>109500</v>
      </c>
      <c r="S111" s="79">
        <f t="shared" si="101"/>
        <v>133249</v>
      </c>
      <c r="T111" s="79">
        <f t="shared" si="102"/>
        <v>81006</v>
      </c>
      <c r="U111" s="79">
        <f t="shared" si="103"/>
        <v>214255</v>
      </c>
      <c r="V111" s="211">
        <f t="shared" si="106"/>
        <v>0</v>
      </c>
    </row>
    <row r="112" spans="2:24">
      <c r="B112" s="44" t="s">
        <v>233</v>
      </c>
      <c r="C112" s="146" t="s">
        <v>234</v>
      </c>
      <c r="D112" s="160">
        <v>43783</v>
      </c>
      <c r="E112" s="182">
        <f t="shared" si="97"/>
        <v>44335</v>
      </c>
      <c r="F112" s="24" t="s">
        <v>51</v>
      </c>
      <c r="G112" s="35">
        <v>7.9361309999999996</v>
      </c>
      <c r="H112" s="24">
        <v>-11.347770000000001</v>
      </c>
      <c r="I112" s="24">
        <v>561</v>
      </c>
      <c r="J112" s="24">
        <v>300</v>
      </c>
      <c r="K112" s="30" t="s">
        <v>40</v>
      </c>
      <c r="L112" s="152">
        <f t="shared" si="98"/>
        <v>123</v>
      </c>
      <c r="M112" s="183">
        <v>104</v>
      </c>
      <c r="N112" s="152">
        <f t="shared" si="104"/>
        <v>138</v>
      </c>
      <c r="O112" s="183">
        <v>0</v>
      </c>
      <c r="P112" s="82">
        <f t="shared" si="99"/>
        <v>36900</v>
      </c>
      <c r="Q112" s="82">
        <f t="shared" si="100"/>
        <v>41400</v>
      </c>
      <c r="R112" s="82">
        <f t="shared" si="105"/>
        <v>78300</v>
      </c>
      <c r="S112" s="79">
        <f t="shared" si="101"/>
        <v>69003</v>
      </c>
      <c r="T112" s="79">
        <f t="shared" si="102"/>
        <v>77418</v>
      </c>
      <c r="U112" s="79">
        <f t="shared" si="103"/>
        <v>146421</v>
      </c>
      <c r="V112" s="211">
        <f t="shared" si="106"/>
        <v>0.28493150684931506</v>
      </c>
    </row>
    <row r="113" spans="2:23">
      <c r="B113" s="44" t="s">
        <v>235</v>
      </c>
      <c r="C113" s="146" t="s">
        <v>236</v>
      </c>
      <c r="D113" s="115">
        <v>43784</v>
      </c>
      <c r="E113" s="182">
        <f t="shared" si="97"/>
        <v>44335</v>
      </c>
      <c r="F113" s="24" t="s">
        <v>51</v>
      </c>
      <c r="G113" s="35">
        <v>7.8782399999999999</v>
      </c>
      <c r="H113" s="24">
        <v>-11.347738</v>
      </c>
      <c r="I113" s="24">
        <v>558</v>
      </c>
      <c r="J113" s="24">
        <v>300</v>
      </c>
      <c r="K113" s="24" t="s">
        <v>40</v>
      </c>
      <c r="L113" s="152">
        <f t="shared" si="98"/>
        <v>226</v>
      </c>
      <c r="M113" s="183">
        <v>1</v>
      </c>
      <c r="N113" s="152">
        <f t="shared" si="104"/>
        <v>138</v>
      </c>
      <c r="O113" s="183">
        <v>0</v>
      </c>
      <c r="P113" s="82">
        <f t="shared" si="99"/>
        <v>67800</v>
      </c>
      <c r="Q113" s="82">
        <f t="shared" si="100"/>
        <v>41400</v>
      </c>
      <c r="R113" s="82">
        <f t="shared" si="105"/>
        <v>109200</v>
      </c>
      <c r="S113" s="79">
        <f t="shared" si="101"/>
        <v>126108</v>
      </c>
      <c r="T113" s="79">
        <f t="shared" si="102"/>
        <v>77004</v>
      </c>
      <c r="U113" s="79">
        <f t="shared" si="103"/>
        <v>203112</v>
      </c>
      <c r="V113" s="211">
        <f t="shared" si="106"/>
        <v>2.7397260273972603E-3</v>
      </c>
    </row>
    <row r="114" spans="2:23">
      <c r="B114" s="154" t="s">
        <v>237</v>
      </c>
      <c r="C114" s="154" t="s">
        <v>238</v>
      </c>
      <c r="D114" s="148">
        <v>43994</v>
      </c>
      <c r="E114" s="182">
        <f t="shared" si="97"/>
        <v>44335</v>
      </c>
      <c r="F114" s="149" t="s">
        <v>39</v>
      </c>
      <c r="G114" s="149">
        <v>8.2783029999999993</v>
      </c>
      <c r="H114" s="149">
        <v>-10.571999999999999</v>
      </c>
      <c r="I114" s="149">
        <v>415</v>
      </c>
      <c r="J114" s="152">
        <f t="shared" ref="J114:J121" si="107">IF(I114&gt;300, 300, I114)</f>
        <v>300</v>
      </c>
      <c r="K114" s="24" t="s">
        <v>40</v>
      </c>
      <c r="L114" s="152">
        <f t="shared" si="98"/>
        <v>138</v>
      </c>
      <c r="M114" s="183">
        <v>89</v>
      </c>
      <c r="N114" s="152">
        <f t="shared" si="104"/>
        <v>138</v>
      </c>
      <c r="O114" s="183">
        <v>0</v>
      </c>
      <c r="P114" s="80">
        <f t="shared" si="99"/>
        <v>41400</v>
      </c>
      <c r="Q114" s="80">
        <f t="shared" si="100"/>
        <v>41400</v>
      </c>
      <c r="R114" s="82">
        <f t="shared" si="105"/>
        <v>82800</v>
      </c>
      <c r="S114" s="79">
        <f t="shared" si="101"/>
        <v>57270</v>
      </c>
      <c r="T114" s="79">
        <f t="shared" si="102"/>
        <v>57270</v>
      </c>
      <c r="U114" s="79">
        <f t="shared" si="103"/>
        <v>114540</v>
      </c>
      <c r="V114" s="211">
        <f t="shared" si="106"/>
        <v>0.24383561643835616</v>
      </c>
    </row>
    <row r="115" spans="2:23">
      <c r="B115" s="154" t="s">
        <v>239</v>
      </c>
      <c r="C115" s="154" t="s">
        <v>240</v>
      </c>
      <c r="D115" s="148">
        <v>43994</v>
      </c>
      <c r="E115" s="182">
        <f t="shared" si="97"/>
        <v>44335</v>
      </c>
      <c r="F115" s="149" t="s">
        <v>39</v>
      </c>
      <c r="G115" s="149">
        <v>8.2796059999999994</v>
      </c>
      <c r="H115" s="149">
        <v>-10.5725</v>
      </c>
      <c r="I115" s="149">
        <v>429</v>
      </c>
      <c r="J115" s="152">
        <f t="shared" si="107"/>
        <v>300</v>
      </c>
      <c r="K115" s="24" t="s">
        <v>40</v>
      </c>
      <c r="L115" s="152">
        <f t="shared" si="98"/>
        <v>227</v>
      </c>
      <c r="M115" s="183">
        <v>0</v>
      </c>
      <c r="N115" s="152">
        <f t="shared" si="104"/>
        <v>138</v>
      </c>
      <c r="O115" s="183">
        <v>0</v>
      </c>
      <c r="P115" s="80">
        <f t="shared" si="99"/>
        <v>68100</v>
      </c>
      <c r="Q115" s="80">
        <f t="shared" si="100"/>
        <v>41400</v>
      </c>
      <c r="R115" s="82">
        <f t="shared" si="105"/>
        <v>109500</v>
      </c>
      <c r="S115" s="79">
        <f t="shared" si="101"/>
        <v>97383</v>
      </c>
      <c r="T115" s="79">
        <f t="shared" si="102"/>
        <v>59202</v>
      </c>
      <c r="U115" s="79">
        <f t="shared" si="103"/>
        <v>156585</v>
      </c>
      <c r="V115" s="211">
        <f t="shared" si="106"/>
        <v>0</v>
      </c>
    </row>
    <row r="116" spans="2:23">
      <c r="B116" s="154" t="s">
        <v>241</v>
      </c>
      <c r="C116" s="154" t="s">
        <v>242</v>
      </c>
      <c r="D116" s="148">
        <v>43995</v>
      </c>
      <c r="E116" s="182">
        <f t="shared" si="97"/>
        <v>44335</v>
      </c>
      <c r="F116" s="149" t="s">
        <v>39</v>
      </c>
      <c r="G116" s="149">
        <v>8.2767160000000004</v>
      </c>
      <c r="H116" s="149">
        <v>-10.57949</v>
      </c>
      <c r="I116" s="149">
        <v>476</v>
      </c>
      <c r="J116" s="152">
        <f t="shared" si="107"/>
        <v>300</v>
      </c>
      <c r="K116" s="24" t="s">
        <v>40</v>
      </c>
      <c r="L116" s="152">
        <f t="shared" si="98"/>
        <v>141</v>
      </c>
      <c r="M116" s="183">
        <v>86</v>
      </c>
      <c r="N116" s="152">
        <f t="shared" si="104"/>
        <v>138</v>
      </c>
      <c r="O116" s="183">
        <v>0</v>
      </c>
      <c r="P116" s="80">
        <f t="shared" si="99"/>
        <v>42300</v>
      </c>
      <c r="Q116" s="80">
        <f t="shared" si="100"/>
        <v>41400</v>
      </c>
      <c r="R116" s="82">
        <f t="shared" si="105"/>
        <v>83700</v>
      </c>
      <c r="S116" s="79">
        <f t="shared" si="101"/>
        <v>67116</v>
      </c>
      <c r="T116" s="79">
        <f t="shared" si="102"/>
        <v>65688</v>
      </c>
      <c r="U116" s="79">
        <f t="shared" si="103"/>
        <v>132804</v>
      </c>
      <c r="V116" s="211">
        <f t="shared" si="106"/>
        <v>0.23561643835616439</v>
      </c>
    </row>
    <row r="117" spans="2:23">
      <c r="B117" s="154" t="s">
        <v>243</v>
      </c>
      <c r="C117" s="154" t="s">
        <v>244</v>
      </c>
      <c r="D117" s="148">
        <v>43995</v>
      </c>
      <c r="E117" s="182">
        <f t="shared" si="97"/>
        <v>44335</v>
      </c>
      <c r="F117" s="149" t="s">
        <v>73</v>
      </c>
      <c r="G117" s="149">
        <v>8.2804079999999995</v>
      </c>
      <c r="H117" s="149">
        <v>-10.57422</v>
      </c>
      <c r="I117" s="149">
        <v>382</v>
      </c>
      <c r="J117" s="152">
        <f t="shared" si="107"/>
        <v>300</v>
      </c>
      <c r="K117" s="24" t="s">
        <v>40</v>
      </c>
      <c r="L117" s="152">
        <f t="shared" si="98"/>
        <v>138</v>
      </c>
      <c r="M117" s="183">
        <v>89</v>
      </c>
      <c r="N117" s="152">
        <f t="shared" si="104"/>
        <v>138</v>
      </c>
      <c r="O117" s="183">
        <v>0</v>
      </c>
      <c r="P117" s="80">
        <f t="shared" si="99"/>
        <v>41400</v>
      </c>
      <c r="Q117" s="80">
        <f t="shared" si="100"/>
        <v>41400</v>
      </c>
      <c r="R117" s="82">
        <f t="shared" si="105"/>
        <v>82800</v>
      </c>
      <c r="S117" s="79">
        <f t="shared" si="101"/>
        <v>52716</v>
      </c>
      <c r="T117" s="79">
        <f t="shared" si="102"/>
        <v>52716</v>
      </c>
      <c r="U117" s="79">
        <f t="shared" si="103"/>
        <v>105432</v>
      </c>
      <c r="V117" s="211">
        <f t="shared" si="106"/>
        <v>0.24383561643835616</v>
      </c>
    </row>
    <row r="118" spans="2:23">
      <c r="B118" s="154" t="s">
        <v>245</v>
      </c>
      <c r="C118" s="154" t="s">
        <v>246</v>
      </c>
      <c r="D118" s="148">
        <v>44025</v>
      </c>
      <c r="E118" s="182">
        <f t="shared" si="97"/>
        <v>44335</v>
      </c>
      <c r="F118" s="149" t="s">
        <v>39</v>
      </c>
      <c r="G118" s="149">
        <v>8.6474679999999999</v>
      </c>
      <c r="H118" s="149">
        <v>-11.174128</v>
      </c>
      <c r="I118" s="149">
        <v>603</v>
      </c>
      <c r="J118" s="152">
        <f t="shared" si="107"/>
        <v>300</v>
      </c>
      <c r="K118" s="24" t="s">
        <v>40</v>
      </c>
      <c r="L118" s="152">
        <f t="shared" si="98"/>
        <v>227</v>
      </c>
      <c r="M118" s="183">
        <v>0</v>
      </c>
      <c r="N118" s="152">
        <f t="shared" si="104"/>
        <v>138</v>
      </c>
      <c r="O118" s="183">
        <v>0</v>
      </c>
      <c r="P118" s="80">
        <f t="shared" si="99"/>
        <v>68100</v>
      </c>
      <c r="Q118" s="80">
        <f t="shared" si="100"/>
        <v>41400</v>
      </c>
      <c r="R118" s="82">
        <f t="shared" si="105"/>
        <v>109500</v>
      </c>
      <c r="S118" s="79">
        <f t="shared" si="101"/>
        <v>136881</v>
      </c>
      <c r="T118" s="79">
        <f t="shared" si="102"/>
        <v>83214</v>
      </c>
      <c r="U118" s="79">
        <f t="shared" si="103"/>
        <v>220095</v>
      </c>
      <c r="V118" s="211">
        <f t="shared" si="106"/>
        <v>0</v>
      </c>
    </row>
    <row r="119" spans="2:23">
      <c r="B119" s="154" t="s">
        <v>247</v>
      </c>
      <c r="C119" s="154" t="s">
        <v>164</v>
      </c>
      <c r="D119" s="148">
        <v>44030</v>
      </c>
      <c r="E119" s="182">
        <f t="shared" si="97"/>
        <v>44335</v>
      </c>
      <c r="F119" s="149" t="s">
        <v>73</v>
      </c>
      <c r="G119" s="149">
        <v>8.7280870000000004</v>
      </c>
      <c r="H119" s="149">
        <v>-11.095402</v>
      </c>
      <c r="I119" s="149">
        <v>504</v>
      </c>
      <c r="J119" s="152">
        <f t="shared" si="107"/>
        <v>300</v>
      </c>
      <c r="K119" s="24" t="s">
        <v>40</v>
      </c>
      <c r="L119" s="152">
        <f t="shared" si="98"/>
        <v>227</v>
      </c>
      <c r="M119" s="183">
        <v>0</v>
      </c>
      <c r="N119" s="152">
        <f t="shared" si="104"/>
        <v>138</v>
      </c>
      <c r="O119" s="183">
        <v>0</v>
      </c>
      <c r="P119" s="80">
        <f t="shared" si="99"/>
        <v>68100</v>
      </c>
      <c r="Q119" s="80">
        <f t="shared" si="100"/>
        <v>41400</v>
      </c>
      <c r="R119" s="82">
        <f t="shared" si="105"/>
        <v>109500</v>
      </c>
      <c r="S119" s="79">
        <f t="shared" si="101"/>
        <v>114408</v>
      </c>
      <c r="T119" s="79">
        <f t="shared" si="102"/>
        <v>69552</v>
      </c>
      <c r="U119" s="79">
        <f t="shared" si="103"/>
        <v>183960</v>
      </c>
      <c r="V119" s="211">
        <f t="shared" si="106"/>
        <v>0</v>
      </c>
    </row>
    <row r="120" spans="2:23">
      <c r="B120" s="154" t="s">
        <v>248</v>
      </c>
      <c r="C120" s="154" t="s">
        <v>249</v>
      </c>
      <c r="D120" s="148">
        <v>44028</v>
      </c>
      <c r="E120" s="182">
        <f t="shared" si="97"/>
        <v>44335</v>
      </c>
      <c r="F120" s="149" t="s">
        <v>73</v>
      </c>
      <c r="G120" s="149">
        <v>8.6778729999999999</v>
      </c>
      <c r="H120" s="149">
        <v>-10.957117999999999</v>
      </c>
      <c r="I120" s="149">
        <v>518</v>
      </c>
      <c r="J120" s="152">
        <f t="shared" si="107"/>
        <v>300</v>
      </c>
      <c r="K120" s="24" t="s">
        <v>40</v>
      </c>
      <c r="L120" s="152">
        <f t="shared" si="98"/>
        <v>121</v>
      </c>
      <c r="M120" s="183">
        <v>106</v>
      </c>
      <c r="N120" s="152">
        <f t="shared" si="104"/>
        <v>138</v>
      </c>
      <c r="O120" s="183">
        <v>0</v>
      </c>
      <c r="P120" s="80">
        <f t="shared" si="99"/>
        <v>36300</v>
      </c>
      <c r="Q120" s="80">
        <f t="shared" si="100"/>
        <v>41400</v>
      </c>
      <c r="R120" s="82">
        <f t="shared" si="105"/>
        <v>77700</v>
      </c>
      <c r="S120" s="79">
        <f t="shared" si="101"/>
        <v>62678</v>
      </c>
      <c r="T120" s="79">
        <f t="shared" si="102"/>
        <v>71484</v>
      </c>
      <c r="U120" s="79">
        <f t="shared" ref="U120:U121" si="108">SUM(S120:T120)</f>
        <v>134162</v>
      </c>
      <c r="V120" s="211">
        <f t="shared" si="106"/>
        <v>0.29041095890410956</v>
      </c>
    </row>
    <row r="121" spans="2:23">
      <c r="B121" s="154" t="s">
        <v>250</v>
      </c>
      <c r="C121" s="154" t="s">
        <v>251</v>
      </c>
      <c r="D121" s="148">
        <v>44024</v>
      </c>
      <c r="E121" s="182">
        <f t="shared" si="97"/>
        <v>44335</v>
      </c>
      <c r="F121" s="149" t="s">
        <v>73</v>
      </c>
      <c r="G121" s="149">
        <v>8.6979900000000008</v>
      </c>
      <c r="H121" s="149">
        <v>-10.953643</v>
      </c>
      <c r="I121" s="149">
        <v>409</v>
      </c>
      <c r="J121" s="152">
        <f t="shared" si="107"/>
        <v>300</v>
      </c>
      <c r="K121" s="24" t="s">
        <v>40</v>
      </c>
      <c r="L121" s="152">
        <f t="shared" si="98"/>
        <v>227</v>
      </c>
      <c r="M121" s="183">
        <v>0</v>
      </c>
      <c r="N121" s="152">
        <f t="shared" si="104"/>
        <v>138</v>
      </c>
      <c r="O121" s="183">
        <v>0</v>
      </c>
      <c r="P121" s="80">
        <f t="shared" si="99"/>
        <v>68100</v>
      </c>
      <c r="Q121" s="80">
        <f t="shared" si="100"/>
        <v>41400</v>
      </c>
      <c r="R121" s="82">
        <f t="shared" si="105"/>
        <v>109500</v>
      </c>
      <c r="S121" s="79">
        <f t="shared" si="101"/>
        <v>92843</v>
      </c>
      <c r="T121" s="79">
        <f t="shared" si="102"/>
        <v>56442</v>
      </c>
      <c r="U121" s="79">
        <f t="shared" si="108"/>
        <v>149285</v>
      </c>
      <c r="V121" s="211">
        <f t="shared" si="106"/>
        <v>0</v>
      </c>
    </row>
    <row r="122" spans="2:23">
      <c r="B122" s="156">
        <f>COUNTA(B108:B121)</f>
        <v>14</v>
      </c>
      <c r="C122" s="90"/>
      <c r="D122" s="157"/>
      <c r="E122" s="157"/>
      <c r="F122" s="90"/>
      <c r="G122" s="90"/>
      <c r="H122" s="90"/>
      <c r="I122" s="91">
        <f>SUM(I108:I121)</f>
        <v>7215</v>
      </c>
      <c r="J122" s="91">
        <f>SUM(J108:J121)</f>
        <v>4200</v>
      </c>
      <c r="K122" s="90"/>
      <c r="L122" s="91">
        <f>SUM(L108:L121)</f>
        <v>2702</v>
      </c>
      <c r="M122" s="91">
        <f>SUM(M109:M121)</f>
        <v>476</v>
      </c>
      <c r="N122" s="91">
        <f>SUM(N108:N121)</f>
        <v>1932</v>
      </c>
      <c r="O122" s="91">
        <f>SUM(O109:O121)</f>
        <v>0</v>
      </c>
      <c r="P122" s="92">
        <f>SUM(P108:P121)</f>
        <v>810600</v>
      </c>
      <c r="Q122" s="92">
        <f>SUM(Q108:Q121)</f>
        <v>579600</v>
      </c>
      <c r="R122" s="92">
        <f>SUM(R108:R121)</f>
        <v>1390200</v>
      </c>
      <c r="S122" s="92">
        <f t="shared" ref="S122:T122" si="109">SUM(S108:S121)</f>
        <v>1411528</v>
      </c>
      <c r="T122" s="92">
        <f t="shared" si="109"/>
        <v>995670</v>
      </c>
      <c r="U122" s="92">
        <f>SUM(U108:U121)</f>
        <v>2407198</v>
      </c>
      <c r="V122" s="212">
        <f>AVERAGE(V108:V121)</f>
        <v>9.3150684931506841E-2</v>
      </c>
      <c r="W122" s="204"/>
    </row>
    <row r="123" spans="2:23">
      <c r="B123" s="144" t="s">
        <v>252</v>
      </c>
      <c r="C123" s="145"/>
      <c r="D123" s="145"/>
      <c r="E123" s="145"/>
      <c r="F123" s="145"/>
      <c r="G123" s="145"/>
      <c r="H123" s="145"/>
      <c r="I123" s="145"/>
      <c r="J123" s="145"/>
      <c r="K123" s="145"/>
      <c r="L123" s="93"/>
      <c r="M123" s="93"/>
      <c r="N123" s="94"/>
      <c r="O123" s="94"/>
      <c r="P123" s="95"/>
      <c r="Q123" s="96"/>
      <c r="R123" s="97"/>
      <c r="S123" s="97"/>
      <c r="T123" s="97"/>
      <c r="U123" s="97"/>
      <c r="V123" s="210"/>
    </row>
    <row r="124" spans="2:23">
      <c r="B124" s="44" t="s">
        <v>253</v>
      </c>
      <c r="C124" s="146" t="s">
        <v>254</v>
      </c>
      <c r="D124" s="160">
        <v>43852</v>
      </c>
      <c r="E124" s="182">
        <f t="shared" ref="E124:E137" si="110">$Y$2</f>
        <v>44335</v>
      </c>
      <c r="F124" s="24" t="s">
        <v>51</v>
      </c>
      <c r="G124" s="41">
        <v>8.1837015999999991</v>
      </c>
      <c r="H124" s="24">
        <v>-11.339378</v>
      </c>
      <c r="I124" s="152">
        <v>665</v>
      </c>
      <c r="J124" s="152">
        <v>300</v>
      </c>
      <c r="K124" s="30" t="s">
        <v>40</v>
      </c>
      <c r="L124" s="152">
        <f t="shared" ref="L124:L137" si="111">$Y$4-$E124-M124+1</f>
        <v>122</v>
      </c>
      <c r="M124" s="183">
        <v>105</v>
      </c>
      <c r="N124" s="152">
        <f>$Y$3-$Y$4-O124</f>
        <v>138</v>
      </c>
      <c r="O124" s="183">
        <v>0</v>
      </c>
      <c r="P124" s="82">
        <f t="shared" ref="P124:P137" si="112">L124*J124</f>
        <v>36600</v>
      </c>
      <c r="Q124" s="82">
        <f t="shared" ref="Q124:Q137" si="113">N124*J124</f>
        <v>41400</v>
      </c>
      <c r="R124" s="82">
        <f>SUM(P124:Q124)</f>
        <v>78000</v>
      </c>
      <c r="S124" s="79">
        <f t="shared" ref="S124:S137" si="114">L124*I124</f>
        <v>81130</v>
      </c>
      <c r="T124" s="79">
        <f t="shared" ref="T124:T137" si="115">N124*I124</f>
        <v>91770</v>
      </c>
      <c r="U124" s="79">
        <f t="shared" ref="U124:U135" si="116">SUM(S124:T124)</f>
        <v>172900</v>
      </c>
      <c r="V124" s="211">
        <f>(M124+O124)/SUM(L124:O124)</f>
        <v>0.28767123287671231</v>
      </c>
    </row>
    <row r="125" spans="2:23">
      <c r="B125" s="44" t="s">
        <v>255</v>
      </c>
      <c r="C125" s="146" t="s">
        <v>256</v>
      </c>
      <c r="D125" s="160">
        <v>43852</v>
      </c>
      <c r="E125" s="182">
        <f t="shared" si="110"/>
        <v>44335</v>
      </c>
      <c r="F125" s="24" t="s">
        <v>51</v>
      </c>
      <c r="G125" s="42">
        <v>7.9676947</v>
      </c>
      <c r="H125" s="24">
        <v>-11.32339</v>
      </c>
      <c r="I125" s="152">
        <v>549</v>
      </c>
      <c r="J125" s="152">
        <v>300</v>
      </c>
      <c r="K125" s="30" t="s">
        <v>40</v>
      </c>
      <c r="L125" s="152">
        <f t="shared" si="111"/>
        <v>120</v>
      </c>
      <c r="M125" s="183">
        <v>107</v>
      </c>
      <c r="N125" s="152">
        <f t="shared" ref="N125:N137" si="117">$Y$3-$Y$4-O125</f>
        <v>138</v>
      </c>
      <c r="O125" s="183">
        <v>0</v>
      </c>
      <c r="P125" s="82">
        <f t="shared" si="112"/>
        <v>36000</v>
      </c>
      <c r="Q125" s="82">
        <f t="shared" si="113"/>
        <v>41400</v>
      </c>
      <c r="R125" s="82">
        <f t="shared" ref="R125:R137" si="118">SUM(P125:Q125)</f>
        <v>77400</v>
      </c>
      <c r="S125" s="79">
        <f t="shared" si="114"/>
        <v>65880</v>
      </c>
      <c r="T125" s="79">
        <f t="shared" si="115"/>
        <v>75762</v>
      </c>
      <c r="U125" s="79">
        <f t="shared" si="116"/>
        <v>141642</v>
      </c>
      <c r="V125" s="211">
        <f t="shared" ref="V125:V137" si="119">(M125+O125)/SUM(L125:O125)</f>
        <v>0.29315068493150687</v>
      </c>
    </row>
    <row r="126" spans="2:23">
      <c r="B126" s="44" t="s">
        <v>257</v>
      </c>
      <c r="C126" s="146" t="s">
        <v>258</v>
      </c>
      <c r="D126" s="160">
        <v>43853</v>
      </c>
      <c r="E126" s="182">
        <f t="shared" si="110"/>
        <v>44335</v>
      </c>
      <c r="F126" s="24" t="s">
        <v>51</v>
      </c>
      <c r="G126" s="42">
        <v>8.1138829999999995</v>
      </c>
      <c r="H126" s="24">
        <v>-11.314574</v>
      </c>
      <c r="I126" s="24">
        <v>529</v>
      </c>
      <c r="J126" s="24">
        <v>300</v>
      </c>
      <c r="K126" s="30" t="s">
        <v>40</v>
      </c>
      <c r="L126" s="152">
        <f t="shared" si="111"/>
        <v>227</v>
      </c>
      <c r="M126" s="183">
        <v>0</v>
      </c>
      <c r="N126" s="152">
        <f t="shared" si="117"/>
        <v>138</v>
      </c>
      <c r="O126" s="183">
        <v>0</v>
      </c>
      <c r="P126" s="82">
        <f t="shared" si="112"/>
        <v>68100</v>
      </c>
      <c r="Q126" s="82">
        <f t="shared" si="113"/>
        <v>41400</v>
      </c>
      <c r="R126" s="82">
        <f t="shared" si="118"/>
        <v>109500</v>
      </c>
      <c r="S126" s="79">
        <f t="shared" si="114"/>
        <v>120083</v>
      </c>
      <c r="T126" s="79">
        <f t="shared" si="115"/>
        <v>73002</v>
      </c>
      <c r="U126" s="79">
        <f t="shared" si="116"/>
        <v>193085</v>
      </c>
      <c r="V126" s="211">
        <f t="shared" si="119"/>
        <v>0</v>
      </c>
    </row>
    <row r="127" spans="2:23">
      <c r="B127" s="44" t="s">
        <v>259</v>
      </c>
      <c r="C127" s="146" t="s">
        <v>81</v>
      </c>
      <c r="D127" s="160">
        <v>43854</v>
      </c>
      <c r="E127" s="182">
        <f t="shared" si="110"/>
        <v>44335</v>
      </c>
      <c r="F127" s="24" t="s">
        <v>51</v>
      </c>
      <c r="G127" s="42">
        <v>7.9897590000000003</v>
      </c>
      <c r="H127" s="24">
        <v>-11.271478</v>
      </c>
      <c r="I127" s="24">
        <v>676</v>
      </c>
      <c r="J127" s="24">
        <v>300</v>
      </c>
      <c r="K127" s="30" t="s">
        <v>40</v>
      </c>
      <c r="L127" s="152">
        <f t="shared" si="111"/>
        <v>227</v>
      </c>
      <c r="M127" s="183">
        <v>0</v>
      </c>
      <c r="N127" s="152">
        <f t="shared" si="117"/>
        <v>138</v>
      </c>
      <c r="O127" s="183">
        <v>0</v>
      </c>
      <c r="P127" s="82">
        <f t="shared" si="112"/>
        <v>68100</v>
      </c>
      <c r="Q127" s="82">
        <f t="shared" si="113"/>
        <v>41400</v>
      </c>
      <c r="R127" s="82">
        <f t="shared" si="118"/>
        <v>109500</v>
      </c>
      <c r="S127" s="79">
        <f t="shared" si="114"/>
        <v>153452</v>
      </c>
      <c r="T127" s="79">
        <f t="shared" si="115"/>
        <v>93288</v>
      </c>
      <c r="U127" s="79">
        <f t="shared" si="116"/>
        <v>246740</v>
      </c>
      <c r="V127" s="211">
        <f t="shared" si="119"/>
        <v>0</v>
      </c>
    </row>
    <row r="128" spans="2:23">
      <c r="B128" s="44" t="s">
        <v>260</v>
      </c>
      <c r="C128" s="146" t="s">
        <v>261</v>
      </c>
      <c r="D128" s="160">
        <v>43854</v>
      </c>
      <c r="E128" s="182">
        <f t="shared" si="110"/>
        <v>44335</v>
      </c>
      <c r="F128" s="24" t="s">
        <v>51</v>
      </c>
      <c r="G128" s="41">
        <v>8.1664782999999996</v>
      </c>
      <c r="H128" s="24">
        <v>-11.334909</v>
      </c>
      <c r="I128" s="24">
        <v>856</v>
      </c>
      <c r="J128" s="24">
        <v>300</v>
      </c>
      <c r="K128" s="30" t="s">
        <v>40</v>
      </c>
      <c r="L128" s="152">
        <f t="shared" si="111"/>
        <v>122</v>
      </c>
      <c r="M128" s="183">
        <v>105</v>
      </c>
      <c r="N128" s="152">
        <f t="shared" si="117"/>
        <v>138</v>
      </c>
      <c r="O128" s="183">
        <v>0</v>
      </c>
      <c r="P128" s="82">
        <f t="shared" si="112"/>
        <v>36600</v>
      </c>
      <c r="Q128" s="82">
        <f t="shared" si="113"/>
        <v>41400</v>
      </c>
      <c r="R128" s="82">
        <f t="shared" si="118"/>
        <v>78000</v>
      </c>
      <c r="S128" s="79">
        <f t="shared" si="114"/>
        <v>104432</v>
      </c>
      <c r="T128" s="79">
        <f t="shared" si="115"/>
        <v>118128</v>
      </c>
      <c r="U128" s="79">
        <f t="shared" si="116"/>
        <v>222560</v>
      </c>
      <c r="V128" s="211">
        <f t="shared" si="119"/>
        <v>0.28767123287671231</v>
      </c>
    </row>
    <row r="129" spans="2:23">
      <c r="B129" s="44" t="s">
        <v>262</v>
      </c>
      <c r="C129" s="146" t="s">
        <v>263</v>
      </c>
      <c r="D129" s="160">
        <v>43857</v>
      </c>
      <c r="E129" s="182">
        <f t="shared" si="110"/>
        <v>44335</v>
      </c>
      <c r="F129" s="24" t="s">
        <v>51</v>
      </c>
      <c r="G129" s="41">
        <v>7.85025</v>
      </c>
      <c r="H129" s="24">
        <v>-11.258756</v>
      </c>
      <c r="I129" s="24">
        <v>662</v>
      </c>
      <c r="J129" s="24">
        <v>300</v>
      </c>
      <c r="K129" s="24" t="s">
        <v>40</v>
      </c>
      <c r="L129" s="152">
        <f t="shared" si="111"/>
        <v>227</v>
      </c>
      <c r="M129" s="183">
        <v>0</v>
      </c>
      <c r="N129" s="152">
        <f t="shared" si="117"/>
        <v>138</v>
      </c>
      <c r="O129" s="183">
        <v>0</v>
      </c>
      <c r="P129" s="82">
        <f t="shared" si="112"/>
        <v>68100</v>
      </c>
      <c r="Q129" s="82">
        <f t="shared" si="113"/>
        <v>41400</v>
      </c>
      <c r="R129" s="82">
        <f t="shared" si="118"/>
        <v>109500</v>
      </c>
      <c r="S129" s="79">
        <f t="shared" si="114"/>
        <v>150274</v>
      </c>
      <c r="T129" s="79">
        <f t="shared" si="115"/>
        <v>91356</v>
      </c>
      <c r="U129" s="79">
        <f t="shared" si="116"/>
        <v>241630</v>
      </c>
      <c r="V129" s="211">
        <f t="shared" si="119"/>
        <v>0</v>
      </c>
    </row>
    <row r="130" spans="2:23">
      <c r="B130" s="154" t="s">
        <v>264</v>
      </c>
      <c r="C130" s="154" t="s">
        <v>265</v>
      </c>
      <c r="D130" s="148">
        <v>44026</v>
      </c>
      <c r="E130" s="182">
        <f t="shared" si="110"/>
        <v>44335</v>
      </c>
      <c r="F130" s="149" t="s">
        <v>39</v>
      </c>
      <c r="G130" s="149">
        <v>8.5866319999999998</v>
      </c>
      <c r="H130" s="149">
        <v>-10.664225</v>
      </c>
      <c r="I130" s="149">
        <v>487</v>
      </c>
      <c r="J130" s="152">
        <f t="shared" ref="J130:J137" si="120">IF(I130&gt;300, 300, I130)</f>
        <v>300</v>
      </c>
      <c r="K130" s="24" t="s">
        <v>40</v>
      </c>
      <c r="L130" s="152">
        <f t="shared" si="111"/>
        <v>227</v>
      </c>
      <c r="M130" s="183">
        <v>0</v>
      </c>
      <c r="N130" s="152">
        <f t="shared" si="117"/>
        <v>138</v>
      </c>
      <c r="O130" s="183">
        <v>0</v>
      </c>
      <c r="P130" s="80">
        <f t="shared" si="112"/>
        <v>68100</v>
      </c>
      <c r="Q130" s="80">
        <f t="shared" si="113"/>
        <v>41400</v>
      </c>
      <c r="R130" s="82">
        <f t="shared" si="118"/>
        <v>109500</v>
      </c>
      <c r="S130" s="79">
        <f t="shared" si="114"/>
        <v>110549</v>
      </c>
      <c r="T130" s="79">
        <f t="shared" si="115"/>
        <v>67206</v>
      </c>
      <c r="U130" s="79">
        <f t="shared" si="116"/>
        <v>177755</v>
      </c>
      <c r="V130" s="211">
        <f t="shared" si="119"/>
        <v>0</v>
      </c>
    </row>
    <row r="131" spans="2:23">
      <c r="B131" s="154" t="s">
        <v>266</v>
      </c>
      <c r="C131" s="154" t="s">
        <v>267</v>
      </c>
      <c r="D131" s="148">
        <v>44029</v>
      </c>
      <c r="E131" s="182">
        <f t="shared" si="110"/>
        <v>44335</v>
      </c>
      <c r="F131" s="149" t="s">
        <v>39</v>
      </c>
      <c r="G131" s="149">
        <v>8.5865030000000004</v>
      </c>
      <c r="H131" s="149">
        <v>-10.65076</v>
      </c>
      <c r="I131" s="149">
        <v>602</v>
      </c>
      <c r="J131" s="152">
        <f t="shared" si="120"/>
        <v>300</v>
      </c>
      <c r="K131" s="24" t="s">
        <v>40</v>
      </c>
      <c r="L131" s="152">
        <f t="shared" si="111"/>
        <v>227</v>
      </c>
      <c r="M131" s="183">
        <v>0</v>
      </c>
      <c r="N131" s="152">
        <f t="shared" si="117"/>
        <v>138</v>
      </c>
      <c r="O131" s="183">
        <v>0</v>
      </c>
      <c r="P131" s="80">
        <f t="shared" si="112"/>
        <v>68100</v>
      </c>
      <c r="Q131" s="80">
        <f t="shared" si="113"/>
        <v>41400</v>
      </c>
      <c r="R131" s="82">
        <f t="shared" si="118"/>
        <v>109500</v>
      </c>
      <c r="S131" s="79">
        <f t="shared" si="114"/>
        <v>136654</v>
      </c>
      <c r="T131" s="79">
        <f t="shared" si="115"/>
        <v>83076</v>
      </c>
      <c r="U131" s="79">
        <f t="shared" si="116"/>
        <v>219730</v>
      </c>
      <c r="V131" s="211">
        <f t="shared" si="119"/>
        <v>0</v>
      </c>
    </row>
    <row r="132" spans="2:23">
      <c r="B132" s="154" t="s">
        <v>268</v>
      </c>
      <c r="C132" s="154" t="s">
        <v>269</v>
      </c>
      <c r="D132" s="148">
        <v>44028</v>
      </c>
      <c r="E132" s="182">
        <f t="shared" si="110"/>
        <v>44335</v>
      </c>
      <c r="F132" s="149" t="s">
        <v>39</v>
      </c>
      <c r="G132" s="149">
        <v>8.5951730000000008</v>
      </c>
      <c r="H132" s="149">
        <v>-10.628119999999999</v>
      </c>
      <c r="I132" s="149">
        <v>532</v>
      </c>
      <c r="J132" s="152">
        <f t="shared" si="120"/>
        <v>300</v>
      </c>
      <c r="K132" s="24" t="s">
        <v>40</v>
      </c>
      <c r="L132" s="152">
        <f t="shared" si="111"/>
        <v>227</v>
      </c>
      <c r="M132" s="183">
        <v>0</v>
      </c>
      <c r="N132" s="152">
        <f t="shared" si="117"/>
        <v>138</v>
      </c>
      <c r="O132" s="183">
        <v>0</v>
      </c>
      <c r="P132" s="80">
        <f t="shared" si="112"/>
        <v>68100</v>
      </c>
      <c r="Q132" s="80">
        <f t="shared" si="113"/>
        <v>41400</v>
      </c>
      <c r="R132" s="82">
        <f t="shared" si="118"/>
        <v>109500</v>
      </c>
      <c r="S132" s="79">
        <f t="shared" si="114"/>
        <v>120764</v>
      </c>
      <c r="T132" s="79">
        <f t="shared" si="115"/>
        <v>73416</v>
      </c>
      <c r="U132" s="79">
        <f t="shared" si="116"/>
        <v>194180</v>
      </c>
      <c r="V132" s="211">
        <f t="shared" si="119"/>
        <v>0</v>
      </c>
    </row>
    <row r="133" spans="2:23">
      <c r="B133" s="154" t="s">
        <v>270</v>
      </c>
      <c r="C133" s="154" t="s">
        <v>200</v>
      </c>
      <c r="D133" s="148">
        <v>44029</v>
      </c>
      <c r="E133" s="182">
        <f t="shared" si="110"/>
        <v>44335</v>
      </c>
      <c r="F133" s="149" t="s">
        <v>39</v>
      </c>
      <c r="G133" s="149">
        <v>8.614077</v>
      </c>
      <c r="H133" s="149">
        <v>-11.054088</v>
      </c>
      <c r="I133" s="149">
        <v>505</v>
      </c>
      <c r="J133" s="152">
        <f t="shared" si="120"/>
        <v>300</v>
      </c>
      <c r="K133" s="24" t="s">
        <v>40</v>
      </c>
      <c r="L133" s="152">
        <f t="shared" si="111"/>
        <v>227</v>
      </c>
      <c r="M133" s="183">
        <v>0</v>
      </c>
      <c r="N133" s="152">
        <f t="shared" si="117"/>
        <v>138</v>
      </c>
      <c r="O133" s="183">
        <v>0</v>
      </c>
      <c r="P133" s="80">
        <f t="shared" si="112"/>
        <v>68100</v>
      </c>
      <c r="Q133" s="80">
        <f t="shared" si="113"/>
        <v>41400</v>
      </c>
      <c r="R133" s="82">
        <f t="shared" si="118"/>
        <v>109500</v>
      </c>
      <c r="S133" s="79">
        <f t="shared" si="114"/>
        <v>114635</v>
      </c>
      <c r="T133" s="79">
        <f t="shared" si="115"/>
        <v>69690</v>
      </c>
      <c r="U133" s="79">
        <f t="shared" si="116"/>
        <v>184325</v>
      </c>
      <c r="V133" s="211">
        <f t="shared" si="119"/>
        <v>0</v>
      </c>
    </row>
    <row r="134" spans="2:23">
      <c r="B134" s="154" t="s">
        <v>271</v>
      </c>
      <c r="C134" s="154" t="s">
        <v>272</v>
      </c>
      <c r="D134" s="148">
        <v>44025</v>
      </c>
      <c r="E134" s="182">
        <f t="shared" si="110"/>
        <v>44335</v>
      </c>
      <c r="F134" s="149" t="s">
        <v>39</v>
      </c>
      <c r="G134" s="149">
        <v>8.5770820000000008</v>
      </c>
      <c r="H134" s="149">
        <v>-10.577852</v>
      </c>
      <c r="I134" s="149">
        <v>474</v>
      </c>
      <c r="J134" s="152">
        <f t="shared" si="120"/>
        <v>300</v>
      </c>
      <c r="K134" s="24" t="s">
        <v>40</v>
      </c>
      <c r="L134" s="152">
        <f t="shared" si="111"/>
        <v>226</v>
      </c>
      <c r="M134" s="183">
        <v>1</v>
      </c>
      <c r="N134" s="152">
        <f t="shared" si="117"/>
        <v>138</v>
      </c>
      <c r="O134" s="183">
        <v>0</v>
      </c>
      <c r="P134" s="80">
        <f t="shared" si="112"/>
        <v>67800</v>
      </c>
      <c r="Q134" s="80">
        <f t="shared" si="113"/>
        <v>41400</v>
      </c>
      <c r="R134" s="82">
        <f t="shared" si="118"/>
        <v>109200</v>
      </c>
      <c r="S134" s="79">
        <f t="shared" si="114"/>
        <v>107124</v>
      </c>
      <c r="T134" s="79">
        <f t="shared" si="115"/>
        <v>65412</v>
      </c>
      <c r="U134" s="79">
        <f t="shared" si="116"/>
        <v>172536</v>
      </c>
      <c r="V134" s="211">
        <f t="shared" si="119"/>
        <v>2.7397260273972603E-3</v>
      </c>
    </row>
    <row r="135" spans="2:23">
      <c r="B135" s="154" t="s">
        <v>273</v>
      </c>
      <c r="C135" s="154" t="s">
        <v>274</v>
      </c>
      <c r="D135" s="148">
        <v>44023</v>
      </c>
      <c r="E135" s="182">
        <f t="shared" si="110"/>
        <v>44335</v>
      </c>
      <c r="F135" s="149" t="s">
        <v>73</v>
      </c>
      <c r="G135" s="149">
        <v>8.6786180000000002</v>
      </c>
      <c r="H135" s="149">
        <v>-10.959647</v>
      </c>
      <c r="I135" s="149">
        <v>502</v>
      </c>
      <c r="J135" s="152">
        <f t="shared" si="120"/>
        <v>300</v>
      </c>
      <c r="K135" s="24" t="s">
        <v>40</v>
      </c>
      <c r="L135" s="152">
        <f t="shared" si="111"/>
        <v>227</v>
      </c>
      <c r="M135" s="183">
        <v>0</v>
      </c>
      <c r="N135" s="152">
        <f t="shared" si="117"/>
        <v>138</v>
      </c>
      <c r="O135" s="183">
        <v>0</v>
      </c>
      <c r="P135" s="80">
        <f t="shared" si="112"/>
        <v>68100</v>
      </c>
      <c r="Q135" s="80">
        <f t="shared" si="113"/>
        <v>41400</v>
      </c>
      <c r="R135" s="80">
        <f t="shared" si="118"/>
        <v>109500</v>
      </c>
      <c r="S135" s="79">
        <f t="shared" si="114"/>
        <v>113954</v>
      </c>
      <c r="T135" s="79">
        <f t="shared" si="115"/>
        <v>69276</v>
      </c>
      <c r="U135" s="79">
        <f t="shared" si="116"/>
        <v>183230</v>
      </c>
      <c r="V135" s="211">
        <f t="shared" si="119"/>
        <v>0</v>
      </c>
    </row>
    <row r="136" spans="2:23">
      <c r="B136" s="154" t="s">
        <v>275</v>
      </c>
      <c r="C136" s="154" t="s">
        <v>276</v>
      </c>
      <c r="D136" s="148">
        <v>44030</v>
      </c>
      <c r="E136" s="182">
        <f t="shared" si="110"/>
        <v>44335</v>
      </c>
      <c r="F136" s="149" t="s">
        <v>73</v>
      </c>
      <c r="G136" s="149">
        <v>8.7281230000000001</v>
      </c>
      <c r="H136" s="149">
        <v>-11.096781999999999</v>
      </c>
      <c r="I136" s="149">
        <v>526</v>
      </c>
      <c r="J136" s="152">
        <f t="shared" si="120"/>
        <v>300</v>
      </c>
      <c r="K136" s="24" t="s">
        <v>40</v>
      </c>
      <c r="L136" s="152">
        <f t="shared" si="111"/>
        <v>227</v>
      </c>
      <c r="M136" s="183">
        <v>0</v>
      </c>
      <c r="N136" s="152">
        <f t="shared" si="117"/>
        <v>138</v>
      </c>
      <c r="O136" s="183">
        <v>0</v>
      </c>
      <c r="P136" s="80">
        <f t="shared" si="112"/>
        <v>68100</v>
      </c>
      <c r="Q136" s="80">
        <f t="shared" si="113"/>
        <v>41400</v>
      </c>
      <c r="R136" s="80">
        <f t="shared" si="118"/>
        <v>109500</v>
      </c>
      <c r="S136" s="79">
        <f t="shared" si="114"/>
        <v>119402</v>
      </c>
      <c r="T136" s="79">
        <f t="shared" si="115"/>
        <v>72588</v>
      </c>
      <c r="U136" s="79">
        <f t="shared" ref="U136:U137" si="121">SUM(S136:T136)</f>
        <v>191990</v>
      </c>
      <c r="V136" s="211">
        <f t="shared" si="119"/>
        <v>0</v>
      </c>
    </row>
    <row r="137" spans="2:23">
      <c r="B137" s="154" t="s">
        <v>277</v>
      </c>
      <c r="C137" s="154" t="s">
        <v>278</v>
      </c>
      <c r="D137" s="148">
        <v>44023</v>
      </c>
      <c r="E137" s="182">
        <f t="shared" si="110"/>
        <v>44335</v>
      </c>
      <c r="F137" s="149" t="s">
        <v>73</v>
      </c>
      <c r="G137" s="149">
        <v>8.7712149999999998</v>
      </c>
      <c r="H137" s="149">
        <v>-10.935428</v>
      </c>
      <c r="I137" s="149">
        <v>474</v>
      </c>
      <c r="J137" s="152">
        <f t="shared" si="120"/>
        <v>300</v>
      </c>
      <c r="K137" s="24" t="s">
        <v>40</v>
      </c>
      <c r="L137" s="152">
        <f t="shared" si="111"/>
        <v>225</v>
      </c>
      <c r="M137" s="183">
        <v>2</v>
      </c>
      <c r="N137" s="152">
        <f t="shared" si="117"/>
        <v>138</v>
      </c>
      <c r="O137" s="183">
        <v>0</v>
      </c>
      <c r="P137" s="80">
        <f t="shared" si="112"/>
        <v>67500</v>
      </c>
      <c r="Q137" s="80">
        <f t="shared" si="113"/>
        <v>41400</v>
      </c>
      <c r="R137" s="80">
        <f t="shared" si="118"/>
        <v>108900</v>
      </c>
      <c r="S137" s="79">
        <f t="shared" si="114"/>
        <v>106650</v>
      </c>
      <c r="T137" s="79">
        <f t="shared" si="115"/>
        <v>65412</v>
      </c>
      <c r="U137" s="79">
        <f t="shared" si="121"/>
        <v>172062</v>
      </c>
      <c r="V137" s="211">
        <f t="shared" si="119"/>
        <v>5.4794520547945206E-3</v>
      </c>
    </row>
    <row r="138" spans="2:23">
      <c r="B138" s="156">
        <f>COUNTA(B124:B137)</f>
        <v>14</v>
      </c>
      <c r="C138" s="98"/>
      <c r="D138" s="157"/>
      <c r="E138" s="157"/>
      <c r="F138" s="98"/>
      <c r="G138" s="98"/>
      <c r="H138" s="98"/>
      <c r="I138" s="99">
        <f>SUM(I124:I137)</f>
        <v>8039</v>
      </c>
      <c r="J138" s="99">
        <f>SUM(J124:J137)</f>
        <v>4200</v>
      </c>
      <c r="K138" s="98"/>
      <c r="L138" s="99">
        <f>SUM(L124:L137)</f>
        <v>2858</v>
      </c>
      <c r="M138" s="91">
        <f>SUM(M125:M137)</f>
        <v>215</v>
      </c>
      <c r="N138" s="99">
        <f>SUM(N124:N137)</f>
        <v>1932</v>
      </c>
      <c r="O138" s="91">
        <f>SUM(O125:O137)</f>
        <v>0</v>
      </c>
      <c r="P138" s="100">
        <f>SUM(P124:P137)</f>
        <v>857400</v>
      </c>
      <c r="Q138" s="100">
        <f>SUM(Q124:Q137)</f>
        <v>579600</v>
      </c>
      <c r="R138" s="100">
        <f>SUM(R124:R137)</f>
        <v>1437000</v>
      </c>
      <c r="S138" s="100">
        <f t="shared" ref="S138:T138" si="122">SUM(S124:S137)</f>
        <v>1604983</v>
      </c>
      <c r="T138" s="100">
        <f t="shared" si="122"/>
        <v>1109382</v>
      </c>
      <c r="U138" s="100">
        <f>SUM(U124:U137)</f>
        <v>2714365</v>
      </c>
      <c r="V138" s="212">
        <f>AVERAGE(V124:V137)</f>
        <v>6.2622309197651674E-2</v>
      </c>
      <c r="W138" s="204"/>
    </row>
    <row r="139" spans="2:23">
      <c r="B139" s="144" t="s">
        <v>279</v>
      </c>
      <c r="C139" s="145"/>
      <c r="D139" s="145"/>
      <c r="E139" s="145"/>
      <c r="F139" s="145"/>
      <c r="G139" s="145"/>
      <c r="H139" s="145"/>
      <c r="I139" s="145"/>
      <c r="J139" s="145"/>
      <c r="K139" s="145"/>
      <c r="L139" s="93"/>
      <c r="M139" s="93"/>
      <c r="N139" s="94"/>
      <c r="O139" s="94"/>
      <c r="P139" s="95"/>
      <c r="Q139" s="96"/>
      <c r="R139" s="97"/>
      <c r="S139" s="97"/>
      <c r="T139" s="97"/>
      <c r="U139" s="97"/>
      <c r="V139" s="210"/>
    </row>
    <row r="140" spans="2:23">
      <c r="B140" s="32" t="s">
        <v>280</v>
      </c>
      <c r="C140" s="163" t="s">
        <v>281</v>
      </c>
      <c r="D140" s="160">
        <v>43858</v>
      </c>
      <c r="E140" s="182">
        <f t="shared" ref="E140:E153" si="123">$Y$2</f>
        <v>44335</v>
      </c>
      <c r="F140" s="152" t="s">
        <v>51</v>
      </c>
      <c r="G140" s="77">
        <v>8.1029149999999994</v>
      </c>
      <c r="H140" s="24">
        <v>-11.332933000000001</v>
      </c>
      <c r="I140" s="152">
        <v>528</v>
      </c>
      <c r="J140" s="152">
        <v>300</v>
      </c>
      <c r="K140" s="78" t="s">
        <v>40</v>
      </c>
      <c r="L140" s="152">
        <f t="shared" ref="L140:L153" si="124">$Y$4-$E140-M140+1</f>
        <v>122</v>
      </c>
      <c r="M140" s="183">
        <v>105</v>
      </c>
      <c r="N140" s="152">
        <f>$Y$3-$Y$4-O140</f>
        <v>138</v>
      </c>
      <c r="O140" s="183">
        <v>0</v>
      </c>
      <c r="P140" s="83">
        <f t="shared" ref="P140:P153" si="125">L140*J140</f>
        <v>36600</v>
      </c>
      <c r="Q140" s="83">
        <f t="shared" ref="Q140:Q153" si="126">N140*J140</f>
        <v>41400</v>
      </c>
      <c r="R140" s="83">
        <f>SUM(P140:Q140)</f>
        <v>78000</v>
      </c>
      <c r="S140" s="79">
        <f t="shared" ref="S140:S153" si="127">L140*I140</f>
        <v>64416</v>
      </c>
      <c r="T140" s="79">
        <f t="shared" ref="T140:T153" si="128">N140*I140</f>
        <v>72864</v>
      </c>
      <c r="U140" s="79">
        <f t="shared" ref="U140:U151" si="129">SUM(S140:T140)</f>
        <v>137280</v>
      </c>
      <c r="V140" s="211">
        <f>(M140+O140)/SUM(L140:O140)</f>
        <v>0.28767123287671231</v>
      </c>
    </row>
    <row r="141" spans="2:23">
      <c r="B141" s="44" t="s">
        <v>282</v>
      </c>
      <c r="C141" s="146" t="s">
        <v>283</v>
      </c>
      <c r="D141" s="160">
        <v>43859</v>
      </c>
      <c r="E141" s="182">
        <f t="shared" si="123"/>
        <v>44335</v>
      </c>
      <c r="F141" s="24" t="s">
        <v>51</v>
      </c>
      <c r="G141" s="34">
        <v>8.1924709999999994</v>
      </c>
      <c r="H141" s="24">
        <v>-11.338331</v>
      </c>
      <c r="I141" s="152">
        <v>569</v>
      </c>
      <c r="J141" s="152">
        <v>300</v>
      </c>
      <c r="K141" s="30" t="s">
        <v>40</v>
      </c>
      <c r="L141" s="152">
        <f t="shared" si="124"/>
        <v>227</v>
      </c>
      <c r="M141" s="183">
        <v>0</v>
      </c>
      <c r="N141" s="152">
        <f t="shared" ref="N141:N153" si="130">$Y$3-$Y$4-O141</f>
        <v>138</v>
      </c>
      <c r="O141" s="207">
        <v>0</v>
      </c>
      <c r="P141" s="83">
        <f t="shared" si="125"/>
        <v>68100</v>
      </c>
      <c r="Q141" s="83">
        <f t="shared" si="126"/>
        <v>41400</v>
      </c>
      <c r="R141" s="82">
        <f t="shared" ref="R141:R153" si="131">SUM(P141:Q141)</f>
        <v>109500</v>
      </c>
      <c r="S141" s="79">
        <f t="shared" si="127"/>
        <v>129163</v>
      </c>
      <c r="T141" s="79">
        <f t="shared" si="128"/>
        <v>78522</v>
      </c>
      <c r="U141" s="79">
        <f t="shared" si="129"/>
        <v>207685</v>
      </c>
      <c r="V141" s="211">
        <f t="shared" ref="V141:V153" si="132">(M141+O141)/SUM(L141:O141)</f>
        <v>0</v>
      </c>
    </row>
    <row r="142" spans="2:23">
      <c r="B142" s="44" t="s">
        <v>284</v>
      </c>
      <c r="C142" s="146" t="s">
        <v>285</v>
      </c>
      <c r="D142" s="160">
        <v>43860</v>
      </c>
      <c r="E142" s="182">
        <f t="shared" si="123"/>
        <v>44335</v>
      </c>
      <c r="F142" s="24" t="s">
        <v>51</v>
      </c>
      <c r="G142" s="34">
        <v>8.1181699999999992</v>
      </c>
      <c r="H142" s="24">
        <v>-11.340287999999999</v>
      </c>
      <c r="I142" s="24">
        <v>665</v>
      </c>
      <c r="J142" s="24">
        <v>300</v>
      </c>
      <c r="K142" s="30" t="s">
        <v>40</v>
      </c>
      <c r="L142" s="152">
        <f t="shared" si="124"/>
        <v>227</v>
      </c>
      <c r="M142" s="183">
        <v>0</v>
      </c>
      <c r="N142" s="152">
        <f t="shared" si="130"/>
        <v>138</v>
      </c>
      <c r="O142" s="183">
        <v>0</v>
      </c>
      <c r="P142" s="83">
        <f t="shared" si="125"/>
        <v>68100</v>
      </c>
      <c r="Q142" s="83">
        <f t="shared" si="126"/>
        <v>41400</v>
      </c>
      <c r="R142" s="82">
        <f t="shared" si="131"/>
        <v>109500</v>
      </c>
      <c r="S142" s="79">
        <f t="shared" si="127"/>
        <v>150955</v>
      </c>
      <c r="T142" s="79">
        <f t="shared" si="128"/>
        <v>91770</v>
      </c>
      <c r="U142" s="79">
        <f t="shared" si="129"/>
        <v>242725</v>
      </c>
      <c r="V142" s="211">
        <f t="shared" si="132"/>
        <v>0</v>
      </c>
    </row>
    <row r="143" spans="2:23">
      <c r="B143" s="44" t="s">
        <v>286</v>
      </c>
      <c r="C143" s="146" t="s">
        <v>287</v>
      </c>
      <c r="D143" s="160">
        <v>43861</v>
      </c>
      <c r="E143" s="182">
        <f t="shared" si="123"/>
        <v>44335</v>
      </c>
      <c r="F143" s="24" t="s">
        <v>51</v>
      </c>
      <c r="G143" s="34">
        <v>7.9870489999999998</v>
      </c>
      <c r="H143" s="24">
        <v>-11.330595000000001</v>
      </c>
      <c r="I143" s="24">
        <v>560</v>
      </c>
      <c r="J143" s="24">
        <v>300</v>
      </c>
      <c r="K143" s="30" t="s">
        <v>40</v>
      </c>
      <c r="L143" s="152">
        <f t="shared" si="124"/>
        <v>227</v>
      </c>
      <c r="M143" s="183">
        <v>0</v>
      </c>
      <c r="N143" s="152">
        <f t="shared" si="130"/>
        <v>138</v>
      </c>
      <c r="O143" s="183">
        <v>0</v>
      </c>
      <c r="P143" s="83">
        <f t="shared" si="125"/>
        <v>68100</v>
      </c>
      <c r="Q143" s="83">
        <f t="shared" si="126"/>
        <v>41400</v>
      </c>
      <c r="R143" s="82">
        <f t="shared" si="131"/>
        <v>109500</v>
      </c>
      <c r="S143" s="79">
        <f t="shared" si="127"/>
        <v>127120</v>
      </c>
      <c r="T143" s="79">
        <f t="shared" si="128"/>
        <v>77280</v>
      </c>
      <c r="U143" s="79">
        <f t="shared" si="129"/>
        <v>204400</v>
      </c>
      <c r="V143" s="211">
        <f t="shared" si="132"/>
        <v>0</v>
      </c>
    </row>
    <row r="144" spans="2:23">
      <c r="B144" s="44" t="s">
        <v>288</v>
      </c>
      <c r="C144" s="146" t="s">
        <v>289</v>
      </c>
      <c r="D144" s="160">
        <v>43853</v>
      </c>
      <c r="E144" s="182">
        <f t="shared" si="123"/>
        <v>44335</v>
      </c>
      <c r="F144" s="24" t="s">
        <v>51</v>
      </c>
      <c r="G144" s="34">
        <v>8.1145083000000007</v>
      </c>
      <c r="H144" s="24">
        <v>-11.335915999999999</v>
      </c>
      <c r="I144" s="24">
        <v>555</v>
      </c>
      <c r="J144" s="24">
        <v>300</v>
      </c>
      <c r="K144" s="30" t="s">
        <v>40</v>
      </c>
      <c r="L144" s="152">
        <f t="shared" si="124"/>
        <v>227</v>
      </c>
      <c r="M144" s="183">
        <v>0</v>
      </c>
      <c r="N144" s="152">
        <f t="shared" si="130"/>
        <v>138</v>
      </c>
      <c r="O144" s="183">
        <v>0</v>
      </c>
      <c r="P144" s="83">
        <f t="shared" si="125"/>
        <v>68100</v>
      </c>
      <c r="Q144" s="83">
        <f t="shared" si="126"/>
        <v>41400</v>
      </c>
      <c r="R144" s="82">
        <f>SUM(P144:Q144)</f>
        <v>109500</v>
      </c>
      <c r="S144" s="79">
        <f t="shared" si="127"/>
        <v>125985</v>
      </c>
      <c r="T144" s="79">
        <f t="shared" si="128"/>
        <v>76590</v>
      </c>
      <c r="U144" s="79">
        <f t="shared" si="129"/>
        <v>202575</v>
      </c>
      <c r="V144" s="211">
        <f t="shared" si="132"/>
        <v>0</v>
      </c>
    </row>
    <row r="145" spans="2:23">
      <c r="B145" s="44" t="s">
        <v>290</v>
      </c>
      <c r="C145" s="146" t="s">
        <v>291</v>
      </c>
      <c r="D145" s="160">
        <v>43794</v>
      </c>
      <c r="E145" s="182">
        <f t="shared" si="123"/>
        <v>44335</v>
      </c>
      <c r="F145" s="24" t="s">
        <v>51</v>
      </c>
      <c r="G145" s="35">
        <v>7.9403839999999999</v>
      </c>
      <c r="H145" s="24">
        <v>-10.325519999999999</v>
      </c>
      <c r="I145" s="24">
        <v>760</v>
      </c>
      <c r="J145" s="24">
        <v>300</v>
      </c>
      <c r="K145" s="24" t="s">
        <v>40</v>
      </c>
      <c r="L145" s="152">
        <f t="shared" si="124"/>
        <v>123</v>
      </c>
      <c r="M145" s="183">
        <v>104</v>
      </c>
      <c r="N145" s="152">
        <f t="shared" si="130"/>
        <v>138</v>
      </c>
      <c r="O145" s="183">
        <v>0</v>
      </c>
      <c r="P145" s="83">
        <f t="shared" si="125"/>
        <v>36900</v>
      </c>
      <c r="Q145" s="83">
        <f t="shared" si="126"/>
        <v>41400</v>
      </c>
      <c r="R145" s="82">
        <f t="shared" si="131"/>
        <v>78300</v>
      </c>
      <c r="S145" s="79">
        <f t="shared" si="127"/>
        <v>93480</v>
      </c>
      <c r="T145" s="79">
        <f t="shared" si="128"/>
        <v>104880</v>
      </c>
      <c r="U145" s="79">
        <f t="shared" si="129"/>
        <v>198360</v>
      </c>
      <c r="V145" s="211">
        <f t="shared" si="132"/>
        <v>0.28493150684931506</v>
      </c>
    </row>
    <row r="146" spans="2:23">
      <c r="B146" s="154" t="s">
        <v>292</v>
      </c>
      <c r="C146" s="154" t="s">
        <v>293</v>
      </c>
      <c r="D146" s="148">
        <v>44024</v>
      </c>
      <c r="E146" s="182">
        <f t="shared" si="123"/>
        <v>44335</v>
      </c>
      <c r="F146" s="149" t="s">
        <v>39</v>
      </c>
      <c r="G146" s="149">
        <v>8.6237870000000001</v>
      </c>
      <c r="H146" s="149">
        <v>-11.046803000000001</v>
      </c>
      <c r="I146" s="149">
        <v>463</v>
      </c>
      <c r="J146" s="152">
        <f t="shared" ref="J146:J153" si="133">IF(I146&gt;300, 300, I146)</f>
        <v>300</v>
      </c>
      <c r="K146" s="24" t="s">
        <v>40</v>
      </c>
      <c r="L146" s="152">
        <f t="shared" si="124"/>
        <v>227</v>
      </c>
      <c r="M146" s="183">
        <v>0</v>
      </c>
      <c r="N146" s="152">
        <f t="shared" si="130"/>
        <v>138</v>
      </c>
      <c r="O146" s="183">
        <v>0</v>
      </c>
      <c r="P146" s="80">
        <f t="shared" si="125"/>
        <v>68100</v>
      </c>
      <c r="Q146" s="80">
        <f t="shared" si="126"/>
        <v>41400</v>
      </c>
      <c r="R146" s="80">
        <f t="shared" si="131"/>
        <v>109500</v>
      </c>
      <c r="S146" s="79">
        <f t="shared" si="127"/>
        <v>105101</v>
      </c>
      <c r="T146" s="79">
        <f t="shared" si="128"/>
        <v>63894</v>
      </c>
      <c r="U146" s="79">
        <f t="shared" si="129"/>
        <v>168995</v>
      </c>
      <c r="V146" s="211">
        <f t="shared" si="132"/>
        <v>0</v>
      </c>
    </row>
    <row r="147" spans="2:23">
      <c r="B147" s="154" t="s">
        <v>294</v>
      </c>
      <c r="C147" s="154" t="s">
        <v>295</v>
      </c>
      <c r="D147" s="148">
        <v>44024</v>
      </c>
      <c r="E147" s="182">
        <f t="shared" si="123"/>
        <v>44335</v>
      </c>
      <c r="F147" s="149" t="s">
        <v>73</v>
      </c>
      <c r="G147" s="149">
        <v>8.7344480000000004</v>
      </c>
      <c r="H147" s="149">
        <v>-10.943497000000001</v>
      </c>
      <c r="I147" s="149">
        <v>492</v>
      </c>
      <c r="J147" s="152">
        <f t="shared" si="133"/>
        <v>300</v>
      </c>
      <c r="K147" s="24" t="s">
        <v>40</v>
      </c>
      <c r="L147" s="152">
        <f t="shared" si="124"/>
        <v>227</v>
      </c>
      <c r="M147" s="183">
        <v>0</v>
      </c>
      <c r="N147" s="152">
        <f t="shared" si="130"/>
        <v>138</v>
      </c>
      <c r="O147" s="183">
        <v>0</v>
      </c>
      <c r="P147" s="80">
        <f t="shared" si="125"/>
        <v>68100</v>
      </c>
      <c r="Q147" s="80">
        <f t="shared" si="126"/>
        <v>41400</v>
      </c>
      <c r="R147" s="80">
        <f t="shared" si="131"/>
        <v>109500</v>
      </c>
      <c r="S147" s="79">
        <f t="shared" si="127"/>
        <v>111684</v>
      </c>
      <c r="T147" s="79">
        <f t="shared" si="128"/>
        <v>67896</v>
      </c>
      <c r="U147" s="79">
        <f t="shared" si="129"/>
        <v>179580</v>
      </c>
      <c r="V147" s="211">
        <f t="shared" si="132"/>
        <v>0</v>
      </c>
    </row>
    <row r="148" spans="2:23">
      <c r="B148" s="154" t="s">
        <v>296</v>
      </c>
      <c r="C148" s="154" t="s">
        <v>297</v>
      </c>
      <c r="D148" s="148">
        <v>44033</v>
      </c>
      <c r="E148" s="182">
        <f t="shared" si="123"/>
        <v>44335</v>
      </c>
      <c r="F148" s="149" t="s">
        <v>39</v>
      </c>
      <c r="G148" s="149">
        <v>8.0950679999999995</v>
      </c>
      <c r="H148" s="149">
        <v>-10.693065000000001</v>
      </c>
      <c r="I148" s="149">
        <v>512</v>
      </c>
      <c r="J148" s="152">
        <f t="shared" si="133"/>
        <v>300</v>
      </c>
      <c r="K148" s="24" t="s">
        <v>40</v>
      </c>
      <c r="L148" s="152">
        <f t="shared" si="124"/>
        <v>137</v>
      </c>
      <c r="M148" s="183">
        <v>90</v>
      </c>
      <c r="N148" s="152">
        <f t="shared" si="130"/>
        <v>138</v>
      </c>
      <c r="O148" s="183">
        <v>0</v>
      </c>
      <c r="P148" s="80">
        <f t="shared" si="125"/>
        <v>41100</v>
      </c>
      <c r="Q148" s="80">
        <f t="shared" si="126"/>
        <v>41400</v>
      </c>
      <c r="R148" s="80">
        <f t="shared" si="131"/>
        <v>82500</v>
      </c>
      <c r="S148" s="79">
        <f t="shared" si="127"/>
        <v>70144</v>
      </c>
      <c r="T148" s="79">
        <f t="shared" si="128"/>
        <v>70656</v>
      </c>
      <c r="U148" s="79">
        <f t="shared" si="129"/>
        <v>140800</v>
      </c>
      <c r="V148" s="211">
        <f t="shared" si="132"/>
        <v>0.24657534246575341</v>
      </c>
    </row>
    <row r="149" spans="2:23">
      <c r="B149" s="154" t="s">
        <v>298</v>
      </c>
      <c r="C149" s="154" t="s">
        <v>299</v>
      </c>
      <c r="D149" s="148">
        <v>44033</v>
      </c>
      <c r="E149" s="182">
        <f t="shared" si="123"/>
        <v>44335</v>
      </c>
      <c r="F149" s="149" t="s">
        <v>39</v>
      </c>
      <c r="G149" s="149">
        <v>8.2680710000000008</v>
      </c>
      <c r="H149" s="149">
        <v>-10.580795</v>
      </c>
      <c r="I149" s="149">
        <v>453</v>
      </c>
      <c r="J149" s="152">
        <f t="shared" si="133"/>
        <v>300</v>
      </c>
      <c r="K149" s="24" t="s">
        <v>40</v>
      </c>
      <c r="L149" s="152">
        <f t="shared" si="124"/>
        <v>227</v>
      </c>
      <c r="M149" s="183">
        <v>0</v>
      </c>
      <c r="N149" s="152">
        <f t="shared" si="130"/>
        <v>138</v>
      </c>
      <c r="O149" s="183">
        <v>0</v>
      </c>
      <c r="P149" s="80">
        <f t="shared" si="125"/>
        <v>68100</v>
      </c>
      <c r="Q149" s="80">
        <f t="shared" si="126"/>
        <v>41400</v>
      </c>
      <c r="R149" s="80">
        <f t="shared" si="131"/>
        <v>109500</v>
      </c>
      <c r="S149" s="79">
        <f t="shared" si="127"/>
        <v>102831</v>
      </c>
      <c r="T149" s="79">
        <f t="shared" si="128"/>
        <v>62514</v>
      </c>
      <c r="U149" s="79">
        <f t="shared" si="129"/>
        <v>165345</v>
      </c>
      <c r="V149" s="211">
        <f t="shared" si="132"/>
        <v>0</v>
      </c>
    </row>
    <row r="150" spans="2:23">
      <c r="B150" s="154" t="s">
        <v>300</v>
      </c>
      <c r="C150" s="154" t="s">
        <v>301</v>
      </c>
      <c r="D150" s="148">
        <v>44034</v>
      </c>
      <c r="E150" s="182">
        <f t="shared" si="123"/>
        <v>44335</v>
      </c>
      <c r="F150" s="149" t="s">
        <v>39</v>
      </c>
      <c r="G150" s="149">
        <v>8.2813160000000003</v>
      </c>
      <c r="H150" s="149">
        <v>-10.569616</v>
      </c>
      <c r="I150" s="149">
        <v>584</v>
      </c>
      <c r="J150" s="152">
        <f t="shared" si="133"/>
        <v>300</v>
      </c>
      <c r="K150" s="24" t="s">
        <v>40</v>
      </c>
      <c r="L150" s="152">
        <f t="shared" si="124"/>
        <v>227</v>
      </c>
      <c r="M150" s="183">
        <v>0</v>
      </c>
      <c r="N150" s="152">
        <f t="shared" si="130"/>
        <v>138</v>
      </c>
      <c r="O150" s="183">
        <v>0</v>
      </c>
      <c r="P150" s="80">
        <f t="shared" si="125"/>
        <v>68100</v>
      </c>
      <c r="Q150" s="80">
        <f t="shared" si="126"/>
        <v>41400</v>
      </c>
      <c r="R150" s="80">
        <f t="shared" si="131"/>
        <v>109500</v>
      </c>
      <c r="S150" s="79">
        <f t="shared" si="127"/>
        <v>132568</v>
      </c>
      <c r="T150" s="79">
        <f t="shared" si="128"/>
        <v>80592</v>
      </c>
      <c r="U150" s="79">
        <f t="shared" si="129"/>
        <v>213160</v>
      </c>
      <c r="V150" s="211">
        <f t="shared" si="132"/>
        <v>0</v>
      </c>
    </row>
    <row r="151" spans="2:23">
      <c r="B151" s="154" t="s">
        <v>302</v>
      </c>
      <c r="C151" s="154" t="s">
        <v>303</v>
      </c>
      <c r="D151" s="148">
        <v>44032</v>
      </c>
      <c r="E151" s="182">
        <f t="shared" si="123"/>
        <v>44335</v>
      </c>
      <c r="F151" s="149" t="s">
        <v>39</v>
      </c>
      <c r="G151" s="149">
        <v>8.2682880000000001</v>
      </c>
      <c r="H151" s="149">
        <v>-10.442919</v>
      </c>
      <c r="I151" s="149">
        <v>539</v>
      </c>
      <c r="J151" s="152">
        <f t="shared" si="133"/>
        <v>300</v>
      </c>
      <c r="K151" s="24" t="s">
        <v>40</v>
      </c>
      <c r="L151" s="152">
        <f t="shared" si="124"/>
        <v>137</v>
      </c>
      <c r="M151" s="183">
        <v>90</v>
      </c>
      <c r="N151" s="152">
        <f t="shared" si="130"/>
        <v>138</v>
      </c>
      <c r="O151" s="183">
        <v>0</v>
      </c>
      <c r="P151" s="80">
        <f t="shared" si="125"/>
        <v>41100</v>
      </c>
      <c r="Q151" s="80">
        <f t="shared" si="126"/>
        <v>41400</v>
      </c>
      <c r="R151" s="80">
        <f t="shared" si="131"/>
        <v>82500</v>
      </c>
      <c r="S151" s="79">
        <f t="shared" si="127"/>
        <v>73843</v>
      </c>
      <c r="T151" s="79">
        <f t="shared" si="128"/>
        <v>74382</v>
      </c>
      <c r="U151" s="79">
        <f t="shared" si="129"/>
        <v>148225</v>
      </c>
      <c r="V151" s="211">
        <f t="shared" si="132"/>
        <v>0.24657534246575341</v>
      </c>
    </row>
    <row r="152" spans="2:23">
      <c r="B152" s="154" t="s">
        <v>304</v>
      </c>
      <c r="C152" s="154" t="s">
        <v>305</v>
      </c>
      <c r="D152" s="148">
        <v>44032</v>
      </c>
      <c r="E152" s="182">
        <f t="shared" si="123"/>
        <v>44335</v>
      </c>
      <c r="F152" s="149" t="s">
        <v>73</v>
      </c>
      <c r="G152" s="149">
        <v>8.0985750000000003</v>
      </c>
      <c r="H152" s="149">
        <v>-10.698001</v>
      </c>
      <c r="I152" s="149">
        <v>537</v>
      </c>
      <c r="J152" s="152">
        <f t="shared" si="133"/>
        <v>300</v>
      </c>
      <c r="K152" s="24" t="s">
        <v>40</v>
      </c>
      <c r="L152" s="152">
        <f t="shared" si="124"/>
        <v>138</v>
      </c>
      <c r="M152" s="183">
        <v>89</v>
      </c>
      <c r="N152" s="152">
        <f t="shared" si="130"/>
        <v>138</v>
      </c>
      <c r="O152" s="183">
        <v>0</v>
      </c>
      <c r="P152" s="80">
        <f t="shared" si="125"/>
        <v>41400</v>
      </c>
      <c r="Q152" s="80">
        <f t="shared" si="126"/>
        <v>41400</v>
      </c>
      <c r="R152" s="80">
        <f t="shared" si="131"/>
        <v>82800</v>
      </c>
      <c r="S152" s="79">
        <f t="shared" si="127"/>
        <v>74106</v>
      </c>
      <c r="T152" s="79">
        <f t="shared" si="128"/>
        <v>74106</v>
      </c>
      <c r="U152" s="79">
        <f t="shared" ref="U152:U153" si="134">SUM(S152:T152)</f>
        <v>148212</v>
      </c>
      <c r="V152" s="211">
        <f t="shared" si="132"/>
        <v>0.24383561643835616</v>
      </c>
    </row>
    <row r="153" spans="2:23">
      <c r="B153" s="154" t="s">
        <v>306</v>
      </c>
      <c r="C153" s="154" t="s">
        <v>307</v>
      </c>
      <c r="D153" s="148">
        <v>44071</v>
      </c>
      <c r="E153" s="182">
        <f t="shared" si="123"/>
        <v>44335</v>
      </c>
      <c r="F153" s="149" t="s">
        <v>39</v>
      </c>
      <c r="G153" s="149">
        <v>8.1004179999999995</v>
      </c>
      <c r="H153" s="149">
        <v>-10.694077999999999</v>
      </c>
      <c r="I153" s="149">
        <v>494</v>
      </c>
      <c r="J153" s="152">
        <f t="shared" si="133"/>
        <v>300</v>
      </c>
      <c r="K153" s="24" t="s">
        <v>40</v>
      </c>
      <c r="L153" s="152">
        <f t="shared" si="124"/>
        <v>227</v>
      </c>
      <c r="M153" s="183">
        <v>0</v>
      </c>
      <c r="N153" s="152">
        <f t="shared" si="130"/>
        <v>138</v>
      </c>
      <c r="O153" s="183">
        <v>0</v>
      </c>
      <c r="P153" s="80">
        <f t="shared" si="125"/>
        <v>68100</v>
      </c>
      <c r="Q153" s="80">
        <f t="shared" si="126"/>
        <v>41400</v>
      </c>
      <c r="R153" s="80">
        <f t="shared" si="131"/>
        <v>109500</v>
      </c>
      <c r="S153" s="79">
        <f t="shared" si="127"/>
        <v>112138</v>
      </c>
      <c r="T153" s="79">
        <f t="shared" si="128"/>
        <v>68172</v>
      </c>
      <c r="U153" s="79">
        <f t="shared" si="134"/>
        <v>180310</v>
      </c>
      <c r="V153" s="211">
        <f t="shared" si="132"/>
        <v>0</v>
      </c>
    </row>
    <row r="154" spans="2:23">
      <c r="B154" s="156">
        <f>COUNTA(B140:B153)</f>
        <v>14</v>
      </c>
      <c r="C154" s="90"/>
      <c r="D154" s="90"/>
      <c r="E154" s="90"/>
      <c r="F154" s="90"/>
      <c r="G154" s="90"/>
      <c r="H154" s="90"/>
      <c r="I154" s="91">
        <f>SUM(I140:I153)</f>
        <v>7711</v>
      </c>
      <c r="J154" s="91">
        <f>SUM(J140:J153)</f>
        <v>4200</v>
      </c>
      <c r="K154" s="90"/>
      <c r="L154" s="91">
        <f>SUM(L140:L153)</f>
        <v>2700</v>
      </c>
      <c r="M154" s="91">
        <f>SUM(M141:M153)</f>
        <v>373</v>
      </c>
      <c r="N154" s="91">
        <f>SUM(N140:N153)</f>
        <v>1932</v>
      </c>
      <c r="O154" s="91">
        <f>SUM(O141:O153)</f>
        <v>0</v>
      </c>
      <c r="P154" s="164">
        <f>SUM(P140:P153)</f>
        <v>810000</v>
      </c>
      <c r="Q154" s="164">
        <f>SUM(Q140:Q153)</f>
        <v>579600</v>
      </c>
      <c r="R154" s="164">
        <f>SUM(R140:R153)</f>
        <v>1389600</v>
      </c>
      <c r="S154" s="164">
        <f t="shared" ref="S154:T154" si="135">SUM(S140:S153)</f>
        <v>1473534</v>
      </c>
      <c r="T154" s="164">
        <f t="shared" si="135"/>
        <v>1064118</v>
      </c>
      <c r="U154" s="164">
        <f>SUM(U140:U153)</f>
        <v>2537652</v>
      </c>
      <c r="V154" s="212">
        <f>AVERAGE(V140:V153)</f>
        <v>9.3542074363992173E-2</v>
      </c>
      <c r="W154" s="204"/>
    </row>
    <row r="155" spans="2:23">
      <c r="M155" s="43"/>
      <c r="P155" s="230">
        <f>SUM(P17,P32,P47,P61,P76,P91,P106,P122,P138,P154)</f>
        <v>7668300</v>
      </c>
      <c r="Q155" s="230">
        <f t="shared" ref="Q155:V155" si="136">SUM(Q17,Q32,Q47,Q61,Q76,Q91,Q106,Q122,Q138,Q154)</f>
        <v>5464800</v>
      </c>
      <c r="R155" s="230">
        <f t="shared" si="136"/>
        <v>13133100</v>
      </c>
      <c r="S155" s="230">
        <f t="shared" si="136"/>
        <v>14104857</v>
      </c>
      <c r="T155" s="230">
        <f t="shared" si="136"/>
        <v>10017972</v>
      </c>
      <c r="U155" s="230">
        <f t="shared" si="136"/>
        <v>24122829</v>
      </c>
      <c r="V155" s="213">
        <f>AVERAGE(V17,V32,V47,V61,V76,V91,V106,V122,V138,V154)</f>
        <v>9.1197752019669814E-2</v>
      </c>
      <c r="W155" s="204"/>
    </row>
  </sheetData>
  <conditionalFormatting sqref="C5:C9">
    <cfRule type="duplicateValues" dxfId="7" priority="8"/>
  </conditionalFormatting>
  <conditionalFormatting sqref="C4">
    <cfRule type="duplicateValues" dxfId="6" priority="2"/>
  </conditionalFormatting>
  <conditionalFormatting sqref="C19:C24">
    <cfRule type="duplicateValues" dxfId="5" priority="7"/>
  </conditionalFormatting>
  <conditionalFormatting sqref="C34:C35 C37:C39">
    <cfRule type="duplicateValues" dxfId="4" priority="6"/>
  </conditionalFormatting>
  <conditionalFormatting sqref="C49:C52">
    <cfRule type="duplicateValues" dxfId="3" priority="5"/>
  </conditionalFormatting>
  <conditionalFormatting sqref="C82 C78:C80">
    <cfRule type="duplicateValues" dxfId="2" priority="4"/>
  </conditionalFormatting>
  <conditionalFormatting sqref="C94 C97">
    <cfRule type="duplicateValues" dxfId="1" priority="3"/>
  </conditionalFormatting>
  <conditionalFormatting sqref="C53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E140-99E4-4275-9AC9-3BD7BB3FA7FF}">
  <dimension ref="B2:G218"/>
  <sheetViews>
    <sheetView zoomScale="60" zoomScaleNormal="60" workbookViewId="0">
      <selection activeCell="H28" sqref="H28"/>
    </sheetView>
  </sheetViews>
  <sheetFormatPr defaultRowHeight="14.5"/>
  <cols>
    <col min="2" max="2" width="25.26953125" style="28" customWidth="1"/>
    <col min="3" max="3" width="72.26953125" style="28" customWidth="1"/>
    <col min="4" max="4" width="8.81640625" style="28" customWidth="1"/>
    <col min="5" max="5" width="11" style="28" bestFit="1" customWidth="1"/>
    <col min="7" max="7" width="25.26953125" customWidth="1"/>
    <col min="8" max="8" width="30.453125" bestFit="1" customWidth="1"/>
    <col min="9" max="9" width="10.453125" customWidth="1"/>
  </cols>
  <sheetData>
    <row r="2" spans="2:7" ht="15.5">
      <c r="B2" s="45" t="s">
        <v>308</v>
      </c>
    </row>
    <row r="3" spans="2:7">
      <c r="B3" s="46" t="s">
        <v>309</v>
      </c>
      <c r="C3" s="47"/>
      <c r="D3" s="48"/>
      <c r="E3" s="60"/>
    </row>
    <row r="4" spans="2:7">
      <c r="B4" s="13" t="s">
        <v>310</v>
      </c>
      <c r="C4" s="49" t="s">
        <v>311</v>
      </c>
      <c r="D4" s="49" t="s">
        <v>312</v>
      </c>
      <c r="E4" s="14" t="s">
        <v>313</v>
      </c>
    </row>
    <row r="5" spans="2:7" ht="16">
      <c r="B5" s="106" t="s">
        <v>314</v>
      </c>
      <c r="C5" s="101" t="s">
        <v>315</v>
      </c>
      <c r="D5" s="107">
        <v>0.88</v>
      </c>
      <c r="E5" s="70" t="s">
        <v>316</v>
      </c>
    </row>
    <row r="6" spans="2:7" ht="16">
      <c r="B6" s="105" t="s">
        <v>317</v>
      </c>
      <c r="C6" s="101" t="s">
        <v>318</v>
      </c>
      <c r="D6" s="184">
        <v>0.26</v>
      </c>
      <c r="E6" s="70" t="s">
        <v>316</v>
      </c>
    </row>
    <row r="7" spans="2:7" ht="16.5">
      <c r="B7" s="202" t="s">
        <v>319</v>
      </c>
      <c r="C7" s="47" t="s">
        <v>320</v>
      </c>
      <c r="D7" s="197">
        <f>(D6-D5)/D5</f>
        <v>-0.70454545454545459</v>
      </c>
      <c r="E7" s="60" t="s">
        <v>316</v>
      </c>
    </row>
    <row r="8" spans="2:7">
      <c r="B8" s="50" t="s">
        <v>321</v>
      </c>
      <c r="C8" s="51"/>
      <c r="D8" s="52"/>
      <c r="E8" s="61"/>
    </row>
    <row r="9" spans="2:7">
      <c r="B9" s="53" t="s">
        <v>310</v>
      </c>
      <c r="C9" s="54" t="s">
        <v>311</v>
      </c>
      <c r="D9" s="54" t="s">
        <v>313</v>
      </c>
      <c r="E9" s="62" t="s">
        <v>312</v>
      </c>
    </row>
    <row r="10" spans="2:7">
      <c r="B10" s="67" t="s">
        <v>322</v>
      </c>
      <c r="C10" s="101" t="s">
        <v>323</v>
      </c>
      <c r="D10" s="104">
        <v>73.760330578512395</v>
      </c>
      <c r="E10" s="69" t="s">
        <v>324</v>
      </c>
    </row>
    <row r="11" spans="2:7">
      <c r="B11" s="67" t="s">
        <v>325</v>
      </c>
      <c r="C11" s="101" t="s">
        <v>326</v>
      </c>
      <c r="D11" s="185">
        <v>28.8</v>
      </c>
      <c r="E11" s="70" t="s">
        <v>324</v>
      </c>
    </row>
    <row r="12" spans="2:7" ht="16.5">
      <c r="B12" s="55" t="s">
        <v>327</v>
      </c>
      <c r="C12" s="56" t="s">
        <v>328</v>
      </c>
      <c r="D12" s="71">
        <f>(D10-D11)/D10</f>
        <v>0.60954621848739499</v>
      </c>
      <c r="E12" s="72" t="s">
        <v>316</v>
      </c>
      <c r="F12" s="76">
        <f>D10-D11</f>
        <v>44.960330578512398</v>
      </c>
    </row>
    <row r="13" spans="2:7">
      <c r="B13" s="57" t="s">
        <v>329</v>
      </c>
      <c r="C13" s="58"/>
      <c r="D13" s="59"/>
      <c r="E13" s="66"/>
    </row>
    <row r="14" spans="2:7">
      <c r="B14" s="53" t="s">
        <v>310</v>
      </c>
      <c r="C14" s="54" t="s">
        <v>311</v>
      </c>
      <c r="D14" s="54" t="s">
        <v>312</v>
      </c>
      <c r="E14" s="62" t="s">
        <v>313</v>
      </c>
      <c r="G14" t="s">
        <v>330</v>
      </c>
    </row>
    <row r="15" spans="2:7" ht="15">
      <c r="B15" s="68" t="s">
        <v>331</v>
      </c>
      <c r="C15" s="101" t="s">
        <v>332</v>
      </c>
      <c r="D15" s="143">
        <f>Summary!K4</f>
        <v>3900</v>
      </c>
      <c r="E15" s="70" t="s">
        <v>333</v>
      </c>
    </row>
    <row r="16" spans="2:7" ht="15">
      <c r="B16" s="67" t="s">
        <v>334</v>
      </c>
      <c r="C16" s="101" t="s">
        <v>335</v>
      </c>
      <c r="D16" s="103">
        <v>0.02</v>
      </c>
      <c r="E16" s="70" t="s">
        <v>316</v>
      </c>
    </row>
    <row r="17" spans="2:6" ht="16">
      <c r="B17" s="105" t="s">
        <v>336</v>
      </c>
      <c r="C17" t="s">
        <v>337</v>
      </c>
      <c r="D17" s="103">
        <v>0.05</v>
      </c>
      <c r="E17" s="70" t="s">
        <v>316</v>
      </c>
    </row>
    <row r="18" spans="2:6">
      <c r="B18" s="63" t="s">
        <v>338</v>
      </c>
      <c r="C18" s="64" t="s">
        <v>339</v>
      </c>
      <c r="D18" s="65">
        <f>D15*(1-D16)*(1-D17)</f>
        <v>3630.8999999999996</v>
      </c>
      <c r="E18" s="66" t="s">
        <v>333</v>
      </c>
      <c r="F18" s="27">
        <f>D15-D18</f>
        <v>269.10000000000036</v>
      </c>
    </row>
    <row r="19" spans="2:6">
      <c r="B19" s="188" t="s">
        <v>340</v>
      </c>
      <c r="C19" s="189"/>
      <c r="D19" s="190"/>
      <c r="E19" s="191"/>
      <c r="F19" s="27"/>
    </row>
    <row r="20" spans="2:6">
      <c r="B20" s="13" t="s">
        <v>310</v>
      </c>
      <c r="C20" s="49" t="s">
        <v>311</v>
      </c>
      <c r="D20" s="49" t="s">
        <v>312</v>
      </c>
      <c r="E20" s="14" t="s">
        <v>313</v>
      </c>
    </row>
    <row r="21" spans="2:6">
      <c r="B21" s="192" t="s">
        <v>341</v>
      </c>
      <c r="C21" s="190" t="s">
        <v>342</v>
      </c>
      <c r="D21" s="193">
        <f>'GS7475'!E37</f>
        <v>5161</v>
      </c>
      <c r="E21" s="191" t="s">
        <v>333</v>
      </c>
    </row>
    <row r="22" spans="2:6" s="187" customFormat="1">
      <c r="B22" s="186"/>
      <c r="C22" s="186"/>
      <c r="D22" s="186"/>
      <c r="E22" s="186"/>
    </row>
    <row r="23" spans="2:6" ht="15.5">
      <c r="B23" s="74" t="s">
        <v>343</v>
      </c>
      <c r="C23" s="73"/>
      <c r="D23" s="73"/>
      <c r="E23" s="73"/>
    </row>
    <row r="24" spans="2:6">
      <c r="B24" s="46" t="s">
        <v>309</v>
      </c>
      <c r="C24" s="47"/>
      <c r="D24" s="48"/>
      <c r="E24" s="60"/>
    </row>
    <row r="25" spans="2:6">
      <c r="B25" s="13" t="s">
        <v>310</v>
      </c>
      <c r="C25" s="49" t="s">
        <v>311</v>
      </c>
      <c r="D25" s="49" t="s">
        <v>312</v>
      </c>
      <c r="E25" s="14" t="s">
        <v>313</v>
      </c>
    </row>
    <row r="26" spans="2:6" ht="16">
      <c r="B26" s="106" t="s">
        <v>314</v>
      </c>
      <c r="C26" s="101" t="s">
        <v>315</v>
      </c>
      <c r="D26" s="107">
        <v>0.88</v>
      </c>
      <c r="E26" s="70" t="s">
        <v>316</v>
      </c>
    </row>
    <row r="27" spans="2:6" ht="16">
      <c r="B27" s="105" t="s">
        <v>317</v>
      </c>
      <c r="C27" s="101" t="s">
        <v>318</v>
      </c>
      <c r="D27" s="107">
        <f>$D$6</f>
        <v>0.26</v>
      </c>
      <c r="E27" s="70" t="s">
        <v>316</v>
      </c>
    </row>
    <row r="28" spans="2:6" ht="16.5">
      <c r="B28" s="109" t="s">
        <v>319</v>
      </c>
      <c r="C28" s="47" t="s">
        <v>320</v>
      </c>
      <c r="D28" s="108">
        <f>(D27-D26)/D26</f>
        <v>-0.70454545454545459</v>
      </c>
      <c r="E28" s="60" t="s">
        <v>316</v>
      </c>
    </row>
    <row r="29" spans="2:6">
      <c r="B29" s="50" t="s">
        <v>321</v>
      </c>
      <c r="C29" s="51"/>
      <c r="D29" s="52"/>
      <c r="E29" s="61"/>
    </row>
    <row r="30" spans="2:6">
      <c r="B30" s="53" t="s">
        <v>310</v>
      </c>
      <c r="C30" s="54" t="s">
        <v>311</v>
      </c>
      <c r="D30" s="54" t="s">
        <v>313</v>
      </c>
      <c r="E30" s="62" t="s">
        <v>312</v>
      </c>
    </row>
    <row r="31" spans="2:6">
      <c r="B31" s="67" t="s">
        <v>322</v>
      </c>
      <c r="C31" s="101" t="s">
        <v>323</v>
      </c>
      <c r="D31" s="104">
        <v>73.760330578512395</v>
      </c>
      <c r="E31" s="69" t="s">
        <v>324</v>
      </c>
    </row>
    <row r="32" spans="2:6">
      <c r="B32" s="67" t="s">
        <v>325</v>
      </c>
      <c r="C32" s="101" t="s">
        <v>326</v>
      </c>
      <c r="D32" s="104">
        <f>$D$11</f>
        <v>28.8</v>
      </c>
      <c r="E32" s="70" t="s">
        <v>324</v>
      </c>
    </row>
    <row r="33" spans="2:6" ht="16.5">
      <c r="B33" s="55" t="s">
        <v>327</v>
      </c>
      <c r="C33" s="56" t="s">
        <v>328</v>
      </c>
      <c r="D33" s="71">
        <f>(D31-D32)/D31</f>
        <v>0.60954621848739499</v>
      </c>
      <c r="E33" s="72" t="s">
        <v>316</v>
      </c>
    </row>
    <row r="34" spans="2:6">
      <c r="B34" s="57" t="s">
        <v>329</v>
      </c>
      <c r="C34" s="58"/>
      <c r="D34" s="59"/>
      <c r="E34" s="66"/>
    </row>
    <row r="35" spans="2:6">
      <c r="B35" s="53" t="s">
        <v>310</v>
      </c>
      <c r="C35" s="54" t="s">
        <v>311</v>
      </c>
      <c r="D35" s="54" t="s">
        <v>312</v>
      </c>
      <c r="E35" s="62" t="s">
        <v>313</v>
      </c>
    </row>
    <row r="36" spans="2:6" ht="15">
      <c r="B36" s="68" t="s">
        <v>331</v>
      </c>
      <c r="C36" s="101" t="s">
        <v>332</v>
      </c>
      <c r="D36" s="102">
        <f>Summary!K5</f>
        <v>3900</v>
      </c>
      <c r="E36" s="70" t="s">
        <v>333</v>
      </c>
    </row>
    <row r="37" spans="2:6" ht="15">
      <c r="B37" s="67" t="s">
        <v>334</v>
      </c>
      <c r="C37" s="101" t="s">
        <v>335</v>
      </c>
      <c r="D37" s="103">
        <v>0.02</v>
      </c>
      <c r="E37" s="70" t="s">
        <v>316</v>
      </c>
    </row>
    <row r="38" spans="2:6" ht="16">
      <c r="B38" s="105" t="s">
        <v>336</v>
      </c>
      <c r="C38" t="s">
        <v>337</v>
      </c>
      <c r="D38" s="103">
        <v>0.05</v>
      </c>
      <c r="E38" s="70" t="s">
        <v>316</v>
      </c>
    </row>
    <row r="39" spans="2:6">
      <c r="B39" s="63" t="s">
        <v>338</v>
      </c>
      <c r="C39" s="64" t="s">
        <v>339</v>
      </c>
      <c r="D39" s="65">
        <f>D36*(1-D37)*(1-D38)</f>
        <v>3630.8999999999996</v>
      </c>
      <c r="E39" s="66" t="s">
        <v>333</v>
      </c>
      <c r="F39" s="27">
        <f>D36-D39</f>
        <v>269.10000000000036</v>
      </c>
    </row>
    <row r="40" spans="2:6">
      <c r="B40" s="188" t="s">
        <v>340</v>
      </c>
      <c r="C40" s="189"/>
      <c r="D40" s="190"/>
      <c r="E40" s="191"/>
    </row>
    <row r="41" spans="2:6">
      <c r="B41" s="13" t="s">
        <v>310</v>
      </c>
      <c r="C41" s="49" t="s">
        <v>311</v>
      </c>
      <c r="D41" s="49" t="s">
        <v>312</v>
      </c>
      <c r="E41" s="14" t="s">
        <v>313</v>
      </c>
    </row>
    <row r="42" spans="2:6">
      <c r="B42" s="192" t="s">
        <v>341</v>
      </c>
      <c r="C42" s="190" t="s">
        <v>342</v>
      </c>
      <c r="D42" s="193">
        <f>'GS7476'!E37</f>
        <v>5252</v>
      </c>
      <c r="E42" s="191" t="s">
        <v>333</v>
      </c>
    </row>
    <row r="43" spans="2:6" s="187" customFormat="1">
      <c r="B43" s="194"/>
      <c r="C43" s="194"/>
      <c r="D43" s="195"/>
      <c r="E43" s="194"/>
    </row>
    <row r="44" spans="2:6">
      <c r="B44" s="196"/>
      <c r="C44" s="196"/>
      <c r="D44" s="196"/>
      <c r="E44" s="196"/>
    </row>
    <row r="45" spans="2:6" ht="15.5">
      <c r="B45" s="74" t="s">
        <v>344</v>
      </c>
      <c r="D45" s="73"/>
      <c r="E45" s="73"/>
    </row>
    <row r="46" spans="2:6">
      <c r="B46" s="46" t="s">
        <v>309</v>
      </c>
      <c r="C46" s="47"/>
      <c r="D46" s="48"/>
      <c r="E46" s="60"/>
    </row>
    <row r="47" spans="2:6">
      <c r="B47" s="13" t="s">
        <v>310</v>
      </c>
      <c r="C47" s="49" t="s">
        <v>311</v>
      </c>
      <c r="D47" s="49" t="s">
        <v>312</v>
      </c>
      <c r="E47" s="14" t="s">
        <v>313</v>
      </c>
    </row>
    <row r="48" spans="2:6" ht="16">
      <c r="B48" s="106" t="s">
        <v>314</v>
      </c>
      <c r="C48" s="101" t="s">
        <v>315</v>
      </c>
      <c r="D48" s="107">
        <v>0.88</v>
      </c>
      <c r="E48" s="70" t="s">
        <v>316</v>
      </c>
    </row>
    <row r="49" spans="2:6" ht="16">
      <c r="B49" s="105" t="s">
        <v>317</v>
      </c>
      <c r="C49" s="101" t="s">
        <v>318</v>
      </c>
      <c r="D49" s="107">
        <f>$D$6</f>
        <v>0.26</v>
      </c>
      <c r="E49" s="70" t="s">
        <v>316</v>
      </c>
    </row>
    <row r="50" spans="2:6" ht="16.5">
      <c r="B50" s="109" t="s">
        <v>319</v>
      </c>
      <c r="C50" s="47" t="s">
        <v>320</v>
      </c>
      <c r="D50" s="108">
        <f>(D49-D48)/D48</f>
        <v>-0.70454545454545459</v>
      </c>
      <c r="E50" s="60" t="s">
        <v>316</v>
      </c>
    </row>
    <row r="51" spans="2:6">
      <c r="B51" s="50" t="s">
        <v>321</v>
      </c>
      <c r="C51" s="51"/>
      <c r="D51" s="52"/>
      <c r="E51" s="61"/>
    </row>
    <row r="52" spans="2:6">
      <c r="B52" s="53" t="s">
        <v>310</v>
      </c>
      <c r="C52" s="54" t="s">
        <v>311</v>
      </c>
      <c r="D52" s="54" t="s">
        <v>313</v>
      </c>
      <c r="E52" s="62" t="s">
        <v>312</v>
      </c>
    </row>
    <row r="53" spans="2:6">
      <c r="B53" s="67" t="s">
        <v>322</v>
      </c>
      <c r="C53" s="101" t="s">
        <v>323</v>
      </c>
      <c r="D53" s="104">
        <v>73.760330578512395</v>
      </c>
      <c r="E53" s="69" t="s">
        <v>324</v>
      </c>
    </row>
    <row r="54" spans="2:6">
      <c r="B54" s="67" t="s">
        <v>325</v>
      </c>
      <c r="C54" s="101" t="s">
        <v>326</v>
      </c>
      <c r="D54" s="104">
        <f>$D$11</f>
        <v>28.8</v>
      </c>
      <c r="E54" s="70" t="s">
        <v>324</v>
      </c>
    </row>
    <row r="55" spans="2:6" ht="16.5">
      <c r="B55" s="55" t="s">
        <v>327</v>
      </c>
      <c r="C55" s="56" t="s">
        <v>328</v>
      </c>
      <c r="D55" s="71">
        <f>(D53-D54)/D53</f>
        <v>0.60954621848739499</v>
      </c>
      <c r="E55" s="72" t="s">
        <v>316</v>
      </c>
    </row>
    <row r="56" spans="2:6">
      <c r="B56" s="57" t="s">
        <v>329</v>
      </c>
      <c r="C56" s="58"/>
      <c r="D56" s="59"/>
      <c r="E56" s="66"/>
    </row>
    <row r="57" spans="2:6">
      <c r="B57" s="53" t="s">
        <v>310</v>
      </c>
      <c r="C57" s="54" t="s">
        <v>311</v>
      </c>
      <c r="D57" s="54" t="s">
        <v>312</v>
      </c>
      <c r="E57" s="62" t="s">
        <v>313</v>
      </c>
    </row>
    <row r="58" spans="2:6" ht="15">
      <c r="B58" s="68" t="s">
        <v>331</v>
      </c>
      <c r="C58" s="101" t="s">
        <v>332</v>
      </c>
      <c r="D58" s="102">
        <f>Summary!K6</f>
        <v>3900</v>
      </c>
      <c r="E58" s="70" t="s">
        <v>333</v>
      </c>
    </row>
    <row r="59" spans="2:6" ht="15">
      <c r="B59" s="67" t="s">
        <v>334</v>
      </c>
      <c r="C59" s="101" t="s">
        <v>335</v>
      </c>
      <c r="D59" s="103">
        <v>0.02</v>
      </c>
      <c r="E59" s="70" t="s">
        <v>316</v>
      </c>
    </row>
    <row r="60" spans="2:6" ht="16">
      <c r="B60" s="105" t="s">
        <v>336</v>
      </c>
      <c r="C60" t="s">
        <v>337</v>
      </c>
      <c r="D60" s="103">
        <v>0.05</v>
      </c>
      <c r="E60" s="70" t="s">
        <v>316</v>
      </c>
    </row>
    <row r="61" spans="2:6">
      <c r="B61" s="63" t="s">
        <v>338</v>
      </c>
      <c r="C61" s="64" t="s">
        <v>339</v>
      </c>
      <c r="D61" s="65">
        <f>D58*(1-D59)*(1-D60)</f>
        <v>3630.8999999999996</v>
      </c>
      <c r="E61" s="66" t="s">
        <v>333</v>
      </c>
      <c r="F61" s="27">
        <f>D58-D61</f>
        <v>269.10000000000036</v>
      </c>
    </row>
    <row r="62" spans="2:6">
      <c r="B62" s="188" t="s">
        <v>340</v>
      </c>
      <c r="C62" s="189"/>
      <c r="D62" s="190"/>
      <c r="E62" s="191"/>
    </row>
    <row r="63" spans="2:6">
      <c r="B63" s="13" t="s">
        <v>310</v>
      </c>
      <c r="C63" s="49" t="s">
        <v>311</v>
      </c>
      <c r="D63" s="49" t="s">
        <v>312</v>
      </c>
      <c r="E63" s="14" t="s">
        <v>313</v>
      </c>
    </row>
    <row r="64" spans="2:6">
      <c r="B64" s="192" t="s">
        <v>341</v>
      </c>
      <c r="C64" s="190" t="s">
        <v>342</v>
      </c>
      <c r="D64" s="193">
        <f>'GS7477'!E37</f>
        <v>5308</v>
      </c>
      <c r="E64" s="191" t="s">
        <v>333</v>
      </c>
    </row>
    <row r="65" spans="2:5" s="187" customFormat="1">
      <c r="B65" s="186"/>
      <c r="C65" s="186"/>
      <c r="D65" s="186"/>
      <c r="E65" s="186"/>
    </row>
    <row r="66" spans="2:5">
      <c r="B66" s="196"/>
      <c r="C66" s="196"/>
      <c r="D66" s="196"/>
      <c r="E66" s="196"/>
    </row>
    <row r="67" spans="2:5" ht="15.5">
      <c r="B67" s="74" t="s">
        <v>345</v>
      </c>
      <c r="C67" s="73"/>
      <c r="D67" s="73"/>
    </row>
    <row r="68" spans="2:5">
      <c r="B68" s="46" t="s">
        <v>309</v>
      </c>
      <c r="C68" s="47"/>
      <c r="D68" s="48"/>
      <c r="E68" s="60"/>
    </row>
    <row r="69" spans="2:5">
      <c r="B69" s="13" t="s">
        <v>310</v>
      </c>
      <c r="C69" s="49" t="s">
        <v>311</v>
      </c>
      <c r="D69" s="49" t="s">
        <v>312</v>
      </c>
      <c r="E69" s="14" t="s">
        <v>313</v>
      </c>
    </row>
    <row r="70" spans="2:5" ht="16">
      <c r="B70" s="106" t="s">
        <v>314</v>
      </c>
      <c r="C70" s="101" t="s">
        <v>315</v>
      </c>
      <c r="D70" s="107">
        <v>0.88</v>
      </c>
      <c r="E70" s="70" t="s">
        <v>316</v>
      </c>
    </row>
    <row r="71" spans="2:5" ht="16">
      <c r="B71" s="105" t="s">
        <v>317</v>
      </c>
      <c r="C71" s="101" t="s">
        <v>318</v>
      </c>
      <c r="D71" s="107">
        <f>$D$6</f>
        <v>0.26</v>
      </c>
      <c r="E71" s="70" t="s">
        <v>316</v>
      </c>
    </row>
    <row r="72" spans="2:5" ht="16.5">
      <c r="B72" s="109" t="s">
        <v>319</v>
      </c>
      <c r="C72" s="47" t="s">
        <v>320</v>
      </c>
      <c r="D72" s="108">
        <f>(D71-D70)/D70</f>
        <v>-0.70454545454545459</v>
      </c>
      <c r="E72" s="60" t="s">
        <v>316</v>
      </c>
    </row>
    <row r="73" spans="2:5">
      <c r="B73" s="50" t="s">
        <v>321</v>
      </c>
      <c r="C73" s="51"/>
      <c r="D73" s="52"/>
      <c r="E73" s="61"/>
    </row>
    <row r="74" spans="2:5">
      <c r="B74" s="53" t="s">
        <v>310</v>
      </c>
      <c r="C74" s="54" t="s">
        <v>311</v>
      </c>
      <c r="D74" s="54" t="s">
        <v>313</v>
      </c>
      <c r="E74" s="62" t="s">
        <v>312</v>
      </c>
    </row>
    <row r="75" spans="2:5">
      <c r="B75" s="67" t="s">
        <v>322</v>
      </c>
      <c r="C75" s="101" t="s">
        <v>323</v>
      </c>
      <c r="D75" s="104">
        <v>73.760330578512395</v>
      </c>
      <c r="E75" s="69" t="s">
        <v>324</v>
      </c>
    </row>
    <row r="76" spans="2:5">
      <c r="B76" s="67" t="s">
        <v>325</v>
      </c>
      <c r="C76" s="101" t="s">
        <v>326</v>
      </c>
      <c r="D76" s="104">
        <f>$D$11</f>
        <v>28.8</v>
      </c>
      <c r="E76" s="70" t="s">
        <v>324</v>
      </c>
    </row>
    <row r="77" spans="2:5" ht="16.5">
      <c r="B77" s="55" t="s">
        <v>327</v>
      </c>
      <c r="C77" s="56" t="s">
        <v>328</v>
      </c>
      <c r="D77" s="71">
        <f>(D75-D76)/D75</f>
        <v>0.60954621848739499</v>
      </c>
      <c r="E77" s="72" t="s">
        <v>316</v>
      </c>
    </row>
    <row r="78" spans="2:5">
      <c r="B78" s="57" t="s">
        <v>329</v>
      </c>
      <c r="C78" s="58"/>
      <c r="D78" s="59"/>
      <c r="E78" s="66"/>
    </row>
    <row r="79" spans="2:5">
      <c r="B79" s="53" t="s">
        <v>310</v>
      </c>
      <c r="C79" s="54" t="s">
        <v>311</v>
      </c>
      <c r="D79" s="54" t="s">
        <v>312</v>
      </c>
      <c r="E79" s="62" t="s">
        <v>313</v>
      </c>
    </row>
    <row r="80" spans="2:5" ht="15">
      <c r="B80" s="68" t="s">
        <v>331</v>
      </c>
      <c r="C80" s="101" t="s">
        <v>332</v>
      </c>
      <c r="D80" s="102">
        <f>Summary!K7</f>
        <v>3600</v>
      </c>
      <c r="E80" s="70" t="s">
        <v>333</v>
      </c>
    </row>
    <row r="81" spans="2:6" ht="15">
      <c r="B81" s="67" t="s">
        <v>334</v>
      </c>
      <c r="C81" s="101" t="s">
        <v>335</v>
      </c>
      <c r="D81" s="103">
        <v>0.02</v>
      </c>
      <c r="E81" s="70" t="s">
        <v>316</v>
      </c>
    </row>
    <row r="82" spans="2:6" ht="16">
      <c r="B82" s="105" t="s">
        <v>336</v>
      </c>
      <c r="C82" t="s">
        <v>337</v>
      </c>
      <c r="D82" s="103">
        <v>0.05</v>
      </c>
      <c r="E82" s="70" t="s">
        <v>316</v>
      </c>
    </row>
    <row r="83" spans="2:6">
      <c r="B83" s="63" t="s">
        <v>338</v>
      </c>
      <c r="C83" s="64" t="s">
        <v>339</v>
      </c>
      <c r="D83" s="65">
        <f>D80*(1-D81)*(1-D82)</f>
        <v>3351.6</v>
      </c>
      <c r="E83" s="66" t="s">
        <v>333</v>
      </c>
      <c r="F83" s="27">
        <f>D80-D83</f>
        <v>248.40000000000009</v>
      </c>
    </row>
    <row r="84" spans="2:6">
      <c r="B84" s="188" t="s">
        <v>340</v>
      </c>
      <c r="C84" s="189"/>
      <c r="D84" s="190"/>
      <c r="E84" s="191"/>
    </row>
    <row r="85" spans="2:6">
      <c r="B85" s="13" t="s">
        <v>310</v>
      </c>
      <c r="C85" s="49" t="s">
        <v>311</v>
      </c>
      <c r="D85" s="49" t="s">
        <v>312</v>
      </c>
      <c r="E85" s="14" t="s">
        <v>313</v>
      </c>
    </row>
    <row r="86" spans="2:6">
      <c r="B86" s="192" t="s">
        <v>341</v>
      </c>
      <c r="C86" s="190" t="s">
        <v>342</v>
      </c>
      <c r="D86" s="193">
        <f>'GS7478'!E37</f>
        <v>4933</v>
      </c>
      <c r="E86" s="191" t="s">
        <v>333</v>
      </c>
    </row>
    <row r="87" spans="2:6" s="187" customFormat="1">
      <c r="B87" s="186"/>
      <c r="C87" s="186"/>
      <c r="D87" s="186"/>
      <c r="E87" s="186"/>
    </row>
    <row r="88" spans="2:6">
      <c r="B88" s="196"/>
      <c r="C88" s="196"/>
      <c r="D88" s="196"/>
      <c r="E88" s="196"/>
    </row>
    <row r="89" spans="2:6" ht="15.5">
      <c r="B89" s="45" t="s">
        <v>346</v>
      </c>
      <c r="C89" s="73"/>
      <c r="D89" s="73"/>
      <c r="E89" s="73"/>
    </row>
    <row r="90" spans="2:6">
      <c r="B90" s="46" t="s">
        <v>309</v>
      </c>
      <c r="C90" s="47"/>
      <c r="D90" s="48"/>
      <c r="E90" s="60"/>
    </row>
    <row r="91" spans="2:6">
      <c r="B91" s="13" t="s">
        <v>310</v>
      </c>
      <c r="C91" s="49" t="s">
        <v>311</v>
      </c>
      <c r="D91" s="49" t="s">
        <v>312</v>
      </c>
      <c r="E91" s="14" t="s">
        <v>313</v>
      </c>
    </row>
    <row r="92" spans="2:6" ht="16">
      <c r="B92" s="106" t="s">
        <v>314</v>
      </c>
      <c r="C92" s="101" t="s">
        <v>315</v>
      </c>
      <c r="D92" s="107">
        <v>0.88</v>
      </c>
      <c r="E92" s="70" t="s">
        <v>316</v>
      </c>
    </row>
    <row r="93" spans="2:6" ht="16">
      <c r="B93" s="105" t="s">
        <v>317</v>
      </c>
      <c r="C93" s="101" t="s">
        <v>318</v>
      </c>
      <c r="D93" s="107">
        <f>$D$6</f>
        <v>0.26</v>
      </c>
      <c r="E93" s="70" t="s">
        <v>316</v>
      </c>
    </row>
    <row r="94" spans="2:6" ht="16.5">
      <c r="B94" s="109" t="s">
        <v>319</v>
      </c>
      <c r="C94" s="47" t="s">
        <v>320</v>
      </c>
      <c r="D94" s="108">
        <f>(D93-D92)/D92</f>
        <v>-0.70454545454545459</v>
      </c>
      <c r="E94" s="60" t="s">
        <v>316</v>
      </c>
    </row>
    <row r="95" spans="2:6">
      <c r="B95" s="50" t="s">
        <v>321</v>
      </c>
      <c r="C95" s="51"/>
      <c r="D95" s="52"/>
      <c r="E95" s="61"/>
    </row>
    <row r="96" spans="2:6">
      <c r="B96" s="53" t="s">
        <v>310</v>
      </c>
      <c r="C96" s="54" t="s">
        <v>311</v>
      </c>
      <c r="D96" s="54" t="s">
        <v>313</v>
      </c>
      <c r="E96" s="62" t="s">
        <v>312</v>
      </c>
    </row>
    <row r="97" spans="2:6">
      <c r="B97" s="67" t="s">
        <v>322</v>
      </c>
      <c r="C97" s="101" t="s">
        <v>323</v>
      </c>
      <c r="D97" s="104">
        <v>73.760330578512395</v>
      </c>
      <c r="E97" s="69" t="s">
        <v>324</v>
      </c>
    </row>
    <row r="98" spans="2:6">
      <c r="B98" s="67" t="s">
        <v>325</v>
      </c>
      <c r="C98" s="101" t="s">
        <v>326</v>
      </c>
      <c r="D98" s="104">
        <f>$D$11</f>
        <v>28.8</v>
      </c>
      <c r="E98" s="70" t="s">
        <v>324</v>
      </c>
    </row>
    <row r="99" spans="2:6" ht="16.5">
      <c r="B99" s="55" t="s">
        <v>327</v>
      </c>
      <c r="C99" s="56" t="s">
        <v>328</v>
      </c>
      <c r="D99" s="71">
        <f>(D97-D98)/D97</f>
        <v>0.60954621848739499</v>
      </c>
      <c r="E99" s="72" t="s">
        <v>316</v>
      </c>
    </row>
    <row r="100" spans="2:6">
      <c r="B100" s="57" t="s">
        <v>329</v>
      </c>
      <c r="C100" s="58"/>
      <c r="D100" s="59"/>
      <c r="E100" s="66"/>
    </row>
    <row r="101" spans="2:6">
      <c r="B101" s="53" t="s">
        <v>310</v>
      </c>
      <c r="C101" s="54" t="s">
        <v>311</v>
      </c>
      <c r="D101" s="54" t="s">
        <v>312</v>
      </c>
      <c r="E101" s="62" t="s">
        <v>313</v>
      </c>
    </row>
    <row r="102" spans="2:6" ht="15">
      <c r="B102" s="68" t="s">
        <v>331</v>
      </c>
      <c r="C102" s="101" t="s">
        <v>332</v>
      </c>
      <c r="D102" s="102">
        <f>Summary!K8</f>
        <v>3900</v>
      </c>
      <c r="E102" s="70" t="s">
        <v>333</v>
      </c>
    </row>
    <row r="103" spans="2:6" ht="15">
      <c r="B103" s="67" t="s">
        <v>334</v>
      </c>
      <c r="C103" s="101" t="s">
        <v>335</v>
      </c>
      <c r="D103" s="103">
        <v>0.02</v>
      </c>
      <c r="E103" s="70" t="s">
        <v>316</v>
      </c>
    </row>
    <row r="104" spans="2:6" ht="16">
      <c r="B104" s="105" t="s">
        <v>336</v>
      </c>
      <c r="C104" t="s">
        <v>337</v>
      </c>
      <c r="D104" s="103">
        <v>0.05</v>
      </c>
      <c r="E104" s="70" t="s">
        <v>316</v>
      </c>
    </row>
    <row r="105" spans="2:6">
      <c r="B105" s="63" t="s">
        <v>338</v>
      </c>
      <c r="C105" s="64" t="s">
        <v>339</v>
      </c>
      <c r="D105" s="65">
        <f>D102*(1-D103)*(1-D104)</f>
        <v>3630.8999999999996</v>
      </c>
      <c r="E105" s="66" t="s">
        <v>333</v>
      </c>
      <c r="F105" s="27">
        <f>D102-D105</f>
        <v>269.10000000000036</v>
      </c>
    </row>
    <row r="106" spans="2:6">
      <c r="B106" s="188" t="s">
        <v>340</v>
      </c>
      <c r="C106" s="189"/>
      <c r="D106" s="190"/>
      <c r="E106" s="191"/>
    </row>
    <row r="107" spans="2:6">
      <c r="B107" s="13" t="s">
        <v>310</v>
      </c>
      <c r="C107" s="49" t="s">
        <v>311</v>
      </c>
      <c r="D107" s="49" t="s">
        <v>312</v>
      </c>
      <c r="E107" s="14" t="s">
        <v>313</v>
      </c>
    </row>
    <row r="108" spans="2:6">
      <c r="B108" s="192" t="s">
        <v>341</v>
      </c>
      <c r="C108" s="190" t="s">
        <v>342</v>
      </c>
      <c r="D108" s="193">
        <f>'GS7479'!E37</f>
        <v>4258</v>
      </c>
      <c r="E108" s="191" t="s">
        <v>333</v>
      </c>
    </row>
    <row r="109" spans="2:6" s="187" customFormat="1">
      <c r="B109" s="186"/>
      <c r="C109" s="186"/>
      <c r="D109" s="186"/>
      <c r="E109" s="186"/>
    </row>
    <row r="110" spans="2:6">
      <c r="B110" s="196"/>
      <c r="C110" s="196"/>
      <c r="D110" s="196"/>
      <c r="E110" s="196"/>
    </row>
    <row r="111" spans="2:6" ht="15.5">
      <c r="B111" s="74" t="s">
        <v>347</v>
      </c>
      <c r="E111" s="73"/>
    </row>
    <row r="112" spans="2:6">
      <c r="B112" s="46" t="s">
        <v>309</v>
      </c>
      <c r="C112" s="47"/>
      <c r="D112" s="48"/>
      <c r="E112" s="60"/>
    </row>
    <row r="113" spans="2:6">
      <c r="B113" s="13" t="s">
        <v>310</v>
      </c>
      <c r="C113" s="49" t="s">
        <v>311</v>
      </c>
      <c r="D113" s="49" t="s">
        <v>312</v>
      </c>
      <c r="E113" s="14" t="s">
        <v>313</v>
      </c>
    </row>
    <row r="114" spans="2:6" ht="16">
      <c r="B114" s="106" t="s">
        <v>314</v>
      </c>
      <c r="C114" s="101" t="s">
        <v>315</v>
      </c>
      <c r="D114" s="107">
        <v>0.88</v>
      </c>
      <c r="E114" s="70" t="s">
        <v>316</v>
      </c>
    </row>
    <row r="115" spans="2:6" ht="16">
      <c r="B115" s="105" t="s">
        <v>317</v>
      </c>
      <c r="C115" s="101" t="s">
        <v>318</v>
      </c>
      <c r="D115" s="107">
        <f>$D$6</f>
        <v>0.26</v>
      </c>
      <c r="E115" s="70" t="s">
        <v>316</v>
      </c>
    </row>
    <row r="116" spans="2:6" ht="16.5">
      <c r="B116" s="109" t="s">
        <v>319</v>
      </c>
      <c r="C116" s="47" t="s">
        <v>320</v>
      </c>
      <c r="D116" s="108">
        <f>(D115-D114)/D114</f>
        <v>-0.70454545454545459</v>
      </c>
      <c r="E116" s="60" t="s">
        <v>316</v>
      </c>
    </row>
    <row r="117" spans="2:6">
      <c r="B117" s="50" t="s">
        <v>321</v>
      </c>
      <c r="C117" s="51"/>
      <c r="D117" s="52"/>
      <c r="E117" s="61"/>
    </row>
    <row r="118" spans="2:6">
      <c r="B118" s="53" t="s">
        <v>310</v>
      </c>
      <c r="C118" s="54" t="s">
        <v>311</v>
      </c>
      <c r="D118" s="54" t="s">
        <v>313</v>
      </c>
      <c r="E118" s="62" t="s">
        <v>312</v>
      </c>
    </row>
    <row r="119" spans="2:6">
      <c r="B119" s="67" t="s">
        <v>322</v>
      </c>
      <c r="C119" s="101" t="s">
        <v>323</v>
      </c>
      <c r="D119" s="104">
        <v>73.760330578512395</v>
      </c>
      <c r="E119" s="69" t="s">
        <v>324</v>
      </c>
    </row>
    <row r="120" spans="2:6">
      <c r="B120" s="67" t="s">
        <v>325</v>
      </c>
      <c r="C120" s="101" t="s">
        <v>326</v>
      </c>
      <c r="D120" s="104">
        <f>$D$11</f>
        <v>28.8</v>
      </c>
      <c r="E120" s="70" t="s">
        <v>324</v>
      </c>
    </row>
    <row r="121" spans="2:6" ht="16.5">
      <c r="B121" s="55" t="s">
        <v>327</v>
      </c>
      <c r="C121" s="56" t="s">
        <v>328</v>
      </c>
      <c r="D121" s="71">
        <f>(D119-D120)/D119</f>
        <v>0.60954621848739499</v>
      </c>
      <c r="E121" s="72" t="s">
        <v>316</v>
      </c>
    </row>
    <row r="122" spans="2:6">
      <c r="B122" s="57" t="s">
        <v>329</v>
      </c>
      <c r="C122" s="58"/>
      <c r="D122" s="59"/>
      <c r="E122" s="66"/>
    </row>
    <row r="123" spans="2:6">
      <c r="B123" s="53" t="s">
        <v>310</v>
      </c>
      <c r="C123" s="54" t="s">
        <v>311</v>
      </c>
      <c r="D123" s="54" t="s">
        <v>312</v>
      </c>
      <c r="E123" s="62" t="s">
        <v>313</v>
      </c>
    </row>
    <row r="124" spans="2:6" ht="15">
      <c r="B124" s="68" t="s">
        <v>331</v>
      </c>
      <c r="C124" s="101" t="s">
        <v>332</v>
      </c>
      <c r="D124" s="102">
        <f>Summary!K9</f>
        <v>3900</v>
      </c>
      <c r="E124" s="70" t="s">
        <v>333</v>
      </c>
    </row>
    <row r="125" spans="2:6" ht="15">
      <c r="B125" s="67" t="s">
        <v>334</v>
      </c>
      <c r="C125" s="101" t="s">
        <v>335</v>
      </c>
      <c r="D125" s="103">
        <v>0.02</v>
      </c>
      <c r="E125" s="70" t="s">
        <v>316</v>
      </c>
    </row>
    <row r="126" spans="2:6" ht="16">
      <c r="B126" s="105" t="s">
        <v>336</v>
      </c>
      <c r="C126" t="s">
        <v>337</v>
      </c>
      <c r="D126" s="103">
        <v>0.05</v>
      </c>
      <c r="E126" s="70" t="s">
        <v>316</v>
      </c>
    </row>
    <row r="127" spans="2:6">
      <c r="B127" s="63" t="s">
        <v>338</v>
      </c>
      <c r="C127" s="64" t="s">
        <v>339</v>
      </c>
      <c r="D127" s="65">
        <f>D124*(1-D125)*(1-D126)</f>
        <v>3630.8999999999996</v>
      </c>
      <c r="E127" s="66" t="s">
        <v>333</v>
      </c>
      <c r="F127" s="27">
        <f>D124-D127</f>
        <v>269.10000000000036</v>
      </c>
    </row>
    <row r="128" spans="2:6">
      <c r="B128" s="188" t="s">
        <v>340</v>
      </c>
      <c r="C128" s="189"/>
      <c r="D128" s="190"/>
      <c r="E128" s="191"/>
    </row>
    <row r="129" spans="2:5">
      <c r="B129" s="13" t="s">
        <v>310</v>
      </c>
      <c r="C129" s="49" t="s">
        <v>311</v>
      </c>
      <c r="D129" s="49" t="s">
        <v>312</v>
      </c>
      <c r="E129" s="14" t="s">
        <v>313</v>
      </c>
    </row>
    <row r="130" spans="2:5">
      <c r="B130" s="192" t="s">
        <v>341</v>
      </c>
      <c r="C130" s="190" t="s">
        <v>342</v>
      </c>
      <c r="D130" s="193">
        <f>'GS7480'!E37</f>
        <v>5254</v>
      </c>
      <c r="E130" s="191" t="s">
        <v>333</v>
      </c>
    </row>
    <row r="131" spans="2:5" s="187" customFormat="1">
      <c r="B131" s="186"/>
      <c r="C131" s="186"/>
      <c r="D131" s="186"/>
      <c r="E131" s="186"/>
    </row>
    <row r="132" spans="2:5">
      <c r="B132" s="196"/>
      <c r="C132" s="196"/>
      <c r="D132" s="196"/>
      <c r="E132" s="196"/>
    </row>
    <row r="133" spans="2:5" ht="15.5">
      <c r="B133" s="45" t="s">
        <v>348</v>
      </c>
      <c r="C133" s="73"/>
      <c r="D133" s="73"/>
      <c r="E133" s="73"/>
    </row>
    <row r="134" spans="2:5">
      <c r="B134" s="46" t="s">
        <v>309</v>
      </c>
      <c r="C134" s="47"/>
      <c r="D134" s="48"/>
      <c r="E134" s="60"/>
    </row>
    <row r="135" spans="2:5">
      <c r="B135" s="13" t="s">
        <v>310</v>
      </c>
      <c r="C135" s="49" t="s">
        <v>311</v>
      </c>
      <c r="D135" s="49" t="s">
        <v>312</v>
      </c>
      <c r="E135" s="14" t="s">
        <v>313</v>
      </c>
    </row>
    <row r="136" spans="2:5" ht="16">
      <c r="B136" s="106" t="s">
        <v>314</v>
      </c>
      <c r="C136" s="101" t="s">
        <v>315</v>
      </c>
      <c r="D136" s="107">
        <v>0.88</v>
      </c>
      <c r="E136" s="70" t="s">
        <v>316</v>
      </c>
    </row>
    <row r="137" spans="2:5" ht="16">
      <c r="B137" s="105" t="s">
        <v>317</v>
      </c>
      <c r="C137" s="101" t="s">
        <v>318</v>
      </c>
      <c r="D137" s="107">
        <f>$D$6</f>
        <v>0.26</v>
      </c>
      <c r="E137" s="70" t="s">
        <v>316</v>
      </c>
    </row>
    <row r="138" spans="2:5" ht="16.5">
      <c r="B138" s="109" t="s">
        <v>319</v>
      </c>
      <c r="C138" s="47" t="s">
        <v>320</v>
      </c>
      <c r="D138" s="108">
        <f>(D137-D136)/D136</f>
        <v>-0.70454545454545459</v>
      </c>
      <c r="E138" s="60" t="s">
        <v>316</v>
      </c>
    </row>
    <row r="139" spans="2:5">
      <c r="B139" s="50" t="s">
        <v>321</v>
      </c>
      <c r="C139" s="51"/>
      <c r="D139" s="52"/>
      <c r="E139" s="61"/>
    </row>
    <row r="140" spans="2:5">
      <c r="B140" s="53" t="s">
        <v>310</v>
      </c>
      <c r="C140" s="54" t="s">
        <v>311</v>
      </c>
      <c r="D140" s="54" t="s">
        <v>313</v>
      </c>
      <c r="E140" s="62" t="s">
        <v>312</v>
      </c>
    </row>
    <row r="141" spans="2:5">
      <c r="B141" s="67" t="s">
        <v>322</v>
      </c>
      <c r="C141" s="101" t="s">
        <v>323</v>
      </c>
      <c r="D141" s="104">
        <v>73.760330578512395</v>
      </c>
      <c r="E141" s="69" t="s">
        <v>324</v>
      </c>
    </row>
    <row r="142" spans="2:5">
      <c r="B142" s="67" t="s">
        <v>325</v>
      </c>
      <c r="C142" s="101" t="s">
        <v>326</v>
      </c>
      <c r="D142" s="104">
        <f>$D$11</f>
        <v>28.8</v>
      </c>
      <c r="E142" s="70" t="s">
        <v>324</v>
      </c>
    </row>
    <row r="143" spans="2:5" ht="16.5">
      <c r="B143" s="55" t="s">
        <v>327</v>
      </c>
      <c r="C143" s="56" t="s">
        <v>328</v>
      </c>
      <c r="D143" s="71">
        <f>(D141-D142)/D141</f>
        <v>0.60954621848739499</v>
      </c>
      <c r="E143" s="72" t="s">
        <v>316</v>
      </c>
    </row>
    <row r="144" spans="2:5">
      <c r="B144" s="57" t="s">
        <v>329</v>
      </c>
      <c r="C144" s="58"/>
      <c r="D144" s="59"/>
      <c r="E144" s="66"/>
    </row>
    <row r="145" spans="2:6">
      <c r="B145" s="53" t="s">
        <v>310</v>
      </c>
      <c r="C145" s="54" t="s">
        <v>311</v>
      </c>
      <c r="D145" s="54" t="s">
        <v>312</v>
      </c>
      <c r="E145" s="62" t="s">
        <v>313</v>
      </c>
    </row>
    <row r="146" spans="2:6" ht="15">
      <c r="B146" s="68" t="s">
        <v>331</v>
      </c>
      <c r="C146" s="101" t="s">
        <v>332</v>
      </c>
      <c r="D146" s="102">
        <f>Summary!K10</f>
        <v>3900</v>
      </c>
      <c r="E146" s="70" t="s">
        <v>333</v>
      </c>
    </row>
    <row r="147" spans="2:6" ht="15">
      <c r="B147" s="67" t="s">
        <v>334</v>
      </c>
      <c r="C147" s="101" t="s">
        <v>335</v>
      </c>
      <c r="D147" s="103">
        <v>0.02</v>
      </c>
      <c r="E147" s="70" t="s">
        <v>316</v>
      </c>
    </row>
    <row r="148" spans="2:6" ht="16">
      <c r="B148" s="105" t="s">
        <v>336</v>
      </c>
      <c r="C148" t="s">
        <v>337</v>
      </c>
      <c r="D148" s="103">
        <v>0.05</v>
      </c>
      <c r="E148" s="70" t="s">
        <v>316</v>
      </c>
    </row>
    <row r="149" spans="2:6">
      <c r="B149" s="63" t="s">
        <v>338</v>
      </c>
      <c r="C149" s="64" t="s">
        <v>339</v>
      </c>
      <c r="D149" s="65">
        <f>D146*(1-D147)*(1-D148)</f>
        <v>3630.8999999999996</v>
      </c>
      <c r="E149" s="66" t="s">
        <v>333</v>
      </c>
      <c r="F149" s="27">
        <f>D146-D149</f>
        <v>269.10000000000036</v>
      </c>
    </row>
    <row r="150" spans="2:6">
      <c r="B150" s="188" t="s">
        <v>340</v>
      </c>
      <c r="C150" s="189"/>
      <c r="D150" s="190"/>
      <c r="E150" s="191"/>
    </row>
    <row r="151" spans="2:6">
      <c r="B151" s="13" t="s">
        <v>310</v>
      </c>
      <c r="C151" s="49" t="s">
        <v>311</v>
      </c>
      <c r="D151" s="49" t="s">
        <v>312</v>
      </c>
      <c r="E151" s="14" t="s">
        <v>313</v>
      </c>
    </row>
    <row r="152" spans="2:6">
      <c r="B152" s="192" t="s">
        <v>341</v>
      </c>
      <c r="C152" s="190" t="s">
        <v>342</v>
      </c>
      <c r="D152" s="193">
        <f>'GS7481'!E37</f>
        <v>4775</v>
      </c>
      <c r="E152" s="191" t="s">
        <v>333</v>
      </c>
    </row>
    <row r="153" spans="2:6" s="187" customFormat="1">
      <c r="B153" s="186"/>
      <c r="C153" s="186"/>
      <c r="D153" s="186"/>
      <c r="E153" s="186"/>
    </row>
    <row r="154" spans="2:6">
      <c r="B154" s="196"/>
      <c r="C154" s="196"/>
      <c r="D154" s="196"/>
      <c r="E154" s="196"/>
    </row>
    <row r="155" spans="2:6" ht="15.5">
      <c r="B155" s="45" t="s">
        <v>349</v>
      </c>
    </row>
    <row r="156" spans="2:6">
      <c r="B156" s="46" t="s">
        <v>309</v>
      </c>
      <c r="C156" s="47"/>
      <c r="D156" s="48"/>
      <c r="E156" s="60"/>
    </row>
    <row r="157" spans="2:6">
      <c r="B157" s="13" t="s">
        <v>310</v>
      </c>
      <c r="C157" s="49" t="s">
        <v>311</v>
      </c>
      <c r="D157" s="49" t="s">
        <v>312</v>
      </c>
      <c r="E157" s="14" t="s">
        <v>313</v>
      </c>
    </row>
    <row r="158" spans="2:6" ht="16">
      <c r="B158" s="106" t="s">
        <v>314</v>
      </c>
      <c r="C158" s="101" t="s">
        <v>315</v>
      </c>
      <c r="D158" s="107">
        <v>0.88</v>
      </c>
      <c r="E158" s="70" t="s">
        <v>316</v>
      </c>
    </row>
    <row r="159" spans="2:6" ht="16">
      <c r="B159" s="105" t="s">
        <v>317</v>
      </c>
      <c r="C159" s="101" t="s">
        <v>318</v>
      </c>
      <c r="D159" s="107">
        <f>$D$6</f>
        <v>0.26</v>
      </c>
      <c r="E159" s="70" t="s">
        <v>316</v>
      </c>
    </row>
    <row r="160" spans="2:6" ht="16.5">
      <c r="B160" s="109" t="s">
        <v>319</v>
      </c>
      <c r="C160" s="47" t="s">
        <v>320</v>
      </c>
      <c r="D160" s="108">
        <f>(D159-D158)/D158</f>
        <v>-0.70454545454545459</v>
      </c>
      <c r="E160" s="60" t="s">
        <v>316</v>
      </c>
    </row>
    <row r="161" spans="2:6">
      <c r="B161" s="50" t="s">
        <v>321</v>
      </c>
      <c r="C161" s="51"/>
      <c r="D161" s="52"/>
      <c r="E161" s="61"/>
    </row>
    <row r="162" spans="2:6">
      <c r="B162" s="53" t="s">
        <v>310</v>
      </c>
      <c r="C162" s="54" t="s">
        <v>311</v>
      </c>
      <c r="D162" s="54" t="s">
        <v>313</v>
      </c>
      <c r="E162" s="62" t="s">
        <v>312</v>
      </c>
    </row>
    <row r="163" spans="2:6">
      <c r="B163" s="67" t="s">
        <v>322</v>
      </c>
      <c r="C163" s="101" t="s">
        <v>323</v>
      </c>
      <c r="D163" s="104">
        <v>73.760330578512395</v>
      </c>
      <c r="E163" s="69" t="s">
        <v>324</v>
      </c>
    </row>
    <row r="164" spans="2:6">
      <c r="B164" s="67" t="s">
        <v>325</v>
      </c>
      <c r="C164" s="101" t="s">
        <v>326</v>
      </c>
      <c r="D164" s="104">
        <f>$D$11</f>
        <v>28.8</v>
      </c>
      <c r="E164" s="70" t="s">
        <v>324</v>
      </c>
    </row>
    <row r="165" spans="2:6" ht="16.5">
      <c r="B165" s="55" t="s">
        <v>327</v>
      </c>
      <c r="C165" s="56" t="s">
        <v>328</v>
      </c>
      <c r="D165" s="71">
        <f>(D163-D164)/D163</f>
        <v>0.60954621848739499</v>
      </c>
      <c r="E165" s="72" t="s">
        <v>316</v>
      </c>
    </row>
    <row r="166" spans="2:6">
      <c r="B166" s="57" t="s">
        <v>329</v>
      </c>
      <c r="C166" s="58"/>
      <c r="D166" s="59"/>
      <c r="E166" s="66"/>
    </row>
    <row r="167" spans="2:6">
      <c r="B167" s="53" t="s">
        <v>310</v>
      </c>
      <c r="C167" s="54" t="s">
        <v>311</v>
      </c>
      <c r="D167" s="54" t="s">
        <v>312</v>
      </c>
      <c r="E167" s="62" t="s">
        <v>313</v>
      </c>
    </row>
    <row r="168" spans="2:6" ht="15">
      <c r="B168" s="68" t="s">
        <v>331</v>
      </c>
      <c r="C168" s="101" t="s">
        <v>332</v>
      </c>
      <c r="D168" s="102">
        <f>Summary!K11</f>
        <v>4200</v>
      </c>
      <c r="E168" s="70" t="s">
        <v>333</v>
      </c>
    </row>
    <row r="169" spans="2:6" ht="15">
      <c r="B169" s="67" t="s">
        <v>334</v>
      </c>
      <c r="C169" s="101" t="s">
        <v>335</v>
      </c>
      <c r="D169" s="103">
        <v>0.02</v>
      </c>
      <c r="E169" s="70" t="s">
        <v>316</v>
      </c>
    </row>
    <row r="170" spans="2:6" ht="16">
      <c r="B170" s="105" t="s">
        <v>336</v>
      </c>
      <c r="C170" t="s">
        <v>337</v>
      </c>
      <c r="D170" s="103">
        <v>0.05</v>
      </c>
      <c r="E170" s="70" t="s">
        <v>316</v>
      </c>
    </row>
    <row r="171" spans="2:6">
      <c r="B171" s="63" t="s">
        <v>338</v>
      </c>
      <c r="C171" s="64" t="s">
        <v>339</v>
      </c>
      <c r="D171" s="65">
        <f>D168*(1-D169)*(1-D170)</f>
        <v>3910.2</v>
      </c>
      <c r="E171" s="66" t="s">
        <v>333</v>
      </c>
      <c r="F171" s="27">
        <f>D168-D171</f>
        <v>289.80000000000018</v>
      </c>
    </row>
    <row r="172" spans="2:6">
      <c r="B172" s="188" t="s">
        <v>340</v>
      </c>
      <c r="C172" s="189"/>
      <c r="D172" s="190"/>
      <c r="E172" s="191"/>
    </row>
    <row r="173" spans="2:6">
      <c r="B173" s="13" t="s">
        <v>310</v>
      </c>
      <c r="C173" s="49" t="s">
        <v>311</v>
      </c>
      <c r="D173" s="49" t="s">
        <v>312</v>
      </c>
      <c r="E173" s="14" t="s">
        <v>313</v>
      </c>
    </row>
    <row r="174" spans="2:6">
      <c r="B174" s="192" t="s">
        <v>341</v>
      </c>
      <c r="C174" s="190" t="s">
        <v>342</v>
      </c>
      <c r="D174" s="193">
        <f>'GS7482'!E37</f>
        <v>5448</v>
      </c>
      <c r="E174" s="191" t="s">
        <v>333</v>
      </c>
    </row>
    <row r="175" spans="2:6" s="187" customFormat="1">
      <c r="B175" s="186"/>
      <c r="C175" s="186"/>
      <c r="D175" s="186"/>
      <c r="E175" s="186"/>
    </row>
    <row r="176" spans="2:6">
      <c r="B176" s="196"/>
      <c r="C176" s="196"/>
      <c r="D176" s="196"/>
      <c r="E176" s="196"/>
    </row>
    <row r="177" spans="2:5" ht="15.5">
      <c r="B177" s="45" t="s">
        <v>350</v>
      </c>
      <c r="E177" s="73"/>
    </row>
    <row r="178" spans="2:5">
      <c r="B178" s="46" t="s">
        <v>309</v>
      </c>
      <c r="C178" s="47"/>
      <c r="D178" s="48"/>
      <c r="E178" s="60"/>
    </row>
    <row r="179" spans="2:5">
      <c r="B179" s="13" t="s">
        <v>310</v>
      </c>
      <c r="C179" s="49" t="s">
        <v>311</v>
      </c>
      <c r="D179" s="49" t="s">
        <v>312</v>
      </c>
      <c r="E179" s="14" t="s">
        <v>313</v>
      </c>
    </row>
    <row r="180" spans="2:5" ht="16">
      <c r="B180" s="106" t="s">
        <v>314</v>
      </c>
      <c r="C180" s="101" t="s">
        <v>315</v>
      </c>
      <c r="D180" s="107">
        <v>0.88</v>
      </c>
      <c r="E180" s="70" t="s">
        <v>316</v>
      </c>
    </row>
    <row r="181" spans="2:5" ht="16">
      <c r="B181" s="105" t="s">
        <v>317</v>
      </c>
      <c r="C181" s="101" t="s">
        <v>318</v>
      </c>
      <c r="D181" s="107">
        <f>$D$6</f>
        <v>0.26</v>
      </c>
      <c r="E181" s="70" t="s">
        <v>316</v>
      </c>
    </row>
    <row r="182" spans="2:5" ht="16.5">
      <c r="B182" s="109" t="s">
        <v>319</v>
      </c>
      <c r="C182" s="47" t="s">
        <v>320</v>
      </c>
      <c r="D182" s="108">
        <f>(D181-D180)/D180</f>
        <v>-0.70454545454545459</v>
      </c>
      <c r="E182" s="60" t="s">
        <v>316</v>
      </c>
    </row>
    <row r="183" spans="2:5">
      <c r="B183" s="50" t="s">
        <v>321</v>
      </c>
      <c r="C183" s="51"/>
      <c r="D183" s="52"/>
      <c r="E183" s="61"/>
    </row>
    <row r="184" spans="2:5">
      <c r="B184" s="53" t="s">
        <v>310</v>
      </c>
      <c r="C184" s="54" t="s">
        <v>311</v>
      </c>
      <c r="D184" s="54" t="s">
        <v>313</v>
      </c>
      <c r="E184" s="62" t="s">
        <v>312</v>
      </c>
    </row>
    <row r="185" spans="2:5">
      <c r="B185" s="67" t="s">
        <v>322</v>
      </c>
      <c r="C185" s="101" t="s">
        <v>323</v>
      </c>
      <c r="D185" s="104">
        <v>73.760330578512395</v>
      </c>
      <c r="E185" s="69" t="s">
        <v>324</v>
      </c>
    </row>
    <row r="186" spans="2:5">
      <c r="B186" s="67" t="s">
        <v>325</v>
      </c>
      <c r="C186" s="101" t="s">
        <v>326</v>
      </c>
      <c r="D186" s="104">
        <f>$D$11</f>
        <v>28.8</v>
      </c>
      <c r="E186" s="70" t="s">
        <v>324</v>
      </c>
    </row>
    <row r="187" spans="2:5" ht="16.5">
      <c r="B187" s="55" t="s">
        <v>327</v>
      </c>
      <c r="C187" s="56" t="s">
        <v>328</v>
      </c>
      <c r="D187" s="71">
        <f>(D185-D186)/D185</f>
        <v>0.60954621848739499</v>
      </c>
      <c r="E187" s="72" t="s">
        <v>316</v>
      </c>
    </row>
    <row r="188" spans="2:5">
      <c r="B188" s="57" t="s">
        <v>329</v>
      </c>
      <c r="C188" s="58"/>
      <c r="D188" s="59"/>
      <c r="E188" s="66"/>
    </row>
    <row r="189" spans="2:5">
      <c r="B189" s="53" t="s">
        <v>310</v>
      </c>
      <c r="C189" s="54" t="s">
        <v>311</v>
      </c>
      <c r="D189" s="54" t="s">
        <v>312</v>
      </c>
      <c r="E189" s="62" t="s">
        <v>313</v>
      </c>
    </row>
    <row r="190" spans="2:5" ht="15">
      <c r="B190" s="68" t="s">
        <v>331</v>
      </c>
      <c r="C190" s="101" t="s">
        <v>332</v>
      </c>
      <c r="D190" s="102">
        <f>Summary!K12</f>
        <v>4200</v>
      </c>
      <c r="E190" s="70" t="s">
        <v>333</v>
      </c>
    </row>
    <row r="191" spans="2:5" ht="15">
      <c r="B191" s="67" t="s">
        <v>334</v>
      </c>
      <c r="C191" s="101" t="s">
        <v>335</v>
      </c>
      <c r="D191" s="103">
        <v>0.02</v>
      </c>
      <c r="E191" s="70" t="s">
        <v>316</v>
      </c>
    </row>
    <row r="192" spans="2:5" ht="16">
      <c r="B192" s="105" t="s">
        <v>336</v>
      </c>
      <c r="C192" t="s">
        <v>337</v>
      </c>
      <c r="D192" s="103">
        <v>0.05</v>
      </c>
      <c r="E192" s="70" t="s">
        <v>316</v>
      </c>
    </row>
    <row r="193" spans="2:6">
      <c r="B193" s="63" t="s">
        <v>338</v>
      </c>
      <c r="C193" s="64" t="s">
        <v>339</v>
      </c>
      <c r="D193" s="65">
        <f>D190*(1-D191)*(1-D192)</f>
        <v>3910.2</v>
      </c>
      <c r="E193" s="66" t="s">
        <v>333</v>
      </c>
      <c r="F193" s="27">
        <f>D190-D193</f>
        <v>289.80000000000018</v>
      </c>
    </row>
    <row r="194" spans="2:6">
      <c r="B194" s="188" t="s">
        <v>340</v>
      </c>
      <c r="C194" s="189"/>
      <c r="D194" s="190"/>
      <c r="E194" s="191"/>
    </row>
    <row r="195" spans="2:6">
      <c r="B195" s="13" t="s">
        <v>310</v>
      </c>
      <c r="C195" s="49" t="s">
        <v>311</v>
      </c>
      <c r="D195" s="49" t="s">
        <v>312</v>
      </c>
      <c r="E195" s="14" t="s">
        <v>313</v>
      </c>
    </row>
    <row r="196" spans="2:6">
      <c r="B196" s="192" t="s">
        <v>341</v>
      </c>
      <c r="C196" s="190" t="s">
        <v>342</v>
      </c>
      <c r="D196" s="193">
        <f>'GS7483'!E37</f>
        <v>5631</v>
      </c>
      <c r="E196" s="191" t="s">
        <v>333</v>
      </c>
    </row>
    <row r="197" spans="2:6" s="187" customFormat="1">
      <c r="B197" s="186"/>
      <c r="C197" s="186"/>
      <c r="D197" s="186"/>
      <c r="E197" s="186"/>
    </row>
    <row r="198" spans="2:6">
      <c r="B198" s="196"/>
      <c r="C198" s="196"/>
      <c r="D198" s="196"/>
      <c r="E198" s="196"/>
    </row>
    <row r="199" spans="2:6" ht="15.5">
      <c r="B199" s="45" t="s">
        <v>351</v>
      </c>
    </row>
    <row r="200" spans="2:6">
      <c r="B200" s="46" t="s">
        <v>309</v>
      </c>
      <c r="C200" s="47"/>
      <c r="D200" s="48"/>
      <c r="E200" s="60"/>
    </row>
    <row r="201" spans="2:6">
      <c r="B201" s="13" t="s">
        <v>310</v>
      </c>
      <c r="C201" s="49" t="s">
        <v>311</v>
      </c>
      <c r="D201" s="49" t="s">
        <v>312</v>
      </c>
      <c r="E201" s="14" t="s">
        <v>313</v>
      </c>
    </row>
    <row r="202" spans="2:6" ht="16">
      <c r="B202" s="106" t="s">
        <v>314</v>
      </c>
      <c r="C202" s="101" t="s">
        <v>315</v>
      </c>
      <c r="D202" s="107">
        <v>0.88</v>
      </c>
      <c r="E202" s="70" t="s">
        <v>316</v>
      </c>
    </row>
    <row r="203" spans="2:6" ht="16">
      <c r="B203" s="105" t="s">
        <v>317</v>
      </c>
      <c r="C203" s="101" t="s">
        <v>318</v>
      </c>
      <c r="D203" s="107">
        <f>$D$6</f>
        <v>0.26</v>
      </c>
      <c r="E203" s="70" t="s">
        <v>316</v>
      </c>
    </row>
    <row r="204" spans="2:6" ht="16.5">
      <c r="B204" s="109" t="s">
        <v>319</v>
      </c>
      <c r="C204" s="47" t="s">
        <v>320</v>
      </c>
      <c r="D204" s="108">
        <f>(D203-D202)/D202</f>
        <v>-0.70454545454545459</v>
      </c>
      <c r="E204" s="60" t="s">
        <v>316</v>
      </c>
    </row>
    <row r="205" spans="2:6">
      <c r="B205" s="50" t="s">
        <v>321</v>
      </c>
      <c r="C205" s="51"/>
      <c r="D205" s="52"/>
      <c r="E205" s="61"/>
    </row>
    <row r="206" spans="2:6">
      <c r="B206" s="53" t="s">
        <v>310</v>
      </c>
      <c r="C206" s="54" t="s">
        <v>311</v>
      </c>
      <c r="D206" s="54" t="s">
        <v>313</v>
      </c>
      <c r="E206" s="62" t="s">
        <v>312</v>
      </c>
    </row>
    <row r="207" spans="2:6">
      <c r="B207" s="67" t="s">
        <v>322</v>
      </c>
      <c r="C207" s="101" t="s">
        <v>323</v>
      </c>
      <c r="D207" s="104">
        <v>73.760330578512395</v>
      </c>
      <c r="E207" s="69" t="s">
        <v>324</v>
      </c>
    </row>
    <row r="208" spans="2:6">
      <c r="B208" s="67" t="s">
        <v>325</v>
      </c>
      <c r="C208" s="101" t="s">
        <v>326</v>
      </c>
      <c r="D208" s="104">
        <f>$D$11</f>
        <v>28.8</v>
      </c>
      <c r="E208" s="70" t="s">
        <v>324</v>
      </c>
    </row>
    <row r="209" spans="2:6" ht="16.5">
      <c r="B209" s="55" t="s">
        <v>327</v>
      </c>
      <c r="C209" s="56" t="s">
        <v>328</v>
      </c>
      <c r="D209" s="71">
        <f>(D207-D208)/D207</f>
        <v>0.60954621848739499</v>
      </c>
      <c r="E209" s="72" t="s">
        <v>316</v>
      </c>
    </row>
    <row r="210" spans="2:6">
      <c r="B210" s="57" t="s">
        <v>329</v>
      </c>
      <c r="C210" s="58"/>
      <c r="D210" s="59"/>
      <c r="E210" s="66"/>
    </row>
    <row r="211" spans="2:6">
      <c r="B211" s="53" t="s">
        <v>310</v>
      </c>
      <c r="C211" s="54" t="s">
        <v>311</v>
      </c>
      <c r="D211" s="54" t="s">
        <v>312</v>
      </c>
      <c r="E211" s="62" t="s">
        <v>313</v>
      </c>
    </row>
    <row r="212" spans="2:6" ht="15">
      <c r="B212" s="68" t="s">
        <v>331</v>
      </c>
      <c r="C212" s="101" t="s">
        <v>332</v>
      </c>
      <c r="D212" s="102">
        <f>Summary!K13</f>
        <v>4200</v>
      </c>
      <c r="E212" s="70" t="s">
        <v>333</v>
      </c>
    </row>
    <row r="213" spans="2:6" ht="15">
      <c r="B213" s="67" t="s">
        <v>334</v>
      </c>
      <c r="C213" s="101" t="s">
        <v>335</v>
      </c>
      <c r="D213" s="103">
        <v>0.02</v>
      </c>
      <c r="E213" s="70" t="s">
        <v>316</v>
      </c>
    </row>
    <row r="214" spans="2:6" ht="16">
      <c r="B214" s="105" t="s">
        <v>336</v>
      </c>
      <c r="C214" t="s">
        <v>337</v>
      </c>
      <c r="D214" s="103">
        <v>0.05</v>
      </c>
      <c r="E214" s="70" t="s">
        <v>316</v>
      </c>
    </row>
    <row r="215" spans="2:6">
      <c r="B215" s="63" t="s">
        <v>338</v>
      </c>
      <c r="C215" s="64" t="s">
        <v>339</v>
      </c>
      <c r="D215" s="65">
        <f>D212*(1-D213)*(1-D214)</f>
        <v>3910.2</v>
      </c>
      <c r="E215" s="66" t="s">
        <v>333</v>
      </c>
      <c r="F215" s="27">
        <f>D212-D215</f>
        <v>289.80000000000018</v>
      </c>
    </row>
    <row r="216" spans="2:6">
      <c r="B216" s="188" t="s">
        <v>340</v>
      </c>
      <c r="C216" s="189"/>
      <c r="D216" s="190"/>
      <c r="E216" s="191"/>
    </row>
    <row r="217" spans="2:6">
      <c r="B217" s="13" t="s">
        <v>310</v>
      </c>
      <c r="C217" s="49" t="s">
        <v>311</v>
      </c>
      <c r="D217" s="49" t="s">
        <v>312</v>
      </c>
      <c r="E217" s="14" t="s">
        <v>313</v>
      </c>
    </row>
    <row r="218" spans="2:6">
      <c r="B218" s="192" t="s">
        <v>341</v>
      </c>
      <c r="C218" s="190" t="s">
        <v>342</v>
      </c>
      <c r="D218" s="193">
        <f>'GS7484'!E37</f>
        <v>5445</v>
      </c>
      <c r="E218" s="191" t="s">
        <v>333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6AAAA-22DC-4497-8745-3C41A3780132}">
  <dimension ref="B2:AP37"/>
  <sheetViews>
    <sheetView showGridLines="0" topLeftCell="W17" zoomScale="70" zoomScaleNormal="70" workbookViewId="0">
      <selection activeCell="AG29" sqref="AG29:AP29"/>
    </sheetView>
  </sheetViews>
  <sheetFormatPr defaultRowHeight="14.5"/>
  <cols>
    <col min="2" max="2" width="56.81640625" bestFit="1" customWidth="1"/>
    <col min="3" max="3" width="15.7265625" bestFit="1" customWidth="1"/>
    <col min="4" max="4" width="10" bestFit="1" customWidth="1"/>
    <col min="5" max="14" width="11.1796875" bestFit="1" customWidth="1"/>
    <col min="16" max="16" width="56.81640625" bestFit="1" customWidth="1"/>
    <col min="30" max="30" width="65.81640625" bestFit="1" customWidth="1"/>
  </cols>
  <sheetData>
    <row r="2" spans="2:42" ht="14.5" customHeight="1">
      <c r="B2" s="222" t="s">
        <v>442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P2" s="222" t="s">
        <v>443</v>
      </c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D2" s="222" t="s">
        <v>444</v>
      </c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</row>
    <row r="4" spans="2:42">
      <c r="B4" s="220" t="s">
        <v>352</v>
      </c>
      <c r="C4" s="221"/>
      <c r="D4" s="221"/>
      <c r="E4" s="166" t="s">
        <v>10</v>
      </c>
      <c r="F4" s="166" t="s">
        <v>11</v>
      </c>
      <c r="G4" s="166" t="s">
        <v>12</v>
      </c>
      <c r="H4" s="166" t="s">
        <v>13</v>
      </c>
      <c r="I4" s="166" t="s">
        <v>14</v>
      </c>
      <c r="J4" s="166" t="s">
        <v>15</v>
      </c>
      <c r="K4" s="166" t="s">
        <v>16</v>
      </c>
      <c r="L4" s="166" t="s">
        <v>17</v>
      </c>
      <c r="M4" s="166" t="s">
        <v>18</v>
      </c>
      <c r="N4" s="167" t="s">
        <v>19</v>
      </c>
      <c r="P4" s="220" t="s">
        <v>352</v>
      </c>
      <c r="Q4" s="221"/>
      <c r="R4" s="221"/>
      <c r="S4" s="166" t="s">
        <v>10</v>
      </c>
      <c r="T4" s="166" t="s">
        <v>11</v>
      </c>
      <c r="U4" s="166" t="s">
        <v>12</v>
      </c>
      <c r="V4" s="166" t="s">
        <v>13</v>
      </c>
      <c r="W4" s="166" t="s">
        <v>14</v>
      </c>
      <c r="X4" s="166" t="s">
        <v>15</v>
      </c>
      <c r="Y4" s="166" t="s">
        <v>16</v>
      </c>
      <c r="Z4" s="166" t="s">
        <v>17</v>
      </c>
      <c r="AA4" s="166" t="s">
        <v>18</v>
      </c>
      <c r="AB4" s="167" t="s">
        <v>19</v>
      </c>
      <c r="AD4" s="220" t="s">
        <v>352</v>
      </c>
      <c r="AE4" s="221"/>
      <c r="AF4" s="221"/>
      <c r="AG4" s="166" t="s">
        <v>10</v>
      </c>
      <c r="AH4" s="166" t="s">
        <v>11</v>
      </c>
      <c r="AI4" s="166" t="s">
        <v>12</v>
      </c>
      <c r="AJ4" s="166" t="s">
        <v>13</v>
      </c>
      <c r="AK4" s="166" t="s">
        <v>14</v>
      </c>
      <c r="AL4" s="166" t="s">
        <v>15</v>
      </c>
      <c r="AM4" s="166" t="s">
        <v>16</v>
      </c>
      <c r="AN4" s="166" t="s">
        <v>17</v>
      </c>
      <c r="AO4" s="166" t="s">
        <v>18</v>
      </c>
      <c r="AP4" s="167" t="s">
        <v>19</v>
      </c>
    </row>
    <row r="5" spans="2:42">
      <c r="B5" s="1" t="s">
        <v>353</v>
      </c>
      <c r="C5" s="1" t="s">
        <v>354</v>
      </c>
      <c r="D5" s="1" t="s">
        <v>355</v>
      </c>
      <c r="E5" s="38">
        <v>0.02</v>
      </c>
      <c r="F5" s="38">
        <v>0.02</v>
      </c>
      <c r="G5" s="38">
        <v>0.02</v>
      </c>
      <c r="H5" s="38">
        <v>0.02</v>
      </c>
      <c r="I5" s="38">
        <v>0.02</v>
      </c>
      <c r="J5" s="38">
        <v>0.02</v>
      </c>
      <c r="K5" s="38">
        <v>0.02</v>
      </c>
      <c r="L5" s="38">
        <v>0.02</v>
      </c>
      <c r="M5" s="38">
        <v>0.02</v>
      </c>
      <c r="N5" s="38">
        <v>0.02</v>
      </c>
      <c r="P5" s="1" t="s">
        <v>353</v>
      </c>
      <c r="Q5" s="1" t="s">
        <v>354</v>
      </c>
      <c r="R5" s="1" t="s">
        <v>355</v>
      </c>
      <c r="S5" s="38">
        <v>0.02</v>
      </c>
      <c r="T5" s="38">
        <v>0.02</v>
      </c>
      <c r="U5" s="38">
        <v>0.02</v>
      </c>
      <c r="V5" s="38">
        <v>0.02</v>
      </c>
      <c r="W5" s="38">
        <v>0.02</v>
      </c>
      <c r="X5" s="38">
        <v>0.02</v>
      </c>
      <c r="Y5" s="38">
        <v>0.02</v>
      </c>
      <c r="Z5" s="38">
        <v>0.02</v>
      </c>
      <c r="AA5" s="38">
        <v>0.02</v>
      </c>
      <c r="AB5" s="38">
        <v>0.02</v>
      </c>
      <c r="AD5" s="1" t="s">
        <v>353</v>
      </c>
      <c r="AE5" s="1" t="s">
        <v>354</v>
      </c>
      <c r="AF5" s="1" t="s">
        <v>355</v>
      </c>
      <c r="AG5" s="38">
        <v>0.02</v>
      </c>
      <c r="AH5" s="38">
        <v>0.02</v>
      </c>
      <c r="AI5" s="38">
        <v>0.02</v>
      </c>
      <c r="AJ5" s="38">
        <v>0.02</v>
      </c>
      <c r="AK5" s="38">
        <v>0.02</v>
      </c>
      <c r="AL5" s="38">
        <v>0.02</v>
      </c>
      <c r="AM5" s="38">
        <v>0.02</v>
      </c>
      <c r="AN5" s="38">
        <v>0.02</v>
      </c>
      <c r="AO5" s="38">
        <v>0.02</v>
      </c>
      <c r="AP5" s="38">
        <v>0.02</v>
      </c>
    </row>
    <row r="6" spans="2:42">
      <c r="B6" s="1" t="s">
        <v>356</v>
      </c>
      <c r="C6" s="1" t="s">
        <v>357</v>
      </c>
      <c r="D6" s="1"/>
      <c r="E6" s="4">
        <f>'Total PTDs'!$U17</f>
        <v>2436625</v>
      </c>
      <c r="F6" s="4">
        <f>'Total PTDs'!$U32</f>
        <v>2459478</v>
      </c>
      <c r="G6" s="4">
        <f>'Total PTDs'!$U47</f>
        <v>2489525</v>
      </c>
      <c r="H6" s="4">
        <f>'Total PTDs'!$U61</f>
        <v>2526054</v>
      </c>
      <c r="I6" s="4">
        <f>'Total PTDs'!$U76</f>
        <v>1797224</v>
      </c>
      <c r="J6" s="4">
        <f>'Total PTDs'!$U91</f>
        <v>2486352</v>
      </c>
      <c r="K6" s="4">
        <f>'Total PTDs'!$U106</f>
        <v>2268356</v>
      </c>
      <c r="L6" s="4">
        <f>'Total PTDs'!$U122</f>
        <v>2407198</v>
      </c>
      <c r="M6" s="4">
        <f>'Total PTDs'!$U138</f>
        <v>2714365</v>
      </c>
      <c r="N6" s="4">
        <f>'Total PTDs'!$U154</f>
        <v>2537652</v>
      </c>
      <c r="P6" s="1" t="s">
        <v>356</v>
      </c>
      <c r="Q6" s="1" t="s">
        <v>357</v>
      </c>
      <c r="R6" s="1"/>
      <c r="S6" s="4">
        <f>'Total PTDs'!$S17</f>
        <v>1442335</v>
      </c>
      <c r="T6" s="4">
        <f>'Total PTDs'!$S32</f>
        <v>1476918</v>
      </c>
      <c r="U6" s="4">
        <f>'Total PTDs'!$S47</f>
        <v>1498271</v>
      </c>
      <c r="V6" s="4">
        <f>'Total PTDs'!$S61</f>
        <v>1532454</v>
      </c>
      <c r="W6" s="4">
        <f>'Total PTDs'!$S76</f>
        <v>908918</v>
      </c>
      <c r="X6" s="4">
        <f>'Total PTDs'!$S91</f>
        <v>1498824</v>
      </c>
      <c r="Y6" s="4">
        <f>'Total PTDs'!$S106</f>
        <v>1257092</v>
      </c>
      <c r="Z6" s="4">
        <f>'Total PTDs'!$S122</f>
        <v>1411528</v>
      </c>
      <c r="AA6" s="4">
        <f>'Total PTDs'!$S138</f>
        <v>1604983</v>
      </c>
      <c r="AB6" s="4">
        <f>'Total PTDs'!$S154</f>
        <v>1473534</v>
      </c>
      <c r="AD6" s="1" t="s">
        <v>356</v>
      </c>
      <c r="AE6" s="1" t="s">
        <v>357</v>
      </c>
      <c r="AF6" s="1"/>
      <c r="AG6" s="4">
        <f>'Total PTDs'!$T17</f>
        <v>994290</v>
      </c>
      <c r="AH6" s="4">
        <f>'Total PTDs'!$T32</f>
        <v>982560</v>
      </c>
      <c r="AI6" s="4">
        <f>'Total PTDs'!$T47</f>
        <v>991254</v>
      </c>
      <c r="AJ6" s="4">
        <f>'Total PTDs'!$T61</f>
        <v>993600</v>
      </c>
      <c r="AK6" s="4">
        <f>'Total PTDs'!$T76</f>
        <v>888306</v>
      </c>
      <c r="AL6" s="4">
        <f>'Total PTDs'!$T91</f>
        <v>987528</v>
      </c>
      <c r="AM6" s="4">
        <f>'Total PTDs'!$T106</f>
        <v>1011264</v>
      </c>
      <c r="AN6" s="4">
        <f>'Total PTDs'!$T122</f>
        <v>995670</v>
      </c>
      <c r="AO6" s="4">
        <f>'Total PTDs'!$T138</f>
        <v>1109382</v>
      </c>
      <c r="AP6" s="4">
        <f>'Total PTDs'!$T154</f>
        <v>1064118</v>
      </c>
    </row>
    <row r="7" spans="2:42">
      <c r="B7" s="1" t="s">
        <v>358</v>
      </c>
      <c r="C7" s="1" t="s">
        <v>359</v>
      </c>
      <c r="D7" s="1" t="s">
        <v>360</v>
      </c>
      <c r="E7" s="12">
        <v>4.0000000000000002E-4</v>
      </c>
      <c r="F7" s="12">
        <v>4.0000000000000002E-4</v>
      </c>
      <c r="G7" s="12">
        <v>4.0000000000000002E-4</v>
      </c>
      <c r="H7" s="12">
        <v>4.0000000000000002E-4</v>
      </c>
      <c r="I7" s="12">
        <v>4.0000000000000002E-4</v>
      </c>
      <c r="J7" s="12">
        <v>4.0000000000000002E-4</v>
      </c>
      <c r="K7" s="12">
        <v>4.0000000000000002E-4</v>
      </c>
      <c r="L7" s="12">
        <v>4.0000000000000002E-4</v>
      </c>
      <c r="M7" s="12">
        <v>4.0000000000000002E-4</v>
      </c>
      <c r="N7" s="12">
        <v>4.0000000000000002E-4</v>
      </c>
      <c r="P7" s="1" t="s">
        <v>358</v>
      </c>
      <c r="Q7" s="1" t="s">
        <v>359</v>
      </c>
      <c r="R7" s="1" t="s">
        <v>360</v>
      </c>
      <c r="S7" s="12">
        <v>4.0000000000000002E-4</v>
      </c>
      <c r="T7" s="12">
        <v>4.0000000000000002E-4</v>
      </c>
      <c r="U7" s="12">
        <v>4.0000000000000002E-4</v>
      </c>
      <c r="V7" s="12">
        <v>4.0000000000000002E-4</v>
      </c>
      <c r="W7" s="12">
        <v>4.0000000000000002E-4</v>
      </c>
      <c r="X7" s="12">
        <v>4.0000000000000002E-4</v>
      </c>
      <c r="Y7" s="12">
        <v>4.0000000000000002E-4</v>
      </c>
      <c r="Z7" s="12">
        <v>4.0000000000000002E-4</v>
      </c>
      <c r="AA7" s="12">
        <v>4.0000000000000002E-4</v>
      </c>
      <c r="AB7" s="12">
        <v>4.0000000000000002E-4</v>
      </c>
      <c r="AD7" s="1" t="s">
        <v>358</v>
      </c>
      <c r="AE7" s="1" t="s">
        <v>359</v>
      </c>
      <c r="AF7" s="1" t="s">
        <v>360</v>
      </c>
      <c r="AG7" s="12">
        <v>4.0000000000000002E-4</v>
      </c>
      <c r="AH7" s="12">
        <v>4.0000000000000002E-4</v>
      </c>
      <c r="AI7" s="12">
        <v>4.0000000000000002E-4</v>
      </c>
      <c r="AJ7" s="12">
        <v>4.0000000000000002E-4</v>
      </c>
      <c r="AK7" s="12">
        <v>4.0000000000000002E-4</v>
      </c>
      <c r="AL7" s="12">
        <v>4.0000000000000002E-4</v>
      </c>
      <c r="AM7" s="12">
        <v>4.0000000000000002E-4</v>
      </c>
      <c r="AN7" s="12">
        <v>4.0000000000000002E-4</v>
      </c>
      <c r="AO7" s="12">
        <v>4.0000000000000002E-4</v>
      </c>
      <c r="AP7" s="12">
        <v>4.0000000000000002E-4</v>
      </c>
    </row>
    <row r="8" spans="2:42" ht="29">
      <c r="B8" s="2" t="s">
        <v>361</v>
      </c>
      <c r="C8" s="1" t="s">
        <v>362</v>
      </c>
      <c r="D8" s="1" t="s">
        <v>363</v>
      </c>
      <c r="E8" s="1">
        <v>11.64</v>
      </c>
      <c r="F8" s="1">
        <v>11.64</v>
      </c>
      <c r="G8" s="1">
        <v>11.64</v>
      </c>
      <c r="H8" s="1">
        <v>11.64</v>
      </c>
      <c r="I8" s="1">
        <v>11.64</v>
      </c>
      <c r="J8" s="1">
        <v>11.64</v>
      </c>
      <c r="K8" s="1">
        <v>11.64</v>
      </c>
      <c r="L8" s="1">
        <v>11.64</v>
      </c>
      <c r="M8" s="1">
        <v>11.64</v>
      </c>
      <c r="N8" s="1">
        <v>11.64</v>
      </c>
      <c r="P8" s="2" t="s">
        <v>361</v>
      </c>
      <c r="Q8" s="1" t="s">
        <v>362</v>
      </c>
      <c r="R8" s="1" t="s">
        <v>363</v>
      </c>
      <c r="S8" s="1">
        <v>11.64</v>
      </c>
      <c r="T8" s="1">
        <v>11.64</v>
      </c>
      <c r="U8" s="1">
        <v>11.64</v>
      </c>
      <c r="V8" s="1">
        <v>11.64</v>
      </c>
      <c r="W8" s="1">
        <v>11.64</v>
      </c>
      <c r="X8" s="1">
        <v>11.64</v>
      </c>
      <c r="Y8" s="1">
        <v>11.64</v>
      </c>
      <c r="Z8" s="1">
        <v>11.64</v>
      </c>
      <c r="AA8" s="1">
        <v>11.64</v>
      </c>
      <c r="AB8" s="1">
        <v>11.64</v>
      </c>
      <c r="AD8" s="2" t="s">
        <v>361</v>
      </c>
      <c r="AE8" s="1" t="s">
        <v>362</v>
      </c>
      <c r="AF8" s="1" t="s">
        <v>363</v>
      </c>
      <c r="AG8" s="1">
        <v>11.64</v>
      </c>
      <c r="AH8" s="1">
        <v>11.64</v>
      </c>
      <c r="AI8" s="1">
        <v>11.64</v>
      </c>
      <c r="AJ8" s="1">
        <v>11.64</v>
      </c>
      <c r="AK8" s="1">
        <v>11.64</v>
      </c>
      <c r="AL8" s="1">
        <v>11.64</v>
      </c>
      <c r="AM8" s="1">
        <v>11.64</v>
      </c>
      <c r="AN8" s="1">
        <v>11.64</v>
      </c>
      <c r="AO8" s="1">
        <v>11.64</v>
      </c>
      <c r="AP8" s="1">
        <v>11.64</v>
      </c>
    </row>
    <row r="9" spans="2:42" ht="29">
      <c r="B9" s="2" t="s">
        <v>364</v>
      </c>
      <c r="C9" s="1" t="s">
        <v>365</v>
      </c>
      <c r="D9" s="1" t="s">
        <v>363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P9" s="2" t="s">
        <v>364</v>
      </c>
      <c r="Q9" s="1" t="s">
        <v>365</v>
      </c>
      <c r="R9" s="1" t="s">
        <v>363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D9" s="2" t="s">
        <v>364</v>
      </c>
      <c r="AE9" s="1" t="s">
        <v>365</v>
      </c>
      <c r="AF9" s="1" t="s">
        <v>363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</row>
    <row r="10" spans="2:42">
      <c r="B10" s="1" t="s">
        <v>366</v>
      </c>
      <c r="C10" s="1" t="s">
        <v>367</v>
      </c>
      <c r="D10" s="1" t="s">
        <v>368</v>
      </c>
      <c r="E10" s="4">
        <f t="shared" ref="E10:N10" si="0">(1-E5)*E6*E7*(E8+E9)</f>
        <v>11118.027480000001</v>
      </c>
      <c r="F10" s="4">
        <f t="shared" si="0"/>
        <v>11222.30297664</v>
      </c>
      <c r="G10" s="4">
        <f t="shared" si="0"/>
        <v>11359.403832000002</v>
      </c>
      <c r="H10" s="4">
        <f t="shared" si="0"/>
        <v>11526.08127552</v>
      </c>
      <c r="I10" s="4">
        <f t="shared" si="0"/>
        <v>8200.5174451200019</v>
      </c>
      <c r="J10" s="4">
        <f t="shared" si="0"/>
        <v>11344.925813760001</v>
      </c>
      <c r="K10" s="4">
        <f t="shared" si="0"/>
        <v>10350.236225280001</v>
      </c>
      <c r="L10" s="4">
        <f t="shared" si="0"/>
        <v>10983.755610240001</v>
      </c>
      <c r="M10" s="4">
        <f t="shared" si="0"/>
        <v>12385.321771200001</v>
      </c>
      <c r="N10" s="4">
        <f t="shared" si="0"/>
        <v>11579.001557760001</v>
      </c>
      <c r="P10" s="1" t="s">
        <v>366</v>
      </c>
      <c r="Q10" s="1" t="s">
        <v>367</v>
      </c>
      <c r="R10" s="1" t="s">
        <v>368</v>
      </c>
      <c r="S10" s="4">
        <f t="shared" ref="S10:AB10" si="1">(1-S5)*S6*S7*(S8+S9)</f>
        <v>6581.2015248000016</v>
      </c>
      <c r="T10" s="4">
        <f t="shared" si="1"/>
        <v>6738.9996038400004</v>
      </c>
      <c r="U10" s="4">
        <f t="shared" si="1"/>
        <v>6836.4307804800019</v>
      </c>
      <c r="V10" s="4">
        <f t="shared" si="1"/>
        <v>6992.4037075199994</v>
      </c>
      <c r="W10" s="4">
        <f t="shared" si="1"/>
        <v>4147.2837638400006</v>
      </c>
      <c r="X10" s="4">
        <f t="shared" si="1"/>
        <v>6838.9540531200009</v>
      </c>
      <c r="Y10" s="4">
        <f t="shared" si="1"/>
        <v>5735.95994496</v>
      </c>
      <c r="Z10" s="4">
        <f t="shared" si="1"/>
        <v>6440.6328806400006</v>
      </c>
      <c r="AA10" s="4">
        <f t="shared" si="1"/>
        <v>7323.3448310400017</v>
      </c>
      <c r="AB10" s="4">
        <f t="shared" si="1"/>
        <v>6723.5588179200013</v>
      </c>
      <c r="AD10" s="1" t="s">
        <v>366</v>
      </c>
      <c r="AE10" s="1" t="s">
        <v>367</v>
      </c>
      <c r="AF10" s="1" t="s">
        <v>368</v>
      </c>
      <c r="AG10" s="4">
        <f t="shared" ref="AG10:AP10" si="2">(1-AG5)*AG6*AG7*(AG8+AG9)</f>
        <v>4536.8259552</v>
      </c>
      <c r="AH10" s="4">
        <f t="shared" si="2"/>
        <v>4483.3033728</v>
      </c>
      <c r="AI10" s="4">
        <f t="shared" si="2"/>
        <v>4522.9730515200008</v>
      </c>
      <c r="AJ10" s="4">
        <f t="shared" si="2"/>
        <v>4533.6775680000001</v>
      </c>
      <c r="AK10" s="4">
        <f t="shared" si="2"/>
        <v>4053.2336812800004</v>
      </c>
      <c r="AL10" s="4">
        <f t="shared" si="2"/>
        <v>4505.97176064</v>
      </c>
      <c r="AM10" s="4">
        <f t="shared" si="2"/>
        <v>4614.2762803200003</v>
      </c>
      <c r="AN10" s="4">
        <f t="shared" si="2"/>
        <v>4543.1227295999997</v>
      </c>
      <c r="AO10" s="4">
        <f t="shared" si="2"/>
        <v>5061.9769401599997</v>
      </c>
      <c r="AP10" s="4">
        <f t="shared" si="2"/>
        <v>4855.4427398400012</v>
      </c>
    </row>
    <row r="12" spans="2:42">
      <c r="B12" s="220" t="s">
        <v>369</v>
      </c>
      <c r="C12" s="221"/>
      <c r="D12" s="221"/>
      <c r="E12" s="168"/>
      <c r="F12" s="168"/>
      <c r="G12" s="168"/>
      <c r="H12" s="168"/>
      <c r="I12" s="168"/>
      <c r="J12" s="168"/>
      <c r="K12" s="168"/>
      <c r="L12" s="168"/>
      <c r="M12" s="168"/>
      <c r="N12" s="169"/>
      <c r="P12" s="220" t="s">
        <v>369</v>
      </c>
      <c r="Q12" s="221"/>
      <c r="R12" s="221"/>
      <c r="S12" s="168"/>
      <c r="T12" s="168"/>
      <c r="U12" s="168"/>
      <c r="V12" s="168"/>
      <c r="W12" s="168"/>
      <c r="X12" s="168"/>
      <c r="Y12" s="168"/>
      <c r="Z12" s="168"/>
      <c r="AA12" s="168"/>
      <c r="AB12" s="169"/>
      <c r="AD12" s="220" t="s">
        <v>369</v>
      </c>
      <c r="AE12" s="221"/>
      <c r="AF12" s="221"/>
      <c r="AG12" s="168"/>
      <c r="AH12" s="168"/>
      <c r="AI12" s="168"/>
      <c r="AJ12" s="168"/>
      <c r="AK12" s="168"/>
      <c r="AL12" s="168"/>
      <c r="AM12" s="168"/>
      <c r="AN12" s="168"/>
      <c r="AO12" s="168"/>
      <c r="AP12" s="169"/>
    </row>
    <row r="13" spans="2:42">
      <c r="B13" s="1" t="s">
        <v>370</v>
      </c>
      <c r="C13" s="1" t="s">
        <v>354</v>
      </c>
      <c r="D13" s="1" t="s">
        <v>355</v>
      </c>
      <c r="E13" s="38">
        <v>0.02</v>
      </c>
      <c r="F13" s="38">
        <v>0.02</v>
      </c>
      <c r="G13" s="38">
        <v>0.02</v>
      </c>
      <c r="H13" s="38">
        <v>0.02</v>
      </c>
      <c r="I13" s="38">
        <v>0.02</v>
      </c>
      <c r="J13" s="38">
        <v>0.02</v>
      </c>
      <c r="K13" s="38">
        <v>0.02</v>
      </c>
      <c r="L13" s="38">
        <v>0.02</v>
      </c>
      <c r="M13" s="38">
        <v>0.02</v>
      </c>
      <c r="N13" s="38">
        <v>0.02</v>
      </c>
      <c r="P13" s="1" t="s">
        <v>370</v>
      </c>
      <c r="Q13" s="1" t="s">
        <v>354</v>
      </c>
      <c r="R13" s="1" t="s">
        <v>355</v>
      </c>
      <c r="S13" s="38">
        <v>0.02</v>
      </c>
      <c r="T13" s="38">
        <v>0.02</v>
      </c>
      <c r="U13" s="38">
        <v>0.02</v>
      </c>
      <c r="V13" s="38">
        <v>0.02</v>
      </c>
      <c r="W13" s="38">
        <v>0.02</v>
      </c>
      <c r="X13" s="38">
        <v>0.02</v>
      </c>
      <c r="Y13" s="38">
        <v>0.02</v>
      </c>
      <c r="Z13" s="38">
        <v>0.02</v>
      </c>
      <c r="AA13" s="38">
        <v>0.02</v>
      </c>
      <c r="AB13" s="38">
        <v>0.02</v>
      </c>
      <c r="AD13" s="1" t="s">
        <v>370</v>
      </c>
      <c r="AE13" s="1" t="s">
        <v>354</v>
      </c>
      <c r="AF13" s="1" t="s">
        <v>355</v>
      </c>
      <c r="AG13" s="38">
        <v>0.02</v>
      </c>
      <c r="AH13" s="38">
        <v>0.02</v>
      </c>
      <c r="AI13" s="38">
        <v>0.02</v>
      </c>
      <c r="AJ13" s="38">
        <v>0.02</v>
      </c>
      <c r="AK13" s="38">
        <v>0.02</v>
      </c>
      <c r="AL13" s="38">
        <v>0.02</v>
      </c>
      <c r="AM13" s="38">
        <v>0.02</v>
      </c>
      <c r="AN13" s="38">
        <v>0.02</v>
      </c>
      <c r="AO13" s="38">
        <v>0.02</v>
      </c>
      <c r="AP13" s="38">
        <v>0.02</v>
      </c>
    </row>
    <row r="14" spans="2:42">
      <c r="B14" s="1" t="s">
        <v>356</v>
      </c>
      <c r="C14" s="1" t="s">
        <v>357</v>
      </c>
      <c r="D14" s="1"/>
      <c r="E14" s="4">
        <f t="shared" ref="E14:N14" si="3">E6</f>
        <v>2436625</v>
      </c>
      <c r="F14" s="4">
        <f t="shared" si="3"/>
        <v>2459478</v>
      </c>
      <c r="G14" s="4">
        <f t="shared" si="3"/>
        <v>2489525</v>
      </c>
      <c r="H14" s="4">
        <f t="shared" si="3"/>
        <v>2526054</v>
      </c>
      <c r="I14" s="4">
        <f t="shared" si="3"/>
        <v>1797224</v>
      </c>
      <c r="J14" s="4">
        <f t="shared" si="3"/>
        <v>2486352</v>
      </c>
      <c r="K14" s="4">
        <f t="shared" si="3"/>
        <v>2268356</v>
      </c>
      <c r="L14" s="4">
        <f t="shared" si="3"/>
        <v>2407198</v>
      </c>
      <c r="M14" s="4">
        <f t="shared" si="3"/>
        <v>2714365</v>
      </c>
      <c r="N14" s="4">
        <f t="shared" si="3"/>
        <v>2537652</v>
      </c>
      <c r="P14" s="1" t="s">
        <v>356</v>
      </c>
      <c r="Q14" s="1" t="s">
        <v>357</v>
      </c>
      <c r="R14" s="1"/>
      <c r="S14" s="4">
        <f t="shared" ref="S14:AB14" si="4">S6</f>
        <v>1442335</v>
      </c>
      <c r="T14" s="4">
        <f t="shared" si="4"/>
        <v>1476918</v>
      </c>
      <c r="U14" s="4">
        <f t="shared" si="4"/>
        <v>1498271</v>
      </c>
      <c r="V14" s="4">
        <f t="shared" si="4"/>
        <v>1532454</v>
      </c>
      <c r="W14" s="4">
        <f t="shared" si="4"/>
        <v>908918</v>
      </c>
      <c r="X14" s="4">
        <f t="shared" si="4"/>
        <v>1498824</v>
      </c>
      <c r="Y14" s="4">
        <f t="shared" si="4"/>
        <v>1257092</v>
      </c>
      <c r="Z14" s="4">
        <f t="shared" si="4"/>
        <v>1411528</v>
      </c>
      <c r="AA14" s="4">
        <f t="shared" si="4"/>
        <v>1604983</v>
      </c>
      <c r="AB14" s="4">
        <f t="shared" si="4"/>
        <v>1473534</v>
      </c>
      <c r="AD14" s="1" t="s">
        <v>356</v>
      </c>
      <c r="AE14" s="1" t="s">
        <v>357</v>
      </c>
      <c r="AF14" s="1"/>
      <c r="AG14" s="4">
        <f t="shared" ref="AG14:AP14" si="5">AG6</f>
        <v>994290</v>
      </c>
      <c r="AH14" s="4">
        <f t="shared" si="5"/>
        <v>982560</v>
      </c>
      <c r="AI14" s="4">
        <f t="shared" si="5"/>
        <v>991254</v>
      </c>
      <c r="AJ14" s="4">
        <f t="shared" si="5"/>
        <v>993600</v>
      </c>
      <c r="AK14" s="4">
        <f t="shared" si="5"/>
        <v>888306</v>
      </c>
      <c r="AL14" s="4">
        <f t="shared" si="5"/>
        <v>987528</v>
      </c>
      <c r="AM14" s="4">
        <f t="shared" si="5"/>
        <v>1011264</v>
      </c>
      <c r="AN14" s="4">
        <f t="shared" si="5"/>
        <v>995670</v>
      </c>
      <c r="AO14" s="4">
        <f t="shared" si="5"/>
        <v>1109382</v>
      </c>
      <c r="AP14" s="4">
        <f t="shared" si="5"/>
        <v>1064118</v>
      </c>
    </row>
    <row r="15" spans="2:42">
      <c r="B15" s="1" t="s">
        <v>371</v>
      </c>
      <c r="C15" s="1" t="s">
        <v>372</v>
      </c>
      <c r="D15" s="1" t="s">
        <v>360</v>
      </c>
      <c r="E15" s="12">
        <f t="shared" ref="E15:N15" si="6">E7</f>
        <v>4.0000000000000002E-4</v>
      </c>
      <c r="F15" s="12">
        <f t="shared" si="6"/>
        <v>4.0000000000000002E-4</v>
      </c>
      <c r="G15" s="12">
        <f t="shared" si="6"/>
        <v>4.0000000000000002E-4</v>
      </c>
      <c r="H15" s="12">
        <f t="shared" si="6"/>
        <v>4.0000000000000002E-4</v>
      </c>
      <c r="I15" s="12">
        <f t="shared" si="6"/>
        <v>4.0000000000000002E-4</v>
      </c>
      <c r="J15" s="12">
        <f t="shared" si="6"/>
        <v>4.0000000000000002E-4</v>
      </c>
      <c r="K15" s="12">
        <f t="shared" si="6"/>
        <v>4.0000000000000002E-4</v>
      </c>
      <c r="L15" s="12">
        <f t="shared" si="6"/>
        <v>4.0000000000000002E-4</v>
      </c>
      <c r="M15" s="12">
        <f t="shared" si="6"/>
        <v>4.0000000000000002E-4</v>
      </c>
      <c r="N15" s="12">
        <f t="shared" si="6"/>
        <v>4.0000000000000002E-4</v>
      </c>
      <c r="P15" s="1" t="s">
        <v>371</v>
      </c>
      <c r="Q15" s="1" t="s">
        <v>372</v>
      </c>
      <c r="R15" s="1" t="s">
        <v>360</v>
      </c>
      <c r="S15" s="12">
        <f t="shared" ref="S15:AB15" si="7">S7</f>
        <v>4.0000000000000002E-4</v>
      </c>
      <c r="T15" s="12">
        <f t="shared" si="7"/>
        <v>4.0000000000000002E-4</v>
      </c>
      <c r="U15" s="12">
        <f t="shared" si="7"/>
        <v>4.0000000000000002E-4</v>
      </c>
      <c r="V15" s="12">
        <f t="shared" si="7"/>
        <v>4.0000000000000002E-4</v>
      </c>
      <c r="W15" s="12">
        <f t="shared" si="7"/>
        <v>4.0000000000000002E-4</v>
      </c>
      <c r="X15" s="12">
        <f t="shared" si="7"/>
        <v>4.0000000000000002E-4</v>
      </c>
      <c r="Y15" s="12">
        <f t="shared" si="7"/>
        <v>4.0000000000000002E-4</v>
      </c>
      <c r="Z15" s="12">
        <f t="shared" si="7"/>
        <v>4.0000000000000002E-4</v>
      </c>
      <c r="AA15" s="12">
        <f t="shared" si="7"/>
        <v>4.0000000000000002E-4</v>
      </c>
      <c r="AB15" s="12">
        <f t="shared" si="7"/>
        <v>4.0000000000000002E-4</v>
      </c>
      <c r="AD15" s="1" t="s">
        <v>371</v>
      </c>
      <c r="AE15" s="1" t="s">
        <v>372</v>
      </c>
      <c r="AF15" s="1" t="s">
        <v>360</v>
      </c>
      <c r="AG15" s="12">
        <f t="shared" ref="AG15:AP15" si="8">AG7</f>
        <v>4.0000000000000002E-4</v>
      </c>
      <c r="AH15" s="12">
        <f t="shared" si="8"/>
        <v>4.0000000000000002E-4</v>
      </c>
      <c r="AI15" s="12">
        <f t="shared" si="8"/>
        <v>4.0000000000000002E-4</v>
      </c>
      <c r="AJ15" s="12">
        <f t="shared" si="8"/>
        <v>4.0000000000000002E-4</v>
      </c>
      <c r="AK15" s="12">
        <f t="shared" si="8"/>
        <v>4.0000000000000002E-4</v>
      </c>
      <c r="AL15" s="12">
        <f t="shared" si="8"/>
        <v>4.0000000000000002E-4</v>
      </c>
      <c r="AM15" s="12">
        <f t="shared" si="8"/>
        <v>4.0000000000000002E-4</v>
      </c>
      <c r="AN15" s="12">
        <f t="shared" si="8"/>
        <v>4.0000000000000002E-4</v>
      </c>
      <c r="AO15" s="12">
        <f t="shared" si="8"/>
        <v>4.0000000000000002E-4</v>
      </c>
      <c r="AP15" s="12">
        <f t="shared" si="8"/>
        <v>4.0000000000000002E-4</v>
      </c>
    </row>
    <row r="16" spans="2:42">
      <c r="B16" s="1" t="s">
        <v>373</v>
      </c>
      <c r="C16" s="1" t="s">
        <v>365</v>
      </c>
      <c r="D16" s="1" t="s">
        <v>363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P16" s="1" t="s">
        <v>373</v>
      </c>
      <c r="Q16" s="1" t="s">
        <v>365</v>
      </c>
      <c r="R16" s="1" t="s">
        <v>363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D16" s="1" t="s">
        <v>373</v>
      </c>
      <c r="AE16" s="1" t="s">
        <v>365</v>
      </c>
      <c r="AF16" s="1" t="s">
        <v>363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</row>
    <row r="17" spans="2:42">
      <c r="B17" s="1" t="s">
        <v>374</v>
      </c>
      <c r="C17" s="1" t="s">
        <v>375</v>
      </c>
      <c r="D17" s="1" t="s">
        <v>363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P17" s="1" t="s">
        <v>374</v>
      </c>
      <c r="Q17" s="1" t="s">
        <v>375</v>
      </c>
      <c r="R17" s="1" t="s">
        <v>363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D17" s="1" t="s">
        <v>374</v>
      </c>
      <c r="AE17" s="1" t="s">
        <v>375</v>
      </c>
      <c r="AF17" s="1" t="s">
        <v>363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</row>
    <row r="18" spans="2:42">
      <c r="B18" s="1" t="s">
        <v>376</v>
      </c>
      <c r="C18" s="1" t="s">
        <v>377</v>
      </c>
      <c r="D18" s="1" t="s">
        <v>368</v>
      </c>
      <c r="E18" s="7">
        <f t="shared" ref="E18:N18" si="9">(1-E13)*E14*E15*(E16+E17)</f>
        <v>0</v>
      </c>
      <c r="F18" s="7">
        <f t="shared" si="9"/>
        <v>0</v>
      </c>
      <c r="G18" s="7">
        <f t="shared" si="9"/>
        <v>0</v>
      </c>
      <c r="H18" s="7">
        <f t="shared" si="9"/>
        <v>0</v>
      </c>
      <c r="I18" s="7">
        <f t="shared" si="9"/>
        <v>0</v>
      </c>
      <c r="J18" s="7">
        <f t="shared" si="9"/>
        <v>0</v>
      </c>
      <c r="K18" s="7">
        <f t="shared" si="9"/>
        <v>0</v>
      </c>
      <c r="L18" s="7">
        <f t="shared" si="9"/>
        <v>0</v>
      </c>
      <c r="M18" s="7">
        <f t="shared" si="9"/>
        <v>0</v>
      </c>
      <c r="N18" s="7">
        <f t="shared" si="9"/>
        <v>0</v>
      </c>
      <c r="P18" s="1" t="s">
        <v>376</v>
      </c>
      <c r="Q18" s="1" t="s">
        <v>377</v>
      </c>
      <c r="R18" s="1" t="s">
        <v>368</v>
      </c>
      <c r="S18" s="7">
        <f t="shared" ref="S18:AB18" si="10">(1-S13)*S14*S15*(S16+S17)</f>
        <v>0</v>
      </c>
      <c r="T18" s="7">
        <f t="shared" si="10"/>
        <v>0</v>
      </c>
      <c r="U18" s="7">
        <f t="shared" si="10"/>
        <v>0</v>
      </c>
      <c r="V18" s="7">
        <f t="shared" si="10"/>
        <v>0</v>
      </c>
      <c r="W18" s="7">
        <f t="shared" si="10"/>
        <v>0</v>
      </c>
      <c r="X18" s="7">
        <f t="shared" si="10"/>
        <v>0</v>
      </c>
      <c r="Y18" s="7">
        <f t="shared" si="10"/>
        <v>0</v>
      </c>
      <c r="Z18" s="7">
        <f t="shared" si="10"/>
        <v>0</v>
      </c>
      <c r="AA18" s="7">
        <f t="shared" si="10"/>
        <v>0</v>
      </c>
      <c r="AB18" s="7">
        <f t="shared" si="10"/>
        <v>0</v>
      </c>
      <c r="AD18" s="1" t="s">
        <v>376</v>
      </c>
      <c r="AE18" s="1" t="s">
        <v>377</v>
      </c>
      <c r="AF18" s="1" t="s">
        <v>368</v>
      </c>
      <c r="AG18" s="7">
        <f t="shared" ref="AG18:AP18" si="11">(1-AG13)*AG14*AG15*(AG16+AG17)</f>
        <v>0</v>
      </c>
      <c r="AH18" s="7">
        <f t="shared" si="11"/>
        <v>0</v>
      </c>
      <c r="AI18" s="7">
        <f t="shared" si="11"/>
        <v>0</v>
      </c>
      <c r="AJ18" s="7">
        <f t="shared" si="11"/>
        <v>0</v>
      </c>
      <c r="AK18" s="7">
        <f t="shared" si="11"/>
        <v>0</v>
      </c>
      <c r="AL18" s="7">
        <f t="shared" si="11"/>
        <v>0</v>
      </c>
      <c r="AM18" s="7">
        <f t="shared" si="11"/>
        <v>0</v>
      </c>
      <c r="AN18" s="7">
        <f t="shared" si="11"/>
        <v>0</v>
      </c>
      <c r="AO18" s="7">
        <f t="shared" si="11"/>
        <v>0</v>
      </c>
      <c r="AP18" s="7">
        <f t="shared" si="11"/>
        <v>0</v>
      </c>
    </row>
    <row r="20" spans="2:42">
      <c r="B20" s="220" t="s">
        <v>378</v>
      </c>
      <c r="C20" s="221"/>
      <c r="D20" s="221"/>
      <c r="E20" s="168"/>
      <c r="F20" s="168"/>
      <c r="G20" s="168"/>
      <c r="H20" s="168"/>
      <c r="I20" s="168"/>
      <c r="J20" s="168"/>
      <c r="K20" s="168"/>
      <c r="L20" s="168"/>
      <c r="M20" s="168"/>
      <c r="N20" s="169"/>
      <c r="P20" s="220" t="s">
        <v>378</v>
      </c>
      <c r="Q20" s="221"/>
      <c r="R20" s="221"/>
      <c r="S20" s="168"/>
      <c r="T20" s="168"/>
      <c r="U20" s="168"/>
      <c r="V20" s="168"/>
      <c r="W20" s="168"/>
      <c r="X20" s="168"/>
      <c r="Y20" s="168"/>
      <c r="Z20" s="168"/>
      <c r="AA20" s="168"/>
      <c r="AB20" s="169"/>
      <c r="AD20" s="220" t="s">
        <v>378</v>
      </c>
      <c r="AE20" s="221"/>
      <c r="AF20" s="221"/>
      <c r="AG20" s="168"/>
      <c r="AH20" s="168"/>
      <c r="AI20" s="168"/>
      <c r="AJ20" s="168"/>
      <c r="AK20" s="168"/>
      <c r="AL20" s="168"/>
      <c r="AM20" s="168"/>
      <c r="AN20" s="168"/>
      <c r="AO20" s="168"/>
      <c r="AP20" s="169"/>
    </row>
    <row r="21" spans="2:42">
      <c r="B21" s="2" t="s">
        <v>379</v>
      </c>
      <c r="C21" s="1" t="s">
        <v>379</v>
      </c>
      <c r="D21" s="1" t="s">
        <v>380</v>
      </c>
      <c r="E21" s="8">
        <v>0.95</v>
      </c>
      <c r="F21" s="8">
        <v>0.95</v>
      </c>
      <c r="G21" s="8">
        <v>0.95</v>
      </c>
      <c r="H21" s="8">
        <v>0.95</v>
      </c>
      <c r="I21" s="8">
        <v>0.95</v>
      </c>
      <c r="J21" s="8">
        <v>0.95</v>
      </c>
      <c r="K21" s="8">
        <v>0.95</v>
      </c>
      <c r="L21" s="8">
        <v>0.95</v>
      </c>
      <c r="M21" s="8">
        <v>0.95</v>
      </c>
      <c r="N21" s="8">
        <v>0.95</v>
      </c>
      <c r="P21" s="2" t="s">
        <v>379</v>
      </c>
      <c r="Q21" s="1" t="s">
        <v>379</v>
      </c>
      <c r="R21" s="1" t="s">
        <v>380</v>
      </c>
      <c r="S21" s="8">
        <v>0.95</v>
      </c>
      <c r="T21" s="8">
        <v>0.95</v>
      </c>
      <c r="U21" s="8">
        <v>0.95</v>
      </c>
      <c r="V21" s="8">
        <v>0.95</v>
      </c>
      <c r="W21" s="8">
        <v>0.95</v>
      </c>
      <c r="X21" s="8">
        <v>0.95</v>
      </c>
      <c r="Y21" s="8">
        <v>0.95</v>
      </c>
      <c r="Z21" s="8">
        <v>0.95</v>
      </c>
      <c r="AA21" s="8">
        <v>0.95</v>
      </c>
      <c r="AB21" s="8">
        <v>0.95</v>
      </c>
      <c r="AD21" s="2" t="s">
        <v>379</v>
      </c>
      <c r="AE21" s="1" t="s">
        <v>379</v>
      </c>
      <c r="AF21" s="1" t="s">
        <v>380</v>
      </c>
      <c r="AG21" s="8">
        <v>0.95</v>
      </c>
      <c r="AH21" s="8">
        <v>0.95</v>
      </c>
      <c r="AI21" s="8">
        <v>0.95</v>
      </c>
      <c r="AJ21" s="8">
        <v>0.95</v>
      </c>
      <c r="AK21" s="8">
        <v>0.95</v>
      </c>
      <c r="AL21" s="8">
        <v>0.95</v>
      </c>
      <c r="AM21" s="8">
        <v>0.95</v>
      </c>
      <c r="AN21" s="8">
        <v>0.95</v>
      </c>
      <c r="AO21" s="8">
        <v>0.95</v>
      </c>
      <c r="AP21" s="8">
        <v>0.95</v>
      </c>
    </row>
    <row r="22" spans="2:42">
      <c r="B22" s="1" t="s">
        <v>381</v>
      </c>
      <c r="C22" s="1" t="s">
        <v>382</v>
      </c>
      <c r="D22" s="1" t="s">
        <v>383</v>
      </c>
      <c r="E22" s="1">
        <v>112</v>
      </c>
      <c r="F22" s="1">
        <v>112</v>
      </c>
      <c r="G22" s="1">
        <v>112</v>
      </c>
      <c r="H22" s="1">
        <v>112</v>
      </c>
      <c r="I22" s="1">
        <v>112</v>
      </c>
      <c r="J22" s="1">
        <v>112</v>
      </c>
      <c r="K22" s="1">
        <v>112</v>
      </c>
      <c r="L22" s="1">
        <v>112</v>
      </c>
      <c r="M22" s="1">
        <v>112</v>
      </c>
      <c r="N22" s="1">
        <v>112</v>
      </c>
      <c r="P22" s="1" t="s">
        <v>381</v>
      </c>
      <c r="Q22" s="1" t="s">
        <v>382</v>
      </c>
      <c r="R22" s="1" t="s">
        <v>383</v>
      </c>
      <c r="S22" s="1">
        <v>112</v>
      </c>
      <c r="T22" s="1">
        <v>112</v>
      </c>
      <c r="U22" s="1">
        <v>112</v>
      </c>
      <c r="V22" s="1">
        <v>112</v>
      </c>
      <c r="W22" s="1">
        <v>112</v>
      </c>
      <c r="X22" s="1">
        <v>112</v>
      </c>
      <c r="Y22" s="1">
        <v>112</v>
      </c>
      <c r="Z22" s="1">
        <v>112</v>
      </c>
      <c r="AA22" s="1">
        <v>112</v>
      </c>
      <c r="AB22" s="1">
        <v>112</v>
      </c>
      <c r="AD22" s="1" t="s">
        <v>381</v>
      </c>
      <c r="AE22" s="1" t="s">
        <v>382</v>
      </c>
      <c r="AF22" s="1" t="s">
        <v>383</v>
      </c>
      <c r="AG22" s="1">
        <v>112</v>
      </c>
      <c r="AH22" s="1">
        <v>112</v>
      </c>
      <c r="AI22" s="1">
        <v>112</v>
      </c>
      <c r="AJ22" s="1">
        <v>112</v>
      </c>
      <c r="AK22" s="1">
        <v>112</v>
      </c>
      <c r="AL22" s="1">
        <v>112</v>
      </c>
      <c r="AM22" s="1">
        <v>112</v>
      </c>
      <c r="AN22" s="1">
        <v>112</v>
      </c>
      <c r="AO22" s="1">
        <v>112</v>
      </c>
      <c r="AP22" s="1">
        <v>112</v>
      </c>
    </row>
    <row r="23" spans="2:42">
      <c r="B23" s="1" t="s">
        <v>384</v>
      </c>
      <c r="C23" s="1" t="s">
        <v>385</v>
      </c>
      <c r="D23" s="1" t="s">
        <v>386</v>
      </c>
      <c r="E23" s="171">
        <f>(S23*S6+AG23*AG6)/E6</f>
        <v>9.0053903329400296</v>
      </c>
      <c r="F23" s="171">
        <f t="shared" ref="F23:N23" si="12">(T23*T6+AH23*AH6)/F6</f>
        <v>8.9988155437861224</v>
      </c>
      <c r="G23" s="171">
        <f t="shared" si="12"/>
        <v>8.9977945077876313</v>
      </c>
      <c r="H23" s="171">
        <f t="shared" si="12"/>
        <v>8.994085703631038</v>
      </c>
      <c r="I23" s="171">
        <f t="shared" si="12"/>
        <v>9.0715959813579179</v>
      </c>
      <c r="J23" s="171">
        <f t="shared" si="12"/>
        <v>8.9970338423521685</v>
      </c>
      <c r="K23" s="171">
        <f t="shared" si="12"/>
        <v>9.0343848602247636</v>
      </c>
      <c r="L23" s="171">
        <f t="shared" si="12"/>
        <v>9.009661679679029</v>
      </c>
      <c r="M23" s="171">
        <f t="shared" si="12"/>
        <v>9.0058875486531846</v>
      </c>
      <c r="N23" s="171">
        <f t="shared" si="12"/>
        <v>9.0140467676418989</v>
      </c>
      <c r="P23" s="1" t="s">
        <v>384</v>
      </c>
      <c r="Q23" s="1" t="s">
        <v>385</v>
      </c>
      <c r="R23" s="1" t="s">
        <v>386</v>
      </c>
      <c r="S23" s="1">
        <f>8.692</f>
        <v>8.6920000000000002</v>
      </c>
      <c r="T23" s="1">
        <f t="shared" ref="T23:AB23" si="13">8.692</f>
        <v>8.6920000000000002</v>
      </c>
      <c r="U23" s="1">
        <f t="shared" si="13"/>
        <v>8.6920000000000002</v>
      </c>
      <c r="V23" s="1">
        <f t="shared" si="13"/>
        <v>8.6920000000000002</v>
      </c>
      <c r="W23" s="1">
        <f t="shared" si="13"/>
        <v>8.6920000000000002</v>
      </c>
      <c r="X23" s="1">
        <f t="shared" si="13"/>
        <v>8.6920000000000002</v>
      </c>
      <c r="Y23" s="1">
        <f t="shared" si="13"/>
        <v>8.6920000000000002</v>
      </c>
      <c r="Z23" s="1">
        <f t="shared" si="13"/>
        <v>8.6920000000000002</v>
      </c>
      <c r="AA23" s="1">
        <f t="shared" si="13"/>
        <v>8.6920000000000002</v>
      </c>
      <c r="AB23" s="1">
        <f t="shared" si="13"/>
        <v>8.6920000000000002</v>
      </c>
      <c r="AD23" s="1" t="s">
        <v>384</v>
      </c>
      <c r="AE23" s="1" t="s">
        <v>385</v>
      </c>
      <c r="AF23" s="1" t="s">
        <v>386</v>
      </c>
      <c r="AG23" s="1">
        <f t="shared" ref="AG23:AP23" si="14">9.46</f>
        <v>9.4600000000000009</v>
      </c>
      <c r="AH23" s="1">
        <f t="shared" si="14"/>
        <v>9.4600000000000009</v>
      </c>
      <c r="AI23" s="1">
        <f t="shared" si="14"/>
        <v>9.4600000000000009</v>
      </c>
      <c r="AJ23" s="1">
        <f t="shared" si="14"/>
        <v>9.4600000000000009</v>
      </c>
      <c r="AK23" s="1">
        <f t="shared" si="14"/>
        <v>9.4600000000000009</v>
      </c>
      <c r="AL23" s="1">
        <f t="shared" si="14"/>
        <v>9.4600000000000009</v>
      </c>
      <c r="AM23" s="1">
        <f t="shared" si="14"/>
        <v>9.4600000000000009</v>
      </c>
      <c r="AN23" s="1">
        <f t="shared" si="14"/>
        <v>9.4600000000000009</v>
      </c>
      <c r="AO23" s="1">
        <f t="shared" si="14"/>
        <v>9.4600000000000009</v>
      </c>
      <c r="AP23" s="1">
        <f t="shared" si="14"/>
        <v>9.4600000000000009</v>
      </c>
    </row>
    <row r="24" spans="2:42">
      <c r="B24" s="1" t="s">
        <v>387</v>
      </c>
      <c r="C24" s="1" t="s">
        <v>388</v>
      </c>
      <c r="D24" s="1" t="s">
        <v>389</v>
      </c>
      <c r="E24" s="1">
        <f t="shared" ref="E24:N24" si="15">0.0156</f>
        <v>1.5599999999999999E-2</v>
      </c>
      <c r="F24" s="1">
        <f t="shared" si="15"/>
        <v>1.5599999999999999E-2</v>
      </c>
      <c r="G24" s="1">
        <f t="shared" si="15"/>
        <v>1.5599999999999999E-2</v>
      </c>
      <c r="H24" s="1">
        <f t="shared" si="15"/>
        <v>1.5599999999999999E-2</v>
      </c>
      <c r="I24" s="1">
        <f t="shared" si="15"/>
        <v>1.5599999999999999E-2</v>
      </c>
      <c r="J24" s="1">
        <f t="shared" si="15"/>
        <v>1.5599999999999999E-2</v>
      </c>
      <c r="K24" s="1">
        <f t="shared" si="15"/>
        <v>1.5599999999999999E-2</v>
      </c>
      <c r="L24" s="1">
        <f t="shared" si="15"/>
        <v>1.5599999999999999E-2</v>
      </c>
      <c r="M24" s="1">
        <f t="shared" si="15"/>
        <v>1.5599999999999999E-2</v>
      </c>
      <c r="N24" s="1">
        <f t="shared" si="15"/>
        <v>1.5599999999999999E-2</v>
      </c>
      <c r="P24" s="1" t="s">
        <v>387</v>
      </c>
      <c r="Q24" s="1" t="s">
        <v>388</v>
      </c>
      <c r="R24" s="1" t="s">
        <v>389</v>
      </c>
      <c r="S24" s="1">
        <f t="shared" ref="S24:AB24" si="16">0.0156</f>
        <v>1.5599999999999999E-2</v>
      </c>
      <c r="T24" s="1">
        <f t="shared" si="16"/>
        <v>1.5599999999999999E-2</v>
      </c>
      <c r="U24" s="1">
        <f t="shared" si="16"/>
        <v>1.5599999999999999E-2</v>
      </c>
      <c r="V24" s="1">
        <f t="shared" si="16"/>
        <v>1.5599999999999999E-2</v>
      </c>
      <c r="W24" s="1">
        <f t="shared" si="16"/>
        <v>1.5599999999999999E-2</v>
      </c>
      <c r="X24" s="1">
        <f t="shared" si="16"/>
        <v>1.5599999999999999E-2</v>
      </c>
      <c r="Y24" s="1">
        <f t="shared" si="16"/>
        <v>1.5599999999999999E-2</v>
      </c>
      <c r="Z24" s="1">
        <f t="shared" si="16"/>
        <v>1.5599999999999999E-2</v>
      </c>
      <c r="AA24" s="1">
        <f t="shared" si="16"/>
        <v>1.5599999999999999E-2</v>
      </c>
      <c r="AB24" s="1">
        <f t="shared" si="16"/>
        <v>1.5599999999999999E-2</v>
      </c>
      <c r="AD24" s="1" t="s">
        <v>387</v>
      </c>
      <c r="AE24" s="1" t="s">
        <v>388</v>
      </c>
      <c r="AF24" s="1" t="s">
        <v>389</v>
      </c>
      <c r="AG24" s="1">
        <f t="shared" ref="AG24:AP24" si="17">0.0156</f>
        <v>1.5599999999999999E-2</v>
      </c>
      <c r="AH24" s="1">
        <f t="shared" si="17"/>
        <v>1.5599999999999999E-2</v>
      </c>
      <c r="AI24" s="1">
        <f t="shared" si="17"/>
        <v>1.5599999999999999E-2</v>
      </c>
      <c r="AJ24" s="1">
        <f t="shared" si="17"/>
        <v>1.5599999999999999E-2</v>
      </c>
      <c r="AK24" s="1">
        <f t="shared" si="17"/>
        <v>1.5599999999999999E-2</v>
      </c>
      <c r="AL24" s="1">
        <f t="shared" si="17"/>
        <v>1.5599999999999999E-2</v>
      </c>
      <c r="AM24" s="1">
        <f t="shared" si="17"/>
        <v>1.5599999999999999E-2</v>
      </c>
      <c r="AN24" s="1">
        <f t="shared" si="17"/>
        <v>1.5599999999999999E-2</v>
      </c>
      <c r="AO24" s="1">
        <f t="shared" si="17"/>
        <v>1.5599999999999999E-2</v>
      </c>
      <c r="AP24" s="1">
        <f t="shared" si="17"/>
        <v>1.5599999999999999E-2</v>
      </c>
    </row>
    <row r="26" spans="2:42">
      <c r="B26" s="220" t="s">
        <v>390</v>
      </c>
      <c r="C26" s="221"/>
      <c r="D26" s="221"/>
      <c r="E26" s="168"/>
      <c r="F26" s="168"/>
      <c r="G26" s="168"/>
      <c r="H26" s="168"/>
      <c r="I26" s="168"/>
      <c r="J26" s="168"/>
      <c r="K26" s="168"/>
      <c r="L26" s="168"/>
      <c r="M26" s="168"/>
      <c r="N26" s="169"/>
      <c r="P26" s="220" t="s">
        <v>390</v>
      </c>
      <c r="Q26" s="221"/>
      <c r="R26" s="221"/>
      <c r="S26" s="168"/>
      <c r="T26" s="168"/>
      <c r="U26" s="168"/>
      <c r="V26" s="168"/>
      <c r="W26" s="168"/>
      <c r="X26" s="168"/>
      <c r="Y26" s="168"/>
      <c r="Z26" s="168"/>
      <c r="AA26" s="168"/>
      <c r="AB26" s="169"/>
      <c r="AD26" s="220" t="s">
        <v>390</v>
      </c>
      <c r="AE26" s="221"/>
      <c r="AF26" s="221"/>
      <c r="AG26" s="168"/>
      <c r="AH26" s="168"/>
      <c r="AI26" s="168"/>
      <c r="AJ26" s="168"/>
      <c r="AK26" s="168"/>
      <c r="AL26" s="168"/>
      <c r="AM26" s="168"/>
      <c r="AN26" s="168"/>
      <c r="AO26" s="168"/>
      <c r="AP26" s="169"/>
    </row>
    <row r="27" spans="2:42">
      <c r="B27" s="1" t="s">
        <v>391</v>
      </c>
      <c r="C27" s="1" t="s">
        <v>392</v>
      </c>
      <c r="D27" s="1" t="s">
        <v>393</v>
      </c>
      <c r="E27" s="4">
        <f t="shared" ref="E27:N27" si="18">E10*((E22*E21)+E23)*E24</f>
        <v>20016.052696563351</v>
      </c>
      <c r="F27" s="4">
        <f t="shared" si="18"/>
        <v>20202.631350373074</v>
      </c>
      <c r="G27" s="4">
        <f t="shared" si="18"/>
        <v>20449.262326523338</v>
      </c>
      <c r="H27" s="4">
        <f t="shared" si="18"/>
        <v>20748.6491243362</v>
      </c>
      <c r="I27" s="4">
        <f t="shared" si="18"/>
        <v>14772.058661271198</v>
      </c>
      <c r="J27" s="4">
        <f t="shared" si="18"/>
        <v>20423.064293883224</v>
      </c>
      <c r="K27" s="4">
        <f t="shared" si="18"/>
        <v>18638.4611684421</v>
      </c>
      <c r="L27" s="4">
        <f t="shared" si="18"/>
        <v>19775.051695621169</v>
      </c>
      <c r="M27" s="4">
        <f t="shared" si="18"/>
        <v>22297.689204663493</v>
      </c>
      <c r="N27" s="4">
        <f t="shared" si="18"/>
        <v>20847.519066034609</v>
      </c>
      <c r="P27" s="1" t="s">
        <v>391</v>
      </c>
      <c r="Q27" s="1" t="s">
        <v>392</v>
      </c>
      <c r="R27" s="1" t="s">
        <v>393</v>
      </c>
      <c r="S27" s="4">
        <f t="shared" ref="S27:AB27" si="19">S10*((S22*S21)+S23)*S24</f>
        <v>11816.120875919594</v>
      </c>
      <c r="T27" s="4">
        <f t="shared" si="19"/>
        <v>12099.437101520389</v>
      </c>
      <c r="U27" s="4">
        <f t="shared" si="19"/>
        <v>12274.368465637266</v>
      </c>
      <c r="V27" s="4">
        <f t="shared" si="19"/>
        <v>12554.40774909191</v>
      </c>
      <c r="W27" s="4">
        <f t="shared" si="19"/>
        <v>7446.179253986822</v>
      </c>
      <c r="X27" s="4">
        <f t="shared" si="19"/>
        <v>12278.898838154317</v>
      </c>
      <c r="Y27" s="4">
        <f t="shared" si="19"/>
        <v>10298.544390971245</v>
      </c>
      <c r="Z27" s="4">
        <f t="shared" si="19"/>
        <v>11563.738984178453</v>
      </c>
      <c r="AA27" s="4">
        <f t="shared" si="19"/>
        <v>13148.591091387269</v>
      </c>
      <c r="AB27" s="4">
        <f t="shared" si="19"/>
        <v>12071.714170963958</v>
      </c>
      <c r="AD27" s="1" t="s">
        <v>391</v>
      </c>
      <c r="AE27" s="1" t="s">
        <v>392</v>
      </c>
      <c r="AF27" s="1" t="s">
        <v>393</v>
      </c>
      <c r="AG27" s="4">
        <f t="shared" ref="AG27:AP27" si="20">AG10*((AG22*AG21)+AG23)*AG24</f>
        <v>8199.931820643762</v>
      </c>
      <c r="AH27" s="4">
        <f t="shared" si="20"/>
        <v>8103.1942488526829</v>
      </c>
      <c r="AI27" s="4">
        <f t="shared" si="20"/>
        <v>8174.8938608860726</v>
      </c>
      <c r="AJ27" s="4">
        <f t="shared" si="20"/>
        <v>8194.2413752442881</v>
      </c>
      <c r="AK27" s="4">
        <f t="shared" si="20"/>
        <v>7325.8794072843721</v>
      </c>
      <c r="AL27" s="4">
        <f t="shared" si="20"/>
        <v>8144.1654557289039</v>
      </c>
      <c r="AM27" s="4">
        <f t="shared" si="20"/>
        <v>8339.916777470853</v>
      </c>
      <c r="AN27" s="4">
        <f t="shared" si="20"/>
        <v>8211.3127114427116</v>
      </c>
      <c r="AO27" s="4">
        <f t="shared" si="20"/>
        <v>9149.0981132762245</v>
      </c>
      <c r="AP27" s="4">
        <f t="shared" si="20"/>
        <v>8775.8048950706543</v>
      </c>
    </row>
    <row r="28" spans="2:42">
      <c r="B28" s="1" t="s">
        <v>394</v>
      </c>
      <c r="C28" s="1" t="s">
        <v>395</v>
      </c>
      <c r="D28" s="1" t="s">
        <v>393</v>
      </c>
      <c r="E28" s="4">
        <f t="shared" ref="E28:N28" si="21">E18*((E22*E21)+E23)*E24</f>
        <v>0</v>
      </c>
      <c r="F28" s="4">
        <f t="shared" si="21"/>
        <v>0</v>
      </c>
      <c r="G28" s="4">
        <f t="shared" si="21"/>
        <v>0</v>
      </c>
      <c r="H28" s="4">
        <f t="shared" si="21"/>
        <v>0</v>
      </c>
      <c r="I28" s="4">
        <f t="shared" si="21"/>
        <v>0</v>
      </c>
      <c r="J28" s="4">
        <f t="shared" si="21"/>
        <v>0</v>
      </c>
      <c r="K28" s="4">
        <f t="shared" si="21"/>
        <v>0</v>
      </c>
      <c r="L28" s="4">
        <f t="shared" si="21"/>
        <v>0</v>
      </c>
      <c r="M28" s="4">
        <f t="shared" si="21"/>
        <v>0</v>
      </c>
      <c r="N28" s="4">
        <f t="shared" si="21"/>
        <v>0</v>
      </c>
      <c r="P28" s="1" t="s">
        <v>394</v>
      </c>
      <c r="Q28" s="1" t="s">
        <v>395</v>
      </c>
      <c r="R28" s="1" t="s">
        <v>393</v>
      </c>
      <c r="S28" s="4">
        <f t="shared" ref="S28:AB28" si="22">S18*((S22*S21)+S23)*S24</f>
        <v>0</v>
      </c>
      <c r="T28" s="4">
        <f t="shared" si="22"/>
        <v>0</v>
      </c>
      <c r="U28" s="4">
        <f t="shared" si="22"/>
        <v>0</v>
      </c>
      <c r="V28" s="4">
        <f t="shared" si="22"/>
        <v>0</v>
      </c>
      <c r="W28" s="4">
        <f t="shared" si="22"/>
        <v>0</v>
      </c>
      <c r="X28" s="4">
        <f t="shared" si="22"/>
        <v>0</v>
      </c>
      <c r="Y28" s="4">
        <f t="shared" si="22"/>
        <v>0</v>
      </c>
      <c r="Z28" s="4">
        <f t="shared" si="22"/>
        <v>0</v>
      </c>
      <c r="AA28" s="4">
        <f t="shared" si="22"/>
        <v>0</v>
      </c>
      <c r="AB28" s="4">
        <f t="shared" si="22"/>
        <v>0</v>
      </c>
      <c r="AD28" s="1" t="s">
        <v>394</v>
      </c>
      <c r="AE28" s="1" t="s">
        <v>395</v>
      </c>
      <c r="AF28" s="1" t="s">
        <v>393</v>
      </c>
      <c r="AG28" s="4">
        <f t="shared" ref="AG28:AP28" si="23">AG18*((AG22*AG21)+AG23)*AG24</f>
        <v>0</v>
      </c>
      <c r="AH28" s="4">
        <f t="shared" si="23"/>
        <v>0</v>
      </c>
      <c r="AI28" s="4">
        <f t="shared" si="23"/>
        <v>0</v>
      </c>
      <c r="AJ28" s="4">
        <f t="shared" si="23"/>
        <v>0</v>
      </c>
      <c r="AK28" s="4">
        <f t="shared" si="23"/>
        <v>0</v>
      </c>
      <c r="AL28" s="4">
        <f t="shared" si="23"/>
        <v>0</v>
      </c>
      <c r="AM28" s="4">
        <f t="shared" si="23"/>
        <v>0</v>
      </c>
      <c r="AN28" s="4">
        <f t="shared" si="23"/>
        <v>0</v>
      </c>
      <c r="AO28" s="4">
        <f t="shared" si="23"/>
        <v>0</v>
      </c>
      <c r="AP28" s="4">
        <f t="shared" si="23"/>
        <v>0</v>
      </c>
    </row>
    <row r="29" spans="2:42" s="198" customFormat="1">
      <c r="B29" s="181" t="s">
        <v>396</v>
      </c>
      <c r="C29" s="181" t="s">
        <v>397</v>
      </c>
      <c r="D29" s="181" t="s">
        <v>355</v>
      </c>
      <c r="E29" s="181">
        <v>0.81730000000000003</v>
      </c>
      <c r="F29" s="181">
        <v>0.81730000000000003</v>
      </c>
      <c r="G29" s="181">
        <v>0.81730000000000003</v>
      </c>
      <c r="H29" s="181">
        <v>0.81730000000000003</v>
      </c>
      <c r="I29" s="181">
        <v>0.81730000000000003</v>
      </c>
      <c r="J29" s="181">
        <v>0.81730000000000003</v>
      </c>
      <c r="K29" s="181">
        <v>0.81730000000000003</v>
      </c>
      <c r="L29" s="181">
        <v>0.81730000000000003</v>
      </c>
      <c r="M29" s="181">
        <v>0.81730000000000003</v>
      </c>
      <c r="N29" s="181">
        <v>0.81730000000000003</v>
      </c>
      <c r="P29" s="181" t="s">
        <v>396</v>
      </c>
      <c r="Q29" s="181" t="s">
        <v>397</v>
      </c>
      <c r="R29" s="181" t="s">
        <v>355</v>
      </c>
      <c r="S29" s="181">
        <v>0.81730000000000003</v>
      </c>
      <c r="T29" s="181">
        <v>0.81730000000000003</v>
      </c>
      <c r="U29" s="181">
        <v>0.81730000000000003</v>
      </c>
      <c r="V29" s="181">
        <v>0.81730000000000003</v>
      </c>
      <c r="W29" s="181">
        <v>0.81730000000000003</v>
      </c>
      <c r="X29" s="181">
        <v>0.81730000000000003</v>
      </c>
      <c r="Y29" s="181">
        <v>0.81730000000000003</v>
      </c>
      <c r="Z29" s="181">
        <v>0.81730000000000003</v>
      </c>
      <c r="AA29" s="181">
        <v>0.81730000000000003</v>
      </c>
      <c r="AB29" s="181">
        <v>0.81730000000000003</v>
      </c>
      <c r="AD29" s="181" t="s">
        <v>396</v>
      </c>
      <c r="AE29" s="181" t="s">
        <v>397</v>
      </c>
      <c r="AF29" s="181" t="s">
        <v>355</v>
      </c>
      <c r="AG29" s="181">
        <v>0.81730000000000003</v>
      </c>
      <c r="AH29" s="181">
        <v>0.81730000000000003</v>
      </c>
      <c r="AI29" s="181">
        <v>0.81730000000000003</v>
      </c>
      <c r="AJ29" s="181">
        <v>0.81730000000000003</v>
      </c>
      <c r="AK29" s="181">
        <v>0.81730000000000003</v>
      </c>
      <c r="AL29" s="181">
        <v>0.81730000000000003</v>
      </c>
      <c r="AM29" s="181">
        <v>0.81730000000000003</v>
      </c>
      <c r="AN29" s="181">
        <v>0.81730000000000003</v>
      </c>
      <c r="AO29" s="181">
        <v>0.81730000000000003</v>
      </c>
      <c r="AP29" s="181">
        <v>0.81730000000000003</v>
      </c>
    </row>
    <row r="30" spans="2:42">
      <c r="B30" s="1" t="s">
        <v>398</v>
      </c>
      <c r="C30" s="1" t="s">
        <v>399</v>
      </c>
      <c r="D30" s="1" t="s">
        <v>393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P30" s="1" t="s">
        <v>398</v>
      </c>
      <c r="Q30" s="1" t="s">
        <v>399</v>
      </c>
      <c r="R30" s="1" t="s">
        <v>393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D30" s="1" t="s">
        <v>398</v>
      </c>
      <c r="AE30" s="1" t="s">
        <v>399</v>
      </c>
      <c r="AF30" s="1" t="s">
        <v>393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</row>
    <row r="31" spans="2:42">
      <c r="B31" s="1" t="s">
        <v>400</v>
      </c>
      <c r="C31" s="1" t="s">
        <v>401</v>
      </c>
      <c r="D31" s="1" t="s">
        <v>393</v>
      </c>
      <c r="E31" s="4">
        <f t="shared" ref="E31:N31" si="24">((E27-E28)*E29)-E30</f>
        <v>16359.119868901227</v>
      </c>
      <c r="F31" s="4">
        <f t="shared" si="24"/>
        <v>16511.610602659915</v>
      </c>
      <c r="G31" s="4">
        <f t="shared" si="24"/>
        <v>16713.182099467525</v>
      </c>
      <c r="H31" s="4">
        <f t="shared" si="24"/>
        <v>16957.870929319975</v>
      </c>
      <c r="I31" s="4">
        <f t="shared" si="24"/>
        <v>12073.203543856951</v>
      </c>
      <c r="J31" s="4">
        <f t="shared" si="24"/>
        <v>16691.770447390762</v>
      </c>
      <c r="K31" s="4">
        <f t="shared" si="24"/>
        <v>15233.214312967728</v>
      </c>
      <c r="L31" s="4">
        <f t="shared" si="24"/>
        <v>16162.149750831182</v>
      </c>
      <c r="M31" s="4">
        <f t="shared" si="24"/>
        <v>18223.901386971473</v>
      </c>
      <c r="N31" s="4">
        <f t="shared" si="24"/>
        <v>17038.677332670086</v>
      </c>
      <c r="P31" s="1" t="s">
        <v>400</v>
      </c>
      <c r="Q31" s="1" t="s">
        <v>401</v>
      </c>
      <c r="R31" s="1" t="s">
        <v>393</v>
      </c>
      <c r="S31" s="4">
        <f t="shared" ref="S31:AB31" si="25">((S27-S28)*S29)-S30</f>
        <v>9657.3155918890843</v>
      </c>
      <c r="T31" s="4">
        <f t="shared" si="25"/>
        <v>9888.8699430726138</v>
      </c>
      <c r="U31" s="4">
        <f t="shared" si="25"/>
        <v>10031.841346965339</v>
      </c>
      <c r="V31" s="4">
        <f t="shared" si="25"/>
        <v>10260.717453332818</v>
      </c>
      <c r="W31" s="4">
        <f t="shared" si="25"/>
        <v>6085.7623042834302</v>
      </c>
      <c r="X31" s="4">
        <f t="shared" si="25"/>
        <v>10035.544020423524</v>
      </c>
      <c r="Y31" s="4">
        <f t="shared" si="25"/>
        <v>8417.0003307407987</v>
      </c>
      <c r="Z31" s="4">
        <f t="shared" si="25"/>
        <v>9451.0438717690504</v>
      </c>
      <c r="AA31" s="4">
        <f t="shared" si="25"/>
        <v>10746.343498990815</v>
      </c>
      <c r="AB31" s="4">
        <f t="shared" si="25"/>
        <v>9866.2119919288434</v>
      </c>
      <c r="AD31" s="1" t="s">
        <v>400</v>
      </c>
      <c r="AE31" s="1" t="s">
        <v>401</v>
      </c>
      <c r="AF31" s="1" t="s">
        <v>393</v>
      </c>
      <c r="AG31" s="4">
        <f t="shared" ref="AG31:AP31" si="26">((AG27-AG28)*AG29)-AG30</f>
        <v>6701.8042770121465</v>
      </c>
      <c r="AH31" s="4">
        <f t="shared" si="26"/>
        <v>6622.7406595872981</v>
      </c>
      <c r="AI31" s="4">
        <f t="shared" si="26"/>
        <v>6681.3407525021876</v>
      </c>
      <c r="AJ31" s="4">
        <f t="shared" si="26"/>
        <v>6697.1534759871565</v>
      </c>
      <c r="AK31" s="4">
        <f t="shared" si="26"/>
        <v>5987.4412395735171</v>
      </c>
      <c r="AL31" s="4">
        <f t="shared" si="26"/>
        <v>6656.2264269672332</v>
      </c>
      <c r="AM31" s="4">
        <f t="shared" si="26"/>
        <v>6816.2139822269282</v>
      </c>
      <c r="AN31" s="4">
        <f t="shared" si="26"/>
        <v>6711.1058790621282</v>
      </c>
      <c r="AO31" s="4">
        <f t="shared" si="26"/>
        <v>7477.5578879806581</v>
      </c>
      <c r="AP31" s="4">
        <f t="shared" si="26"/>
        <v>7172.4653407412461</v>
      </c>
    </row>
    <row r="32" spans="2:42">
      <c r="D32" s="5"/>
      <c r="R32" s="5"/>
      <c r="AF32" s="5"/>
    </row>
    <row r="33" spans="2:42">
      <c r="B33" s="220" t="s">
        <v>402</v>
      </c>
      <c r="C33" s="221"/>
      <c r="D33" s="221"/>
      <c r="E33" s="168"/>
      <c r="F33" s="168"/>
      <c r="G33" s="168"/>
      <c r="H33" s="168"/>
      <c r="I33" s="168"/>
      <c r="J33" s="168"/>
      <c r="K33" s="168"/>
      <c r="L33" s="168"/>
      <c r="M33" s="168"/>
      <c r="N33" s="169"/>
      <c r="P33" s="220" t="s">
        <v>402</v>
      </c>
      <c r="Q33" s="221"/>
      <c r="R33" s="221"/>
      <c r="S33" s="168"/>
      <c r="T33" s="168"/>
      <c r="U33" s="168"/>
      <c r="V33" s="168"/>
      <c r="W33" s="168"/>
      <c r="X33" s="168"/>
      <c r="Y33" s="168"/>
      <c r="Z33" s="168"/>
      <c r="AA33" s="168"/>
      <c r="AB33" s="169"/>
      <c r="AD33" s="220" t="s">
        <v>402</v>
      </c>
      <c r="AE33" s="221"/>
      <c r="AF33" s="221"/>
      <c r="AG33" s="168"/>
      <c r="AH33" s="168"/>
      <c r="AI33" s="168"/>
      <c r="AJ33" s="168"/>
      <c r="AK33" s="168"/>
      <c r="AL33" s="168"/>
      <c r="AM33" s="168"/>
      <c r="AN33" s="168"/>
      <c r="AO33" s="168"/>
      <c r="AP33" s="169"/>
    </row>
    <row r="34" spans="2:42">
      <c r="B34" s="13" t="s">
        <v>403</v>
      </c>
      <c r="C34" s="1"/>
      <c r="D34" s="14"/>
      <c r="E34" s="23">
        <f t="shared" ref="E34:N34" si="27">1-E35</f>
        <v>0.95</v>
      </c>
      <c r="F34" s="23">
        <f t="shared" si="27"/>
        <v>0.95</v>
      </c>
      <c r="G34" s="23">
        <f t="shared" si="27"/>
        <v>0.95</v>
      </c>
      <c r="H34" s="23">
        <f t="shared" si="27"/>
        <v>0.95</v>
      </c>
      <c r="I34" s="23">
        <f t="shared" si="27"/>
        <v>0.95</v>
      </c>
      <c r="J34" s="23">
        <f t="shared" si="27"/>
        <v>0.95</v>
      </c>
      <c r="K34" s="23">
        <f t="shared" si="27"/>
        <v>0.95</v>
      </c>
      <c r="L34" s="23">
        <f t="shared" si="27"/>
        <v>0.95</v>
      </c>
      <c r="M34" s="23">
        <f t="shared" si="27"/>
        <v>0.95</v>
      </c>
      <c r="N34" s="23">
        <f t="shared" si="27"/>
        <v>0.95</v>
      </c>
      <c r="P34" s="13" t="s">
        <v>403</v>
      </c>
      <c r="Q34" s="1"/>
      <c r="R34" s="14"/>
      <c r="S34" s="23">
        <f t="shared" ref="S34:AB34" si="28">1-S35</f>
        <v>0.95</v>
      </c>
      <c r="T34" s="23">
        <f t="shared" si="28"/>
        <v>0.95</v>
      </c>
      <c r="U34" s="23">
        <f t="shared" si="28"/>
        <v>0.95</v>
      </c>
      <c r="V34" s="23">
        <f t="shared" si="28"/>
        <v>0.95</v>
      </c>
      <c r="W34" s="23">
        <f t="shared" si="28"/>
        <v>0.95</v>
      </c>
      <c r="X34" s="23">
        <f t="shared" si="28"/>
        <v>0.95</v>
      </c>
      <c r="Y34" s="23">
        <f t="shared" si="28"/>
        <v>0.95</v>
      </c>
      <c r="Z34" s="23">
        <f t="shared" si="28"/>
        <v>0.95</v>
      </c>
      <c r="AA34" s="23">
        <f t="shared" si="28"/>
        <v>0.95</v>
      </c>
      <c r="AB34" s="23">
        <f t="shared" si="28"/>
        <v>0.95</v>
      </c>
      <c r="AD34" s="13" t="s">
        <v>403</v>
      </c>
      <c r="AE34" s="1"/>
      <c r="AF34" s="14"/>
      <c r="AG34" s="23">
        <f t="shared" ref="AG34:AP34" si="29">1-AG35</f>
        <v>0.95</v>
      </c>
      <c r="AH34" s="23">
        <f t="shared" si="29"/>
        <v>0.95</v>
      </c>
      <c r="AI34" s="23">
        <f t="shared" si="29"/>
        <v>0.95</v>
      </c>
      <c r="AJ34" s="23">
        <f t="shared" si="29"/>
        <v>0.95</v>
      </c>
      <c r="AK34" s="23">
        <f t="shared" si="29"/>
        <v>0.95</v>
      </c>
      <c r="AL34" s="23">
        <f t="shared" si="29"/>
        <v>0.95</v>
      </c>
      <c r="AM34" s="23">
        <f t="shared" si="29"/>
        <v>0.95</v>
      </c>
      <c r="AN34" s="23">
        <f t="shared" si="29"/>
        <v>0.95</v>
      </c>
      <c r="AO34" s="23">
        <f t="shared" si="29"/>
        <v>0.95</v>
      </c>
      <c r="AP34" s="23">
        <f t="shared" si="29"/>
        <v>0.95</v>
      </c>
    </row>
    <row r="35" spans="2:42">
      <c r="B35" s="13" t="s">
        <v>404</v>
      </c>
      <c r="C35" s="1" t="s">
        <v>405</v>
      </c>
      <c r="D35" s="14" t="s">
        <v>316</v>
      </c>
      <c r="E35" s="23">
        <v>0.05</v>
      </c>
      <c r="F35" s="23">
        <v>0.05</v>
      </c>
      <c r="G35" s="23">
        <v>0.05</v>
      </c>
      <c r="H35" s="23">
        <v>0.05</v>
      </c>
      <c r="I35" s="23">
        <v>0.05</v>
      </c>
      <c r="J35" s="23">
        <v>0.05</v>
      </c>
      <c r="K35" s="23">
        <v>0.05</v>
      </c>
      <c r="L35" s="23">
        <v>0.05</v>
      </c>
      <c r="M35" s="23">
        <v>0.05</v>
      </c>
      <c r="N35" s="23">
        <v>0.05</v>
      </c>
      <c r="P35" s="13" t="s">
        <v>404</v>
      </c>
      <c r="Q35" s="1" t="s">
        <v>405</v>
      </c>
      <c r="R35" s="14" t="s">
        <v>316</v>
      </c>
      <c r="S35" s="23">
        <v>0.05</v>
      </c>
      <c r="T35" s="23">
        <v>0.05</v>
      </c>
      <c r="U35" s="23">
        <v>0.05</v>
      </c>
      <c r="V35" s="23">
        <v>0.05</v>
      </c>
      <c r="W35" s="23">
        <v>0.05</v>
      </c>
      <c r="X35" s="23">
        <v>0.05</v>
      </c>
      <c r="Y35" s="23">
        <v>0.05</v>
      </c>
      <c r="Z35" s="23">
        <v>0.05</v>
      </c>
      <c r="AA35" s="23">
        <v>0.05</v>
      </c>
      <c r="AB35" s="23">
        <v>0.05</v>
      </c>
      <c r="AD35" s="13" t="s">
        <v>404</v>
      </c>
      <c r="AE35" s="1" t="s">
        <v>405</v>
      </c>
      <c r="AF35" s="14" t="s">
        <v>316</v>
      </c>
      <c r="AG35" s="23">
        <v>0.05</v>
      </c>
      <c r="AH35" s="23">
        <v>0.05</v>
      </c>
      <c r="AI35" s="23">
        <v>0.05</v>
      </c>
      <c r="AJ35" s="23">
        <v>0.05</v>
      </c>
      <c r="AK35" s="23">
        <v>0.05</v>
      </c>
      <c r="AL35" s="23">
        <v>0.05</v>
      </c>
      <c r="AM35" s="23">
        <v>0.05</v>
      </c>
      <c r="AN35" s="23">
        <v>0.05</v>
      </c>
      <c r="AO35" s="23">
        <v>0.05</v>
      </c>
      <c r="AP35" s="23">
        <v>0.05</v>
      </c>
    </row>
    <row r="36" spans="2:42">
      <c r="B36" s="15" t="s">
        <v>406</v>
      </c>
      <c r="C36" s="15" t="s">
        <v>407</v>
      </c>
      <c r="D36" s="15" t="s">
        <v>393</v>
      </c>
      <c r="E36" s="25">
        <f t="shared" ref="E36:N36" si="30">E31*(1-E35)</f>
        <v>15541.163875456165</v>
      </c>
      <c r="F36" s="25">
        <f t="shared" si="30"/>
        <v>15686.030072526919</v>
      </c>
      <c r="G36" s="25">
        <f t="shared" si="30"/>
        <v>15877.522994494147</v>
      </c>
      <c r="H36" s="25">
        <f t="shared" si="30"/>
        <v>16109.977382853976</v>
      </c>
      <c r="I36" s="25">
        <f t="shared" si="30"/>
        <v>11469.543366664104</v>
      </c>
      <c r="J36" s="25">
        <f t="shared" si="30"/>
        <v>15857.181925021223</v>
      </c>
      <c r="K36" s="25">
        <f t="shared" si="30"/>
        <v>14471.55359731934</v>
      </c>
      <c r="L36" s="25">
        <f t="shared" si="30"/>
        <v>15354.042263289622</v>
      </c>
      <c r="M36" s="25">
        <f t="shared" si="30"/>
        <v>17312.706317622898</v>
      </c>
      <c r="N36" s="25">
        <f t="shared" si="30"/>
        <v>16186.743466036582</v>
      </c>
      <c r="P36" s="15" t="s">
        <v>406</v>
      </c>
      <c r="Q36" s="15" t="s">
        <v>407</v>
      </c>
      <c r="R36" s="15" t="s">
        <v>393</v>
      </c>
      <c r="S36" s="25">
        <f t="shared" ref="S36:AB36" si="31">S31*(1-S35)</f>
        <v>9174.4498122946297</v>
      </c>
      <c r="T36" s="25">
        <f t="shared" si="31"/>
        <v>9394.4264459189835</v>
      </c>
      <c r="U36" s="25">
        <f t="shared" si="31"/>
        <v>9530.2492796170718</v>
      </c>
      <c r="V36" s="25">
        <f t="shared" si="31"/>
        <v>9747.6815806661762</v>
      </c>
      <c r="W36" s="25">
        <f t="shared" si="31"/>
        <v>5781.4741890692585</v>
      </c>
      <c r="X36" s="25">
        <f t="shared" si="31"/>
        <v>9533.7668194023463</v>
      </c>
      <c r="Y36" s="25">
        <f t="shared" si="31"/>
        <v>7996.1503142037582</v>
      </c>
      <c r="Z36" s="25">
        <f t="shared" si="31"/>
        <v>8978.4916781805969</v>
      </c>
      <c r="AA36" s="25">
        <f t="shared" si="31"/>
        <v>10209.026324041273</v>
      </c>
      <c r="AB36" s="25">
        <f t="shared" si="31"/>
        <v>9372.9013923324001</v>
      </c>
      <c r="AD36" s="15" t="s">
        <v>406</v>
      </c>
      <c r="AE36" s="15" t="s">
        <v>407</v>
      </c>
      <c r="AF36" s="15" t="s">
        <v>393</v>
      </c>
      <c r="AG36" s="25">
        <f t="shared" ref="AG36:AP36" si="32">AG31*(1-AG35)</f>
        <v>6366.7140631615384</v>
      </c>
      <c r="AH36" s="25">
        <f t="shared" si="32"/>
        <v>6291.6036266079327</v>
      </c>
      <c r="AI36" s="25">
        <f t="shared" si="32"/>
        <v>6347.2737148770775</v>
      </c>
      <c r="AJ36" s="25">
        <f t="shared" si="32"/>
        <v>6362.2958021877985</v>
      </c>
      <c r="AK36" s="25">
        <f t="shared" si="32"/>
        <v>5688.0691775948408</v>
      </c>
      <c r="AL36" s="25">
        <f t="shared" si="32"/>
        <v>6323.4151056188712</v>
      </c>
      <c r="AM36" s="25">
        <f t="shared" si="32"/>
        <v>6475.4032831155819</v>
      </c>
      <c r="AN36" s="25">
        <f t="shared" si="32"/>
        <v>6375.5505851090211</v>
      </c>
      <c r="AO36" s="25">
        <f t="shared" si="32"/>
        <v>7103.6799935816252</v>
      </c>
      <c r="AP36" s="25">
        <f t="shared" si="32"/>
        <v>6813.8420737041833</v>
      </c>
    </row>
    <row r="37" spans="2:42">
      <c r="B37" s="21" t="s">
        <v>441</v>
      </c>
      <c r="C37" s="20" t="s">
        <v>407</v>
      </c>
      <c r="D37" s="20" t="s">
        <v>393</v>
      </c>
      <c r="E37" s="201">
        <f>S37+AG37</f>
        <v>15540</v>
      </c>
      <c r="F37" s="201">
        <f t="shared" ref="F37:N37" si="33">T37+AH37</f>
        <v>15685</v>
      </c>
      <c r="G37" s="201">
        <f t="shared" si="33"/>
        <v>15877</v>
      </c>
      <c r="H37" s="201">
        <f t="shared" si="33"/>
        <v>16109</v>
      </c>
      <c r="I37" s="201">
        <f t="shared" si="33"/>
        <v>11469</v>
      </c>
      <c r="J37" s="201">
        <f t="shared" si="33"/>
        <v>15856</v>
      </c>
      <c r="K37" s="201">
        <f t="shared" si="33"/>
        <v>14471</v>
      </c>
      <c r="L37" s="201">
        <f t="shared" si="33"/>
        <v>15353</v>
      </c>
      <c r="M37" s="201">
        <f t="shared" si="33"/>
        <v>17312</v>
      </c>
      <c r="N37" s="201">
        <f t="shared" si="33"/>
        <v>16185</v>
      </c>
      <c r="P37" s="21" t="s">
        <v>441</v>
      </c>
      <c r="Q37" s="20" t="s">
        <v>407</v>
      </c>
      <c r="R37" s="20" t="s">
        <v>393</v>
      </c>
      <c r="S37" s="201">
        <f>_xlfn.FLOOR.MATH(S36)</f>
        <v>9174</v>
      </c>
      <c r="T37" s="201">
        <f t="shared" ref="T37:AB37" si="34">_xlfn.FLOOR.MATH(T36)</f>
        <v>9394</v>
      </c>
      <c r="U37" s="201">
        <f t="shared" si="34"/>
        <v>9530</v>
      </c>
      <c r="V37" s="201">
        <f t="shared" si="34"/>
        <v>9747</v>
      </c>
      <c r="W37" s="201">
        <f t="shared" si="34"/>
        <v>5781</v>
      </c>
      <c r="X37" s="201">
        <f t="shared" si="34"/>
        <v>9533</v>
      </c>
      <c r="Y37" s="201">
        <f t="shared" si="34"/>
        <v>7996</v>
      </c>
      <c r="Z37" s="201">
        <f t="shared" si="34"/>
        <v>8978</v>
      </c>
      <c r="AA37" s="201">
        <f t="shared" si="34"/>
        <v>10209</v>
      </c>
      <c r="AB37" s="201">
        <f t="shared" si="34"/>
        <v>9372</v>
      </c>
      <c r="AD37" s="21" t="s">
        <v>441</v>
      </c>
      <c r="AE37" s="20" t="s">
        <v>407</v>
      </c>
      <c r="AF37" s="20" t="s">
        <v>393</v>
      </c>
      <c r="AG37" s="201">
        <f>_xlfn.FLOOR.MATH(AG36)</f>
        <v>6366</v>
      </c>
      <c r="AH37" s="201">
        <f t="shared" ref="AH37" si="35">_xlfn.FLOOR.MATH(AH36)</f>
        <v>6291</v>
      </c>
      <c r="AI37" s="201">
        <f t="shared" ref="AI37" si="36">_xlfn.FLOOR.MATH(AI36)</f>
        <v>6347</v>
      </c>
      <c r="AJ37" s="201">
        <f t="shared" ref="AJ37" si="37">_xlfn.FLOOR.MATH(AJ36)</f>
        <v>6362</v>
      </c>
      <c r="AK37" s="201">
        <f t="shared" ref="AK37" si="38">_xlfn.FLOOR.MATH(AK36)</f>
        <v>5688</v>
      </c>
      <c r="AL37" s="201">
        <f t="shared" ref="AL37" si="39">_xlfn.FLOOR.MATH(AL36)</f>
        <v>6323</v>
      </c>
      <c r="AM37" s="201">
        <f t="shared" ref="AM37" si="40">_xlfn.FLOOR.MATH(AM36)</f>
        <v>6475</v>
      </c>
      <c r="AN37" s="201">
        <f t="shared" ref="AN37" si="41">_xlfn.FLOOR.MATH(AN36)</f>
        <v>6375</v>
      </c>
      <c r="AO37" s="201">
        <f t="shared" ref="AO37" si="42">_xlfn.FLOOR.MATH(AO36)</f>
        <v>7103</v>
      </c>
      <c r="AP37" s="201">
        <f t="shared" ref="AP37" si="43">_xlfn.FLOOR.MATH(AP36)</f>
        <v>6813</v>
      </c>
    </row>
  </sheetData>
  <mergeCells count="18">
    <mergeCell ref="B2:N2"/>
    <mergeCell ref="B33:D33"/>
    <mergeCell ref="B4:D4"/>
    <mergeCell ref="B12:D12"/>
    <mergeCell ref="B20:D20"/>
    <mergeCell ref="B26:D26"/>
    <mergeCell ref="AD26:AF26"/>
    <mergeCell ref="AD33:AF33"/>
    <mergeCell ref="P2:AB2"/>
    <mergeCell ref="AD2:AP2"/>
    <mergeCell ref="AD4:AF4"/>
    <mergeCell ref="AD12:AF12"/>
    <mergeCell ref="AD20:AF20"/>
    <mergeCell ref="P4:R4"/>
    <mergeCell ref="P12:R12"/>
    <mergeCell ref="P20:R20"/>
    <mergeCell ref="P26:R26"/>
    <mergeCell ref="P33:R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O47"/>
  <sheetViews>
    <sheetView showGridLines="0" tabSelected="1" topLeftCell="A8" zoomScale="70" zoomScaleNormal="70" workbookViewId="0">
      <selection activeCell="E10" sqref="E10"/>
    </sheetView>
  </sheetViews>
  <sheetFormatPr defaultRowHeight="14.5"/>
  <cols>
    <col min="1" max="1" width="2.7265625" customWidth="1"/>
    <col min="2" max="2" width="60.7265625" bestFit="1" customWidth="1"/>
    <col min="3" max="3" width="18.26953125" bestFit="1" customWidth="1"/>
    <col min="4" max="4" width="12.453125" bestFit="1" customWidth="1"/>
    <col min="5" max="5" width="12.7265625" customWidth="1"/>
    <col min="6" max="6" width="7.26953125" customWidth="1"/>
    <col min="7" max="7" width="60.7265625" bestFit="1" customWidth="1"/>
    <col min="8" max="8" width="18.26953125" bestFit="1" customWidth="1"/>
    <col min="9" max="9" width="12.453125" bestFit="1" customWidth="1"/>
    <col min="10" max="10" width="12.54296875" customWidth="1"/>
    <col min="11" max="11" width="5" customWidth="1"/>
    <col min="12" max="12" width="60.7265625" bestFit="1" customWidth="1"/>
    <col min="13" max="13" width="18.26953125" bestFit="1" customWidth="1"/>
    <col min="14" max="14" width="12.453125" bestFit="1" customWidth="1"/>
    <col min="15" max="15" width="12.26953125" customWidth="1"/>
  </cols>
  <sheetData>
    <row r="1" spans="2:15" ht="14.5" customHeight="1"/>
    <row r="2" spans="2:15" ht="15" customHeight="1">
      <c r="B2" s="222" t="s">
        <v>435</v>
      </c>
      <c r="C2" s="222"/>
      <c r="D2" s="222"/>
      <c r="E2" s="222"/>
      <c r="G2" s="222" t="s">
        <v>408</v>
      </c>
      <c r="H2" s="222"/>
      <c r="I2" s="222"/>
      <c r="J2" s="222"/>
      <c r="L2" s="222" t="s">
        <v>434</v>
      </c>
      <c r="M2" s="222"/>
      <c r="N2" s="222"/>
      <c r="O2" s="222"/>
    </row>
    <row r="4" spans="2:15" s="3" customFormat="1">
      <c r="B4" s="220" t="s">
        <v>352</v>
      </c>
      <c r="C4" s="221"/>
      <c r="D4" s="221"/>
      <c r="E4" s="224"/>
      <c r="G4" s="220" t="s">
        <v>352</v>
      </c>
      <c r="H4" s="221"/>
      <c r="I4" s="221"/>
      <c r="J4" s="224"/>
      <c r="L4" s="220" t="s">
        <v>352</v>
      </c>
      <c r="M4" s="221"/>
      <c r="N4" s="221"/>
      <c r="O4" s="224"/>
    </row>
    <row r="5" spans="2:15">
      <c r="B5" s="1" t="s">
        <v>353</v>
      </c>
      <c r="C5" s="1" t="s">
        <v>354</v>
      </c>
      <c r="D5" s="1" t="s">
        <v>355</v>
      </c>
      <c r="E5" s="38">
        <v>0.02</v>
      </c>
      <c r="F5" s="3"/>
      <c r="G5" s="1" t="s">
        <v>353</v>
      </c>
      <c r="H5" s="1" t="s">
        <v>354</v>
      </c>
      <c r="I5" s="1" t="s">
        <v>355</v>
      </c>
      <c r="J5" s="38">
        <v>0.02</v>
      </c>
      <c r="L5" s="1" t="s">
        <v>353</v>
      </c>
      <c r="M5" s="1" t="s">
        <v>354</v>
      </c>
      <c r="N5" s="1" t="s">
        <v>355</v>
      </c>
      <c r="O5" s="113">
        <f>J5</f>
        <v>0.02</v>
      </c>
    </row>
    <row r="6" spans="2:15">
      <c r="B6" s="1" t="s">
        <v>409</v>
      </c>
      <c r="C6" s="1" t="s">
        <v>357</v>
      </c>
      <c r="D6" s="1"/>
      <c r="E6" s="4">
        <f>'Total PTDs'!R17*0.95</f>
        <v>1251150</v>
      </c>
      <c r="F6" s="3"/>
      <c r="G6" s="1" t="s">
        <v>409</v>
      </c>
      <c r="H6" s="1" t="s">
        <v>357</v>
      </c>
      <c r="I6" s="1"/>
      <c r="J6" s="4">
        <f>'Total PTDs'!P17*0.95</f>
        <v>739860</v>
      </c>
      <c r="L6" s="1" t="s">
        <v>409</v>
      </c>
      <c r="M6" s="1" t="s">
        <v>357</v>
      </c>
      <c r="N6" s="1"/>
      <c r="O6" s="4">
        <f>'Total PTDs'!Q17*0.95</f>
        <v>511290</v>
      </c>
    </row>
    <row r="7" spans="2:15">
      <c r="B7" s="1" t="s">
        <v>358</v>
      </c>
      <c r="C7" s="1" t="s">
        <v>359</v>
      </c>
      <c r="D7" s="1" t="s">
        <v>360</v>
      </c>
      <c r="E7" s="12">
        <f>J7</f>
        <v>4.0000000000000002E-4</v>
      </c>
      <c r="F7" s="3"/>
      <c r="G7" s="1" t="s">
        <v>358</v>
      </c>
      <c r="H7" s="1" t="s">
        <v>359</v>
      </c>
      <c r="I7" s="1" t="s">
        <v>360</v>
      </c>
      <c r="J7" s="12">
        <v>4.0000000000000002E-4</v>
      </c>
      <c r="L7" s="1" t="s">
        <v>358</v>
      </c>
      <c r="M7" s="1" t="s">
        <v>359</v>
      </c>
      <c r="N7" s="1" t="s">
        <v>360</v>
      </c>
      <c r="O7" s="12">
        <f>J7</f>
        <v>4.0000000000000002E-4</v>
      </c>
    </row>
    <row r="8" spans="2:15" ht="29">
      <c r="B8" s="2" t="s">
        <v>410</v>
      </c>
      <c r="C8" s="1" t="s">
        <v>362</v>
      </c>
      <c r="D8" s="1" t="s">
        <v>363</v>
      </c>
      <c r="E8" s="181">
        <v>7.5</v>
      </c>
      <c r="F8" s="3"/>
      <c r="G8" s="2" t="s">
        <v>410</v>
      </c>
      <c r="H8" s="1" t="s">
        <v>362</v>
      </c>
      <c r="I8" s="1" t="s">
        <v>363</v>
      </c>
      <c r="J8" s="1">
        <v>7.5</v>
      </c>
      <c r="L8" s="2" t="s">
        <v>410</v>
      </c>
      <c r="M8" s="1" t="s">
        <v>362</v>
      </c>
      <c r="N8" s="1" t="s">
        <v>363</v>
      </c>
      <c r="O8" s="1">
        <v>7.5</v>
      </c>
    </row>
    <row r="9" spans="2:15">
      <c r="B9" s="2" t="s">
        <v>364</v>
      </c>
      <c r="C9" s="1" t="s">
        <v>365</v>
      </c>
      <c r="D9" s="1" t="s">
        <v>363</v>
      </c>
      <c r="E9" s="181">
        <v>0</v>
      </c>
      <c r="F9" s="3"/>
      <c r="G9" s="2" t="s">
        <v>364</v>
      </c>
      <c r="H9" s="1" t="s">
        <v>365</v>
      </c>
      <c r="I9" s="1" t="s">
        <v>363</v>
      </c>
      <c r="J9" s="1">
        <v>0</v>
      </c>
      <c r="L9" s="2" t="s">
        <v>364</v>
      </c>
      <c r="M9" s="1" t="s">
        <v>365</v>
      </c>
      <c r="N9" s="1" t="s">
        <v>363</v>
      </c>
      <c r="O9" s="1">
        <v>0</v>
      </c>
    </row>
    <row r="10" spans="2:15">
      <c r="B10" s="1" t="s">
        <v>366</v>
      </c>
      <c r="C10" s="1" t="s">
        <v>367</v>
      </c>
      <c r="D10" s="1" t="s">
        <v>368</v>
      </c>
      <c r="E10" s="4">
        <f>(1-E5)*E6*E7*(E8+E9)</f>
        <v>3678.3810000000003</v>
      </c>
      <c r="F10" s="3"/>
      <c r="G10" s="1" t="s">
        <v>366</v>
      </c>
      <c r="H10" s="1" t="s">
        <v>367</v>
      </c>
      <c r="I10" s="1" t="s">
        <v>368</v>
      </c>
      <c r="J10" s="7">
        <f>(1-J5)*J6*J7*(J8+J9)</f>
        <v>2175.1883999999995</v>
      </c>
      <c r="L10" s="1" t="s">
        <v>366</v>
      </c>
      <c r="M10" s="1" t="s">
        <v>367</v>
      </c>
      <c r="N10" s="1" t="s">
        <v>368</v>
      </c>
      <c r="O10" s="7">
        <f>(1-O5)*O6*O7*(O8+O9)</f>
        <v>1503.1926000000003</v>
      </c>
    </row>
    <row r="11" spans="2:15">
      <c r="F11" s="3"/>
    </row>
    <row r="12" spans="2:15">
      <c r="B12" s="220" t="s">
        <v>369</v>
      </c>
      <c r="C12" s="221"/>
      <c r="D12" s="221"/>
      <c r="E12" s="224"/>
      <c r="F12" s="3"/>
      <c r="G12" s="220" t="s">
        <v>369</v>
      </c>
      <c r="H12" s="221"/>
      <c r="I12" s="221"/>
      <c r="J12" s="224"/>
      <c r="L12" s="220" t="s">
        <v>369</v>
      </c>
      <c r="M12" s="221"/>
      <c r="N12" s="221"/>
      <c r="O12" s="224"/>
    </row>
    <row r="13" spans="2:15">
      <c r="B13" s="1" t="s">
        <v>370</v>
      </c>
      <c r="C13" s="1" t="s">
        <v>354</v>
      </c>
      <c r="D13" s="1" t="s">
        <v>355</v>
      </c>
      <c r="E13" s="38">
        <v>0.02</v>
      </c>
      <c r="F13" s="3"/>
      <c r="G13" s="1" t="s">
        <v>370</v>
      </c>
      <c r="H13" s="1" t="s">
        <v>354</v>
      </c>
      <c r="I13" s="1" t="s">
        <v>355</v>
      </c>
      <c r="J13" s="113">
        <f>J5</f>
        <v>0.02</v>
      </c>
      <c r="L13" s="1" t="s">
        <v>370</v>
      </c>
      <c r="M13" s="1" t="s">
        <v>354</v>
      </c>
      <c r="N13" s="1" t="s">
        <v>355</v>
      </c>
      <c r="O13" s="113">
        <f>O5</f>
        <v>0.02</v>
      </c>
    </row>
    <row r="14" spans="2:15">
      <c r="B14" s="1" t="s">
        <v>409</v>
      </c>
      <c r="C14" s="1" t="s">
        <v>357</v>
      </c>
      <c r="D14" s="1"/>
      <c r="E14" s="4">
        <f>E6</f>
        <v>1251150</v>
      </c>
      <c r="F14" s="3"/>
      <c r="G14" s="1" t="s">
        <v>409</v>
      </c>
      <c r="H14" s="1" t="s">
        <v>357</v>
      </c>
      <c r="I14" s="1"/>
      <c r="J14" s="4">
        <f>J6</f>
        <v>739860</v>
      </c>
      <c r="L14" s="1" t="s">
        <v>409</v>
      </c>
      <c r="M14" s="1" t="s">
        <v>357</v>
      </c>
      <c r="N14" s="1"/>
      <c r="O14" s="4">
        <f>O6</f>
        <v>511290</v>
      </c>
    </row>
    <row r="15" spans="2:15">
      <c r="B15" s="1" t="s">
        <v>371</v>
      </c>
      <c r="C15" s="1" t="s">
        <v>372</v>
      </c>
      <c r="D15" s="1" t="s">
        <v>360</v>
      </c>
      <c r="E15" s="12">
        <f>E7</f>
        <v>4.0000000000000002E-4</v>
      </c>
      <c r="F15" s="3"/>
      <c r="G15" s="1" t="s">
        <v>371</v>
      </c>
      <c r="H15" s="1" t="s">
        <v>372</v>
      </c>
      <c r="I15" s="1" t="s">
        <v>360</v>
      </c>
      <c r="J15" s="12">
        <f>J7</f>
        <v>4.0000000000000002E-4</v>
      </c>
      <c r="L15" s="1" t="s">
        <v>371</v>
      </c>
      <c r="M15" s="1" t="s">
        <v>372</v>
      </c>
      <c r="N15" s="1" t="s">
        <v>360</v>
      </c>
      <c r="O15" s="12">
        <f>O7</f>
        <v>4.0000000000000002E-4</v>
      </c>
    </row>
    <row r="16" spans="2:15">
      <c r="B16" s="1" t="s">
        <v>373</v>
      </c>
      <c r="C16" s="1" t="s">
        <v>365</v>
      </c>
      <c r="D16" s="1" t="s">
        <v>363</v>
      </c>
      <c r="E16" s="181">
        <v>0</v>
      </c>
      <c r="F16" s="3"/>
      <c r="G16" s="1" t="s">
        <v>373</v>
      </c>
      <c r="H16" s="1" t="s">
        <v>365</v>
      </c>
      <c r="I16" s="1" t="s">
        <v>363</v>
      </c>
      <c r="J16" s="1">
        <v>0</v>
      </c>
      <c r="L16" s="1" t="s">
        <v>373</v>
      </c>
      <c r="M16" s="1" t="s">
        <v>365</v>
      </c>
      <c r="N16" s="1" t="s">
        <v>363</v>
      </c>
      <c r="O16" s="1">
        <v>0</v>
      </c>
    </row>
    <row r="17" spans="2:15">
      <c r="B17" s="1" t="s">
        <v>374</v>
      </c>
      <c r="C17" s="1" t="s">
        <v>375</v>
      </c>
      <c r="D17" s="1" t="s">
        <v>363</v>
      </c>
      <c r="E17" s="199">
        <v>0</v>
      </c>
      <c r="F17" s="3"/>
      <c r="G17" s="1" t="s">
        <v>374</v>
      </c>
      <c r="H17" s="1" t="s">
        <v>375</v>
      </c>
      <c r="I17" s="1" t="s">
        <v>363</v>
      </c>
      <c r="J17" s="22">
        <v>0</v>
      </c>
      <c r="L17" s="1" t="s">
        <v>374</v>
      </c>
      <c r="M17" s="1" t="s">
        <v>375</v>
      </c>
      <c r="N17" s="1" t="s">
        <v>363</v>
      </c>
      <c r="O17" s="22">
        <v>0</v>
      </c>
    </row>
    <row r="18" spans="2:15">
      <c r="B18" s="1" t="s">
        <v>376</v>
      </c>
      <c r="C18" s="1" t="s">
        <v>377</v>
      </c>
      <c r="D18" s="1" t="s">
        <v>368</v>
      </c>
      <c r="E18" s="7">
        <f>(1-E13)*E14*E15*(E16+E17)</f>
        <v>0</v>
      </c>
      <c r="F18" s="3"/>
      <c r="G18" s="1" t="s">
        <v>376</v>
      </c>
      <c r="H18" s="1" t="s">
        <v>377</v>
      </c>
      <c r="I18" s="1" t="s">
        <v>368</v>
      </c>
      <c r="J18" s="7">
        <f>(1-J13)*J14*J15*(J16+J17)</f>
        <v>0</v>
      </c>
      <c r="L18" s="1" t="s">
        <v>376</v>
      </c>
      <c r="M18" s="1" t="s">
        <v>377</v>
      </c>
      <c r="N18" s="1" t="s">
        <v>368</v>
      </c>
      <c r="O18" s="7">
        <f>(1-O13)*O14*O15*(O16+O17)</f>
        <v>0</v>
      </c>
    </row>
    <row r="19" spans="2:15">
      <c r="F19" s="3"/>
    </row>
    <row r="20" spans="2:15">
      <c r="B20" s="220" t="s">
        <v>378</v>
      </c>
      <c r="C20" s="221"/>
      <c r="D20" s="221"/>
      <c r="E20" s="224"/>
      <c r="F20" s="3"/>
      <c r="G20" s="220" t="s">
        <v>378</v>
      </c>
      <c r="H20" s="221"/>
      <c r="I20" s="221"/>
      <c r="J20" s="224"/>
      <c r="L20" s="220" t="s">
        <v>378</v>
      </c>
      <c r="M20" s="221"/>
      <c r="N20" s="221"/>
      <c r="O20" s="224"/>
    </row>
    <row r="21" spans="2:15">
      <c r="B21" s="2" t="s">
        <v>379</v>
      </c>
      <c r="C21" s="1" t="s">
        <v>379</v>
      </c>
      <c r="D21" s="1" t="s">
        <v>380</v>
      </c>
      <c r="E21" s="8">
        <v>0.95</v>
      </c>
      <c r="F21" s="3"/>
      <c r="G21" s="2" t="s">
        <v>379</v>
      </c>
      <c r="H21" s="1" t="s">
        <v>379</v>
      </c>
      <c r="I21" s="1" t="s">
        <v>380</v>
      </c>
      <c r="J21" s="8">
        <v>0.95</v>
      </c>
      <c r="L21" s="2" t="s">
        <v>379</v>
      </c>
      <c r="M21" s="1" t="s">
        <v>379</v>
      </c>
      <c r="N21" s="1" t="s">
        <v>380</v>
      </c>
      <c r="O21" s="8">
        <v>0.95</v>
      </c>
    </row>
    <row r="22" spans="2:15">
      <c r="B22" s="1" t="s">
        <v>381</v>
      </c>
      <c r="C22" s="1" t="s">
        <v>382</v>
      </c>
      <c r="D22" s="1" t="s">
        <v>383</v>
      </c>
      <c r="E22" s="1">
        <v>112</v>
      </c>
      <c r="F22" s="3"/>
      <c r="G22" s="1" t="s">
        <v>381</v>
      </c>
      <c r="H22" s="1" t="s">
        <v>382</v>
      </c>
      <c r="I22" s="1" t="s">
        <v>383</v>
      </c>
      <c r="J22" s="1">
        <v>112</v>
      </c>
      <c r="L22" s="1" t="s">
        <v>381</v>
      </c>
      <c r="M22" s="1" t="s">
        <v>382</v>
      </c>
      <c r="N22" s="1" t="s">
        <v>383</v>
      </c>
      <c r="O22" s="1">
        <v>112</v>
      </c>
    </row>
    <row r="23" spans="2:15">
      <c r="B23" s="1" t="s">
        <v>411</v>
      </c>
      <c r="C23" s="1" t="s">
        <v>385</v>
      </c>
      <c r="D23" s="1" t="s">
        <v>386</v>
      </c>
      <c r="E23" s="171">
        <f>(J6*J23+O6*O23)/E6</f>
        <v>9.4600000000000009</v>
      </c>
      <c r="F23" s="3"/>
      <c r="G23" s="1" t="s">
        <v>384</v>
      </c>
      <c r="H23" s="1" t="s">
        <v>385</v>
      </c>
      <c r="I23" s="1" t="s">
        <v>386</v>
      </c>
      <c r="J23" s="1">
        <f>9.46</f>
        <v>9.4600000000000009</v>
      </c>
      <c r="L23" s="1" t="s">
        <v>384</v>
      </c>
      <c r="M23" s="1" t="s">
        <v>385</v>
      </c>
      <c r="N23" s="1" t="s">
        <v>386</v>
      </c>
      <c r="O23" s="1">
        <f>9.46</f>
        <v>9.4600000000000009</v>
      </c>
    </row>
    <row r="24" spans="2:15">
      <c r="B24" s="1" t="s">
        <v>387</v>
      </c>
      <c r="C24" s="1" t="s">
        <v>388</v>
      </c>
      <c r="D24" s="1" t="s">
        <v>389</v>
      </c>
      <c r="E24" s="1">
        <f>0.0156</f>
        <v>1.5599999999999999E-2</v>
      </c>
      <c r="F24" s="3"/>
      <c r="G24" s="1" t="s">
        <v>387</v>
      </c>
      <c r="H24" s="1" t="s">
        <v>388</v>
      </c>
      <c r="I24" s="1" t="s">
        <v>389</v>
      </c>
      <c r="J24" s="1">
        <v>1.5599999999999999E-2</v>
      </c>
      <c r="L24" s="1" t="s">
        <v>387</v>
      </c>
      <c r="M24" s="1" t="s">
        <v>388</v>
      </c>
      <c r="N24" s="1" t="s">
        <v>389</v>
      </c>
      <c r="O24" s="1">
        <v>1.5599999999999999E-2</v>
      </c>
    </row>
    <row r="25" spans="2:15">
      <c r="F25" s="3"/>
    </row>
    <row r="26" spans="2:15">
      <c r="B26" s="220" t="s">
        <v>390</v>
      </c>
      <c r="C26" s="221"/>
      <c r="D26" s="221"/>
      <c r="E26" s="224"/>
      <c r="F26" s="3"/>
      <c r="G26" s="220" t="s">
        <v>390</v>
      </c>
      <c r="H26" s="221"/>
      <c r="I26" s="221"/>
      <c r="J26" s="224"/>
      <c r="L26" s="220" t="s">
        <v>390</v>
      </c>
      <c r="M26" s="221"/>
      <c r="N26" s="221"/>
      <c r="O26" s="224"/>
    </row>
    <row r="27" spans="2:15">
      <c r="B27" s="1" t="s">
        <v>391</v>
      </c>
      <c r="C27" s="1" t="s">
        <v>392</v>
      </c>
      <c r="D27" s="1" t="s">
        <v>393</v>
      </c>
      <c r="E27" s="4">
        <f>E10*((E22*E21)+E23)*E24</f>
        <v>6648.3646734959993</v>
      </c>
      <c r="F27" s="3"/>
      <c r="G27" s="1" t="s">
        <v>391</v>
      </c>
      <c r="H27" s="1" t="s">
        <v>392</v>
      </c>
      <c r="I27" s="1" t="s">
        <v>393</v>
      </c>
      <c r="J27" s="4">
        <f>J10*((J22*J21)+J23)*J24</f>
        <v>3931.4703171743986</v>
      </c>
      <c r="L27" s="1" t="s">
        <v>391</v>
      </c>
      <c r="M27" s="1" t="s">
        <v>392</v>
      </c>
      <c r="N27" s="1" t="s">
        <v>393</v>
      </c>
      <c r="O27" s="4">
        <f>O10*((O22*O21)+O23)*O24</f>
        <v>2716.8943563215998</v>
      </c>
    </row>
    <row r="28" spans="2:15">
      <c r="B28" s="1" t="s">
        <v>394</v>
      </c>
      <c r="C28" s="1" t="s">
        <v>395</v>
      </c>
      <c r="D28" s="1" t="s">
        <v>393</v>
      </c>
      <c r="E28" s="4">
        <f>E18*((E22*E21)+E23)*E24</f>
        <v>0</v>
      </c>
      <c r="F28" s="3"/>
      <c r="G28" s="1" t="s">
        <v>394</v>
      </c>
      <c r="H28" s="1" t="s">
        <v>395</v>
      </c>
      <c r="I28" s="1" t="s">
        <v>393</v>
      </c>
      <c r="J28" s="4">
        <f>J18*((J22*J21)+J23)*J24</f>
        <v>0</v>
      </c>
      <c r="L28" s="1" t="s">
        <v>394</v>
      </c>
      <c r="M28" s="1" t="s">
        <v>395</v>
      </c>
      <c r="N28" s="1" t="s">
        <v>393</v>
      </c>
      <c r="O28" s="4">
        <f>O18*((O22*O21)+O23)*O24</f>
        <v>0</v>
      </c>
    </row>
    <row r="29" spans="2:15">
      <c r="B29" s="1" t="s">
        <v>412</v>
      </c>
      <c r="C29" s="1" t="s">
        <v>397</v>
      </c>
      <c r="D29" s="1" t="s">
        <v>355</v>
      </c>
      <c r="E29" s="181">
        <v>0.81730000000000003</v>
      </c>
      <c r="F29" s="3"/>
      <c r="G29" s="1" t="s">
        <v>412</v>
      </c>
      <c r="H29" s="1" t="s">
        <v>397</v>
      </c>
      <c r="I29" s="1" t="s">
        <v>355</v>
      </c>
      <c r="J29" s="181">
        <v>0.81730000000000003</v>
      </c>
      <c r="L29" s="1" t="s">
        <v>412</v>
      </c>
      <c r="M29" s="1" t="s">
        <v>397</v>
      </c>
      <c r="N29" s="1" t="s">
        <v>355</v>
      </c>
      <c r="O29" s="181">
        <v>0.81730000000000003</v>
      </c>
    </row>
    <row r="30" spans="2:15">
      <c r="B30" s="1" t="s">
        <v>398</v>
      </c>
      <c r="C30" s="1" t="s">
        <v>399</v>
      </c>
      <c r="D30" s="1" t="s">
        <v>393</v>
      </c>
      <c r="E30" s="1">
        <v>0</v>
      </c>
      <c r="F30" s="3"/>
      <c r="G30" s="1" t="s">
        <v>398</v>
      </c>
      <c r="H30" s="1" t="s">
        <v>399</v>
      </c>
      <c r="I30" s="1" t="s">
        <v>393</v>
      </c>
      <c r="J30" s="1">
        <v>0</v>
      </c>
      <c r="L30" s="1" t="s">
        <v>398</v>
      </c>
      <c r="M30" s="1" t="s">
        <v>399</v>
      </c>
      <c r="N30" s="1" t="s">
        <v>393</v>
      </c>
      <c r="O30" s="1">
        <v>0</v>
      </c>
    </row>
    <row r="31" spans="2:15">
      <c r="B31" s="1" t="s">
        <v>400</v>
      </c>
      <c r="C31" s="1" t="s">
        <v>401</v>
      </c>
      <c r="D31" s="1" t="s">
        <v>393</v>
      </c>
      <c r="E31" s="4">
        <f>((E27-E28)*E29)-E30</f>
        <v>5433.7084476482805</v>
      </c>
      <c r="F31" s="3"/>
      <c r="G31" s="1" t="s">
        <v>400</v>
      </c>
      <c r="H31" s="1" t="s">
        <v>401</v>
      </c>
      <c r="I31" s="1" t="s">
        <v>393</v>
      </c>
      <c r="J31" s="7">
        <f>((J27-J28)*J29)-J30</f>
        <v>3213.190690226636</v>
      </c>
      <c r="L31" s="1" t="s">
        <v>400</v>
      </c>
      <c r="M31" s="1" t="s">
        <v>401</v>
      </c>
      <c r="N31" s="1" t="s">
        <v>393</v>
      </c>
      <c r="O31" s="7">
        <f>((O27-O28)*O29)-O30</f>
        <v>2220.5177574216436</v>
      </c>
    </row>
    <row r="32" spans="2:15">
      <c r="D32" s="5"/>
      <c r="F32" s="3"/>
      <c r="I32" s="5"/>
      <c r="N32" s="5"/>
    </row>
    <row r="33" spans="2:15">
      <c r="B33" s="225" t="s">
        <v>402</v>
      </c>
      <c r="C33" s="225"/>
      <c r="D33" s="225"/>
      <c r="E33" s="225"/>
      <c r="F33" s="3"/>
      <c r="G33" s="225" t="s">
        <v>402</v>
      </c>
      <c r="H33" s="225"/>
      <c r="I33" s="225"/>
      <c r="J33" s="225"/>
      <c r="L33" s="225" t="s">
        <v>402</v>
      </c>
      <c r="M33" s="225"/>
      <c r="N33" s="225"/>
      <c r="O33" s="225"/>
    </row>
    <row r="34" spans="2:15">
      <c r="B34" s="13" t="s">
        <v>403</v>
      </c>
      <c r="C34" s="1"/>
      <c r="D34" s="14"/>
      <c r="E34" s="23">
        <f>1-E35</f>
        <v>0.95</v>
      </c>
      <c r="F34" s="3"/>
      <c r="G34" s="13" t="s">
        <v>403</v>
      </c>
      <c r="H34" s="1"/>
      <c r="I34" s="14"/>
      <c r="J34" s="23">
        <f>1-J35</f>
        <v>0.95</v>
      </c>
      <c r="L34" s="13" t="s">
        <v>403</v>
      </c>
      <c r="M34" s="1"/>
      <c r="N34" s="14"/>
      <c r="O34" s="23">
        <f>1-O35</f>
        <v>0.95</v>
      </c>
    </row>
    <row r="35" spans="2:15">
      <c r="B35" s="13" t="s">
        <v>404</v>
      </c>
      <c r="C35" s="1" t="s">
        <v>405</v>
      </c>
      <c r="D35" s="14" t="s">
        <v>316</v>
      </c>
      <c r="E35" s="23">
        <v>0.05</v>
      </c>
      <c r="F35" s="3"/>
      <c r="G35" s="13" t="s">
        <v>404</v>
      </c>
      <c r="H35" s="1" t="s">
        <v>405</v>
      </c>
      <c r="I35" s="14" t="s">
        <v>316</v>
      </c>
      <c r="J35" s="23">
        <v>0.05</v>
      </c>
      <c r="L35" s="13" t="s">
        <v>404</v>
      </c>
      <c r="M35" s="1" t="s">
        <v>405</v>
      </c>
      <c r="N35" s="14" t="s">
        <v>316</v>
      </c>
      <c r="O35" s="23">
        <v>0.05</v>
      </c>
    </row>
    <row r="36" spans="2:15">
      <c r="B36" s="15" t="s">
        <v>400</v>
      </c>
      <c r="C36" s="15" t="s">
        <v>407</v>
      </c>
      <c r="D36" s="15" t="s">
        <v>393</v>
      </c>
      <c r="E36" s="25">
        <f>E31*(1-E35)</f>
        <v>5162.0230252658666</v>
      </c>
      <c r="F36" s="3"/>
      <c r="G36" s="15" t="s">
        <v>400</v>
      </c>
      <c r="H36" s="15" t="s">
        <v>407</v>
      </c>
      <c r="I36" s="15" t="s">
        <v>393</v>
      </c>
      <c r="J36" s="25">
        <f>J31*(1-J35)</f>
        <v>3052.5311557153041</v>
      </c>
      <c r="L36" s="15" t="s">
        <v>400</v>
      </c>
      <c r="M36" s="15" t="s">
        <v>407</v>
      </c>
      <c r="N36" s="15" t="s">
        <v>393</v>
      </c>
      <c r="O36" s="25">
        <f>O31*(1-O35)</f>
        <v>2109.4918695505612</v>
      </c>
    </row>
    <row r="37" spans="2:15">
      <c r="B37" s="21" t="s">
        <v>413</v>
      </c>
      <c r="C37" s="20" t="s">
        <v>407</v>
      </c>
      <c r="D37" s="20" t="s">
        <v>393</v>
      </c>
      <c r="E37" s="26">
        <f>J37+O37</f>
        <v>5161</v>
      </c>
      <c r="F37" s="3"/>
      <c r="G37" s="21" t="s">
        <v>413</v>
      </c>
      <c r="H37" s="20" t="s">
        <v>407</v>
      </c>
      <c r="I37" s="20" t="s">
        <v>393</v>
      </c>
      <c r="J37" s="26">
        <f>_xlfn.FLOOR.MATH(J36)</f>
        <v>3052</v>
      </c>
      <c r="L37" s="21" t="s">
        <v>413</v>
      </c>
      <c r="M37" s="20" t="s">
        <v>407</v>
      </c>
      <c r="N37" s="20" t="s">
        <v>393</v>
      </c>
      <c r="O37" s="26">
        <f>_xlfn.FLOOR.MATH(O36)</f>
        <v>2109</v>
      </c>
    </row>
    <row r="38" spans="2:15">
      <c r="C38" s="223"/>
      <c r="D38" s="223"/>
      <c r="F38" s="3"/>
      <c r="H38" s="223"/>
      <c r="I38" s="223"/>
      <c r="M38" s="223"/>
      <c r="N38" s="223"/>
    </row>
    <row r="39" spans="2:15">
      <c r="C39" s="111"/>
      <c r="D39" s="112"/>
      <c r="F39" s="3"/>
      <c r="I39" s="27"/>
    </row>
    <row r="40" spans="2:15">
      <c r="C40" s="111"/>
      <c r="D40" s="178"/>
      <c r="E40" s="27"/>
      <c r="F40" s="3"/>
      <c r="J40" s="27"/>
    </row>
    <row r="41" spans="2:15">
      <c r="E41" s="110"/>
      <c r="F41" s="3"/>
      <c r="J41" s="16"/>
      <c r="O41" s="16"/>
    </row>
    <row r="42" spans="2:15">
      <c r="D42" s="178"/>
      <c r="F42" s="3"/>
    </row>
    <row r="43" spans="2:15">
      <c r="F43" s="3"/>
    </row>
    <row r="47" spans="2:15">
      <c r="E47" s="27"/>
    </row>
  </sheetData>
  <mergeCells count="21">
    <mergeCell ref="L33:O33"/>
    <mergeCell ref="M38:N38"/>
    <mergeCell ref="L2:O2"/>
    <mergeCell ref="L4:O4"/>
    <mergeCell ref="L12:O12"/>
    <mergeCell ref="L20:O20"/>
    <mergeCell ref="L26:O26"/>
    <mergeCell ref="H38:I38"/>
    <mergeCell ref="B26:E26"/>
    <mergeCell ref="B33:E33"/>
    <mergeCell ref="B2:E2"/>
    <mergeCell ref="B4:E4"/>
    <mergeCell ref="B12:E12"/>
    <mergeCell ref="B20:E20"/>
    <mergeCell ref="C38:D38"/>
    <mergeCell ref="G2:J2"/>
    <mergeCell ref="G4:J4"/>
    <mergeCell ref="G12:J12"/>
    <mergeCell ref="G20:J20"/>
    <mergeCell ref="G26:J26"/>
    <mergeCell ref="G33:J33"/>
  </mergeCells>
  <pageMargins left="0.7" right="0.7" top="0.75" bottom="0.75" header="0.3" footer="0.3"/>
  <pageSetup paperSize="9" orientation="portrait" r:id="rId1"/>
  <ignoredErrors>
    <ignoredError sqref="O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7AF4-EC04-4D1A-A947-29960D7BFE73}">
  <dimension ref="B1:O47"/>
  <sheetViews>
    <sheetView showGridLines="0" zoomScale="40" zoomScaleNormal="40" workbookViewId="0">
      <selection activeCell="G47" sqref="G47"/>
    </sheetView>
  </sheetViews>
  <sheetFormatPr defaultRowHeight="14.5"/>
  <cols>
    <col min="2" max="2" width="60.7265625" bestFit="1" customWidth="1"/>
    <col min="3" max="3" width="18.26953125" bestFit="1" customWidth="1"/>
    <col min="4" max="4" width="12.453125" bestFit="1" customWidth="1"/>
    <col min="5" max="5" width="12.7265625" customWidth="1"/>
    <col min="6" max="6" width="7.26953125" customWidth="1"/>
    <col min="7" max="7" width="60.7265625" bestFit="1" customWidth="1"/>
    <col min="8" max="8" width="18.26953125" bestFit="1" customWidth="1"/>
    <col min="9" max="9" width="12.453125" bestFit="1" customWidth="1"/>
    <col min="10" max="10" width="12.54296875" customWidth="1"/>
    <col min="11" max="11" width="5" customWidth="1"/>
    <col min="12" max="12" width="60.7265625" bestFit="1" customWidth="1"/>
    <col min="13" max="13" width="18.26953125" bestFit="1" customWidth="1"/>
    <col min="14" max="14" width="12.453125" bestFit="1" customWidth="1"/>
    <col min="15" max="15" width="12.26953125" customWidth="1"/>
  </cols>
  <sheetData>
    <row r="1" spans="2:15" ht="14.5" customHeight="1"/>
    <row r="2" spans="2:15" ht="15" customHeight="1">
      <c r="B2" s="222" t="s">
        <v>435</v>
      </c>
      <c r="C2" s="222"/>
      <c r="D2" s="222"/>
      <c r="E2" s="222"/>
      <c r="G2" s="222" t="s">
        <v>408</v>
      </c>
      <c r="H2" s="222"/>
      <c r="I2" s="222"/>
      <c r="J2" s="222"/>
      <c r="L2" s="222" t="s">
        <v>434</v>
      </c>
      <c r="M2" s="222"/>
      <c r="N2" s="222"/>
      <c r="O2" s="222"/>
    </row>
    <row r="4" spans="2:15" s="3" customFormat="1">
      <c r="B4" s="220" t="s">
        <v>352</v>
      </c>
      <c r="C4" s="221"/>
      <c r="D4" s="221"/>
      <c r="E4" s="224"/>
      <c r="G4" s="220" t="s">
        <v>352</v>
      </c>
      <c r="H4" s="221"/>
      <c r="I4" s="221"/>
      <c r="J4" s="224"/>
      <c r="L4" s="220" t="s">
        <v>352</v>
      </c>
      <c r="M4" s="221"/>
      <c r="N4" s="221"/>
      <c r="O4" s="224"/>
    </row>
    <row r="5" spans="2:15">
      <c r="B5" s="1" t="s">
        <v>353</v>
      </c>
      <c r="C5" s="1" t="s">
        <v>354</v>
      </c>
      <c r="D5" s="1" t="s">
        <v>355</v>
      </c>
      <c r="E5" s="38">
        <v>0.02</v>
      </c>
      <c r="F5" s="3"/>
      <c r="G5" s="1" t="s">
        <v>353</v>
      </c>
      <c r="H5" s="1" t="s">
        <v>354</v>
      </c>
      <c r="I5" s="1" t="s">
        <v>355</v>
      </c>
      <c r="J5" s="38">
        <v>0.02</v>
      </c>
      <c r="L5" s="1" t="s">
        <v>353</v>
      </c>
      <c r="M5" s="1" t="s">
        <v>354</v>
      </c>
      <c r="N5" s="1" t="s">
        <v>355</v>
      </c>
      <c r="O5" s="113">
        <f>J5</f>
        <v>0.02</v>
      </c>
    </row>
    <row r="6" spans="2:15">
      <c r="B6" s="1" t="s">
        <v>409</v>
      </c>
      <c r="C6" s="1" t="s">
        <v>357</v>
      </c>
      <c r="D6" s="1"/>
      <c r="E6" s="4">
        <f>'Total PTDs'!R32*0.95</f>
        <v>1273095</v>
      </c>
      <c r="F6" s="3"/>
      <c r="G6" s="1" t="s">
        <v>409</v>
      </c>
      <c r="H6" s="1" t="s">
        <v>357</v>
      </c>
      <c r="I6" s="1"/>
      <c r="J6" s="4">
        <f>'Total PTDs'!P32*0.95</f>
        <v>761805</v>
      </c>
      <c r="L6" s="1" t="s">
        <v>409</v>
      </c>
      <c r="M6" s="1" t="s">
        <v>357</v>
      </c>
      <c r="N6" s="1"/>
      <c r="O6" s="4">
        <f>'Total PTDs'!Q32*0.95</f>
        <v>511290</v>
      </c>
    </row>
    <row r="7" spans="2:15">
      <c r="B7" s="1" t="s">
        <v>358</v>
      </c>
      <c r="C7" s="1" t="s">
        <v>359</v>
      </c>
      <c r="D7" s="1" t="s">
        <v>360</v>
      </c>
      <c r="E7" s="12">
        <f>J7</f>
        <v>4.0000000000000002E-4</v>
      </c>
      <c r="F7" s="3"/>
      <c r="G7" s="1" t="s">
        <v>358</v>
      </c>
      <c r="H7" s="1" t="s">
        <v>359</v>
      </c>
      <c r="I7" s="1" t="s">
        <v>360</v>
      </c>
      <c r="J7" s="12">
        <v>4.0000000000000002E-4</v>
      </c>
      <c r="L7" s="1" t="s">
        <v>358</v>
      </c>
      <c r="M7" s="1" t="s">
        <v>359</v>
      </c>
      <c r="N7" s="1" t="s">
        <v>360</v>
      </c>
      <c r="O7" s="12">
        <f>J7</f>
        <v>4.0000000000000002E-4</v>
      </c>
    </row>
    <row r="8" spans="2:15" ht="29">
      <c r="B8" s="2" t="s">
        <v>410</v>
      </c>
      <c r="C8" s="1" t="s">
        <v>362</v>
      </c>
      <c r="D8" s="1" t="s">
        <v>363</v>
      </c>
      <c r="E8" s="1">
        <v>7.5</v>
      </c>
      <c r="F8" s="3"/>
      <c r="G8" s="2" t="s">
        <v>410</v>
      </c>
      <c r="H8" s="1" t="s">
        <v>362</v>
      </c>
      <c r="I8" s="1" t="s">
        <v>363</v>
      </c>
      <c r="J8" s="1">
        <v>7.5</v>
      </c>
      <c r="L8" s="2" t="s">
        <v>410</v>
      </c>
      <c r="M8" s="1" t="s">
        <v>362</v>
      </c>
      <c r="N8" s="1" t="s">
        <v>363</v>
      </c>
      <c r="O8" s="1">
        <v>7.5</v>
      </c>
    </row>
    <row r="9" spans="2:15">
      <c r="B9" s="2" t="s">
        <v>364</v>
      </c>
      <c r="C9" s="1" t="s">
        <v>365</v>
      </c>
      <c r="D9" s="1" t="s">
        <v>363</v>
      </c>
      <c r="E9" s="1">
        <v>0</v>
      </c>
      <c r="F9" s="3"/>
      <c r="G9" s="2" t="s">
        <v>364</v>
      </c>
      <c r="H9" s="1" t="s">
        <v>365</v>
      </c>
      <c r="I9" s="1" t="s">
        <v>363</v>
      </c>
      <c r="J9" s="1">
        <v>0</v>
      </c>
      <c r="L9" s="2" t="s">
        <v>364</v>
      </c>
      <c r="M9" s="1" t="s">
        <v>365</v>
      </c>
      <c r="N9" s="1" t="s">
        <v>363</v>
      </c>
      <c r="O9" s="1">
        <v>0</v>
      </c>
    </row>
    <row r="10" spans="2:15">
      <c r="B10" s="1" t="s">
        <v>366</v>
      </c>
      <c r="C10" s="1" t="s">
        <v>367</v>
      </c>
      <c r="D10" s="1" t="s">
        <v>368</v>
      </c>
      <c r="E10" s="4">
        <f>(1-E5)*E6*E7*(E8+E9)</f>
        <v>3742.8993000000005</v>
      </c>
      <c r="F10" s="3"/>
      <c r="G10" s="1" t="s">
        <v>366</v>
      </c>
      <c r="H10" s="1" t="s">
        <v>367</v>
      </c>
      <c r="I10" s="1" t="s">
        <v>368</v>
      </c>
      <c r="J10" s="7">
        <f>(1-J5)*J6*J7*(J8+J9)</f>
        <v>2239.7067000000002</v>
      </c>
      <c r="L10" s="1" t="s">
        <v>366</v>
      </c>
      <c r="M10" s="1" t="s">
        <v>367</v>
      </c>
      <c r="N10" s="1" t="s">
        <v>368</v>
      </c>
      <c r="O10" s="7">
        <f>(1-O5)*O6*O7*(O8+O9)</f>
        <v>1503.1926000000003</v>
      </c>
    </row>
    <row r="11" spans="2:15">
      <c r="F11" s="3"/>
    </row>
    <row r="12" spans="2:15">
      <c r="B12" s="220" t="s">
        <v>369</v>
      </c>
      <c r="C12" s="221"/>
      <c r="D12" s="221"/>
      <c r="E12" s="224"/>
      <c r="F12" s="3"/>
      <c r="G12" s="220" t="s">
        <v>369</v>
      </c>
      <c r="H12" s="221"/>
      <c r="I12" s="221"/>
      <c r="J12" s="224"/>
      <c r="L12" s="220" t="s">
        <v>369</v>
      </c>
      <c r="M12" s="221"/>
      <c r="N12" s="221"/>
      <c r="O12" s="224"/>
    </row>
    <row r="13" spans="2:15">
      <c r="B13" s="1" t="s">
        <v>370</v>
      </c>
      <c r="C13" s="1" t="s">
        <v>354</v>
      </c>
      <c r="D13" s="1" t="s">
        <v>355</v>
      </c>
      <c r="E13" s="38">
        <v>0.02</v>
      </c>
      <c r="F13" s="3"/>
      <c r="G13" s="1" t="s">
        <v>370</v>
      </c>
      <c r="H13" s="1" t="s">
        <v>354</v>
      </c>
      <c r="I13" s="1" t="s">
        <v>355</v>
      </c>
      <c r="J13" s="113">
        <f>J5</f>
        <v>0.02</v>
      </c>
      <c r="L13" s="1" t="s">
        <v>370</v>
      </c>
      <c r="M13" s="1" t="s">
        <v>354</v>
      </c>
      <c r="N13" s="1" t="s">
        <v>355</v>
      </c>
      <c r="O13" s="113">
        <f>O5</f>
        <v>0.02</v>
      </c>
    </row>
    <row r="14" spans="2:15">
      <c r="B14" s="1" t="s">
        <v>409</v>
      </c>
      <c r="C14" s="1" t="s">
        <v>357</v>
      </c>
      <c r="D14" s="1"/>
      <c r="E14" s="4">
        <f>E6</f>
        <v>1273095</v>
      </c>
      <c r="F14" s="3"/>
      <c r="G14" s="1" t="s">
        <v>409</v>
      </c>
      <c r="H14" s="1" t="s">
        <v>357</v>
      </c>
      <c r="I14" s="1"/>
      <c r="J14" s="4">
        <f>J6</f>
        <v>761805</v>
      </c>
      <c r="L14" s="1" t="s">
        <v>409</v>
      </c>
      <c r="M14" s="1" t="s">
        <v>357</v>
      </c>
      <c r="N14" s="1"/>
      <c r="O14" s="4">
        <f>O6</f>
        <v>511290</v>
      </c>
    </row>
    <row r="15" spans="2:15">
      <c r="B15" s="1" t="s">
        <v>371</v>
      </c>
      <c r="C15" s="1" t="s">
        <v>372</v>
      </c>
      <c r="D15" s="1" t="s">
        <v>360</v>
      </c>
      <c r="E15" s="12">
        <f>E7</f>
        <v>4.0000000000000002E-4</v>
      </c>
      <c r="F15" s="3"/>
      <c r="G15" s="1" t="s">
        <v>371</v>
      </c>
      <c r="H15" s="1" t="s">
        <v>372</v>
      </c>
      <c r="I15" s="1" t="s">
        <v>360</v>
      </c>
      <c r="J15" s="12">
        <f>J7</f>
        <v>4.0000000000000002E-4</v>
      </c>
      <c r="L15" s="1" t="s">
        <v>371</v>
      </c>
      <c r="M15" s="1" t="s">
        <v>372</v>
      </c>
      <c r="N15" s="1" t="s">
        <v>360</v>
      </c>
      <c r="O15" s="12">
        <f>O7</f>
        <v>4.0000000000000002E-4</v>
      </c>
    </row>
    <row r="16" spans="2:15">
      <c r="B16" s="1" t="s">
        <v>373</v>
      </c>
      <c r="C16" s="1" t="s">
        <v>365</v>
      </c>
      <c r="D16" s="1" t="s">
        <v>363</v>
      </c>
      <c r="E16" s="1">
        <v>0</v>
      </c>
      <c r="F16" s="3"/>
      <c r="G16" s="1" t="s">
        <v>373</v>
      </c>
      <c r="H16" s="1" t="s">
        <v>365</v>
      </c>
      <c r="I16" s="1" t="s">
        <v>363</v>
      </c>
      <c r="J16" s="1">
        <v>0</v>
      </c>
      <c r="L16" s="1" t="s">
        <v>373</v>
      </c>
      <c r="M16" s="1" t="s">
        <v>365</v>
      </c>
      <c r="N16" s="1" t="s">
        <v>363</v>
      </c>
      <c r="O16" s="1">
        <v>0</v>
      </c>
    </row>
    <row r="17" spans="2:15">
      <c r="B17" s="1" t="s">
        <v>374</v>
      </c>
      <c r="C17" s="1" t="s">
        <v>375</v>
      </c>
      <c r="D17" s="1" t="s">
        <v>363</v>
      </c>
      <c r="E17" s="22">
        <v>0</v>
      </c>
      <c r="F17" s="3"/>
      <c r="G17" s="1" t="s">
        <v>374</v>
      </c>
      <c r="H17" s="1" t="s">
        <v>375</v>
      </c>
      <c r="I17" s="1" t="s">
        <v>363</v>
      </c>
      <c r="J17" s="22">
        <v>0</v>
      </c>
      <c r="L17" s="1" t="s">
        <v>374</v>
      </c>
      <c r="M17" s="1" t="s">
        <v>375</v>
      </c>
      <c r="N17" s="1" t="s">
        <v>363</v>
      </c>
      <c r="O17" s="22">
        <v>0</v>
      </c>
    </row>
    <row r="18" spans="2:15">
      <c r="B18" s="1" t="s">
        <v>376</v>
      </c>
      <c r="C18" s="1" t="s">
        <v>377</v>
      </c>
      <c r="D18" s="1" t="s">
        <v>368</v>
      </c>
      <c r="E18" s="7">
        <f>(1-E13)*E14*E15*(E16+E17)</f>
        <v>0</v>
      </c>
      <c r="F18" s="3"/>
      <c r="G18" s="1" t="s">
        <v>376</v>
      </c>
      <c r="H18" s="1" t="s">
        <v>377</v>
      </c>
      <c r="I18" s="1" t="s">
        <v>368</v>
      </c>
      <c r="J18" s="7">
        <f>(1-J13)*J14*J15*(J16+J17)</f>
        <v>0</v>
      </c>
      <c r="L18" s="1" t="s">
        <v>376</v>
      </c>
      <c r="M18" s="1" t="s">
        <v>377</v>
      </c>
      <c r="N18" s="1" t="s">
        <v>368</v>
      </c>
      <c r="O18" s="7">
        <f>(1-O13)*O14*O15*(O16+O17)</f>
        <v>0</v>
      </c>
    </row>
    <row r="19" spans="2:15">
      <c r="F19" s="3"/>
    </row>
    <row r="20" spans="2:15">
      <c r="B20" s="220" t="s">
        <v>378</v>
      </c>
      <c r="C20" s="221"/>
      <c r="D20" s="221"/>
      <c r="E20" s="224"/>
      <c r="F20" s="3"/>
      <c r="G20" s="220" t="s">
        <v>378</v>
      </c>
      <c r="H20" s="221"/>
      <c r="I20" s="221"/>
      <c r="J20" s="224"/>
      <c r="L20" s="220" t="s">
        <v>378</v>
      </c>
      <c r="M20" s="221"/>
      <c r="N20" s="221"/>
      <c r="O20" s="224"/>
    </row>
    <row r="21" spans="2:15">
      <c r="B21" s="2" t="s">
        <v>379</v>
      </c>
      <c r="C21" s="1" t="s">
        <v>379</v>
      </c>
      <c r="D21" s="1" t="s">
        <v>380</v>
      </c>
      <c r="E21" s="8">
        <v>0.95</v>
      </c>
      <c r="F21" s="3"/>
      <c r="G21" s="2" t="s">
        <v>379</v>
      </c>
      <c r="H21" s="1" t="s">
        <v>379</v>
      </c>
      <c r="I21" s="1" t="s">
        <v>380</v>
      </c>
      <c r="J21" s="8">
        <v>0.95</v>
      </c>
      <c r="L21" s="2" t="s">
        <v>379</v>
      </c>
      <c r="M21" s="1" t="s">
        <v>379</v>
      </c>
      <c r="N21" s="1" t="s">
        <v>380</v>
      </c>
      <c r="O21" s="8">
        <v>0.95</v>
      </c>
    </row>
    <row r="22" spans="2:15">
      <c r="B22" s="1" t="s">
        <v>381</v>
      </c>
      <c r="C22" s="1" t="s">
        <v>382</v>
      </c>
      <c r="D22" s="1" t="s">
        <v>383</v>
      </c>
      <c r="E22" s="1">
        <v>112</v>
      </c>
      <c r="F22" s="3"/>
      <c r="G22" s="1" t="s">
        <v>381</v>
      </c>
      <c r="H22" s="1" t="s">
        <v>382</v>
      </c>
      <c r="I22" s="1" t="s">
        <v>383</v>
      </c>
      <c r="J22" s="1">
        <v>112</v>
      </c>
      <c r="L22" s="1" t="s">
        <v>381</v>
      </c>
      <c r="M22" s="1" t="s">
        <v>382</v>
      </c>
      <c r="N22" s="1" t="s">
        <v>383</v>
      </c>
      <c r="O22" s="1">
        <v>112</v>
      </c>
    </row>
    <row r="23" spans="2:15">
      <c r="B23" s="1" t="s">
        <v>411</v>
      </c>
      <c r="C23" s="1" t="s">
        <v>385</v>
      </c>
      <c r="D23" s="1" t="s">
        <v>386</v>
      </c>
      <c r="E23" s="171">
        <f>(J6*J23+O6*O23)/E6</f>
        <v>9.4600000000000009</v>
      </c>
      <c r="F23" s="3"/>
      <c r="G23" s="1" t="s">
        <v>384</v>
      </c>
      <c r="H23" s="1" t="s">
        <v>385</v>
      </c>
      <c r="I23" s="1" t="s">
        <v>386</v>
      </c>
      <c r="J23" s="1">
        <v>9.4600000000000009</v>
      </c>
      <c r="L23" s="1" t="s">
        <v>384</v>
      </c>
      <c r="M23" s="1" t="s">
        <v>385</v>
      </c>
      <c r="N23" s="1" t="s">
        <v>386</v>
      </c>
      <c r="O23" s="1">
        <f>9.46</f>
        <v>9.4600000000000009</v>
      </c>
    </row>
    <row r="24" spans="2:15">
      <c r="B24" s="1" t="s">
        <v>387</v>
      </c>
      <c r="C24" s="1" t="s">
        <v>388</v>
      </c>
      <c r="D24" s="1" t="s">
        <v>389</v>
      </c>
      <c r="E24" s="1">
        <f>0.0156</f>
        <v>1.5599999999999999E-2</v>
      </c>
      <c r="F24" s="3"/>
      <c r="G24" s="1" t="s">
        <v>387</v>
      </c>
      <c r="H24" s="1" t="s">
        <v>388</v>
      </c>
      <c r="I24" s="1" t="s">
        <v>389</v>
      </c>
      <c r="J24" s="1">
        <v>1.5599999999999999E-2</v>
      </c>
      <c r="L24" s="1" t="s">
        <v>387</v>
      </c>
      <c r="M24" s="1" t="s">
        <v>388</v>
      </c>
      <c r="N24" s="1" t="s">
        <v>389</v>
      </c>
      <c r="O24" s="1">
        <v>1.5599999999999999E-2</v>
      </c>
    </row>
    <row r="25" spans="2:15">
      <c r="F25" s="3"/>
    </row>
    <row r="26" spans="2:15">
      <c r="B26" s="220" t="s">
        <v>390</v>
      </c>
      <c r="C26" s="221"/>
      <c r="D26" s="221"/>
      <c r="E26" s="224"/>
      <c r="F26" s="3"/>
      <c r="G26" s="220" t="s">
        <v>390</v>
      </c>
      <c r="H26" s="221"/>
      <c r="I26" s="221"/>
      <c r="J26" s="224"/>
      <c r="L26" s="220" t="s">
        <v>390</v>
      </c>
      <c r="M26" s="221"/>
      <c r="N26" s="221"/>
      <c r="O26" s="224"/>
    </row>
    <row r="27" spans="2:15">
      <c r="B27" s="1" t="s">
        <v>391</v>
      </c>
      <c r="C27" s="1" t="s">
        <v>392</v>
      </c>
      <c r="D27" s="1" t="s">
        <v>393</v>
      </c>
      <c r="E27" s="4">
        <f>E10*((E22*E21)+E23)*E24</f>
        <v>6764.9760812087998</v>
      </c>
      <c r="F27" s="3"/>
      <c r="G27" s="1" t="s">
        <v>391</v>
      </c>
      <c r="H27" s="1" t="s">
        <v>392</v>
      </c>
      <c r="I27" s="1" t="s">
        <v>393</v>
      </c>
      <c r="J27" s="4">
        <f>J10*((J22*J21)+J23)*J24</f>
        <v>4048.0817248871995</v>
      </c>
      <c r="L27" s="1" t="s">
        <v>391</v>
      </c>
      <c r="M27" s="1" t="s">
        <v>392</v>
      </c>
      <c r="N27" s="1" t="s">
        <v>393</v>
      </c>
      <c r="O27" s="4">
        <f>O10*((O22*O21)+O23)*O24</f>
        <v>2716.8943563215998</v>
      </c>
    </row>
    <row r="28" spans="2:15">
      <c r="B28" s="1" t="s">
        <v>394</v>
      </c>
      <c r="C28" s="1" t="s">
        <v>395</v>
      </c>
      <c r="D28" s="1" t="s">
        <v>393</v>
      </c>
      <c r="E28" s="4">
        <f>E18*((E22*E21)+E23)*E24</f>
        <v>0</v>
      </c>
      <c r="F28" s="3"/>
      <c r="G28" s="1" t="s">
        <v>394</v>
      </c>
      <c r="H28" s="1" t="s">
        <v>395</v>
      </c>
      <c r="I28" s="1" t="s">
        <v>393</v>
      </c>
      <c r="J28" s="4">
        <f>J18*((J22*J21)+J23)*J24</f>
        <v>0</v>
      </c>
      <c r="L28" s="1" t="s">
        <v>394</v>
      </c>
      <c r="M28" s="1" t="s">
        <v>395</v>
      </c>
      <c r="N28" s="1" t="s">
        <v>393</v>
      </c>
      <c r="O28" s="4">
        <f>O18*((O22*O21)+O23)*O24</f>
        <v>0</v>
      </c>
    </row>
    <row r="29" spans="2:15">
      <c r="B29" s="1" t="s">
        <v>412</v>
      </c>
      <c r="C29" s="1" t="s">
        <v>397</v>
      </c>
      <c r="D29" s="1" t="s">
        <v>355</v>
      </c>
      <c r="E29" s="181">
        <v>0.81730000000000003</v>
      </c>
      <c r="F29" s="3"/>
      <c r="G29" s="1" t="s">
        <v>412</v>
      </c>
      <c r="H29" s="1" t="s">
        <v>397</v>
      </c>
      <c r="I29" s="1" t="s">
        <v>355</v>
      </c>
      <c r="J29" s="181">
        <v>0.81730000000000003</v>
      </c>
      <c r="L29" s="1" t="s">
        <v>412</v>
      </c>
      <c r="M29" s="1" t="s">
        <v>397</v>
      </c>
      <c r="N29" s="1" t="s">
        <v>355</v>
      </c>
      <c r="O29" s="181">
        <v>0.81730000000000003</v>
      </c>
    </row>
    <row r="30" spans="2:15">
      <c r="B30" s="1" t="s">
        <v>398</v>
      </c>
      <c r="C30" s="1" t="s">
        <v>399</v>
      </c>
      <c r="D30" s="1" t="s">
        <v>393</v>
      </c>
      <c r="E30" s="1">
        <v>0</v>
      </c>
      <c r="F30" s="3"/>
      <c r="G30" s="1" t="s">
        <v>398</v>
      </c>
      <c r="H30" s="1" t="s">
        <v>399</v>
      </c>
      <c r="I30" s="1" t="s">
        <v>393</v>
      </c>
      <c r="J30" s="1">
        <v>0</v>
      </c>
      <c r="L30" s="1" t="s">
        <v>398</v>
      </c>
      <c r="M30" s="1" t="s">
        <v>399</v>
      </c>
      <c r="N30" s="1" t="s">
        <v>393</v>
      </c>
      <c r="O30" s="1">
        <v>0</v>
      </c>
    </row>
    <row r="31" spans="2:15">
      <c r="B31" s="1" t="s">
        <v>400</v>
      </c>
      <c r="C31" s="1" t="s">
        <v>401</v>
      </c>
      <c r="D31" s="1" t="s">
        <v>393</v>
      </c>
      <c r="E31" s="4">
        <f>((E27-E28)*E29)-E30</f>
        <v>5529.0149511719519</v>
      </c>
      <c r="F31" s="3"/>
      <c r="G31" s="1" t="s">
        <v>400</v>
      </c>
      <c r="H31" s="1" t="s">
        <v>401</v>
      </c>
      <c r="I31" s="1" t="s">
        <v>393</v>
      </c>
      <c r="J31" s="7">
        <f>((J27-J28)*J29)-J30</f>
        <v>3308.4971937503083</v>
      </c>
      <c r="L31" s="1" t="s">
        <v>400</v>
      </c>
      <c r="M31" s="1" t="s">
        <v>401</v>
      </c>
      <c r="N31" s="1" t="s">
        <v>393</v>
      </c>
      <c r="O31" s="7">
        <f>((O27-O28)*O29)-O30</f>
        <v>2220.5177574216436</v>
      </c>
    </row>
    <row r="32" spans="2:15">
      <c r="D32" s="5"/>
      <c r="F32" s="3"/>
      <c r="I32" s="5"/>
      <c r="N32" s="5"/>
    </row>
    <row r="33" spans="2:15">
      <c r="B33" s="225" t="s">
        <v>402</v>
      </c>
      <c r="C33" s="225"/>
      <c r="D33" s="225"/>
      <c r="E33" s="225"/>
      <c r="F33" s="3"/>
      <c r="G33" s="225" t="s">
        <v>402</v>
      </c>
      <c r="H33" s="225"/>
      <c r="I33" s="225"/>
      <c r="J33" s="225"/>
      <c r="L33" s="225" t="s">
        <v>402</v>
      </c>
      <c r="M33" s="225"/>
      <c r="N33" s="225"/>
      <c r="O33" s="225"/>
    </row>
    <row r="34" spans="2:15">
      <c r="B34" s="13" t="s">
        <v>403</v>
      </c>
      <c r="C34" s="1"/>
      <c r="D34" s="14"/>
      <c r="E34" s="23">
        <f>1-E35</f>
        <v>0.95</v>
      </c>
      <c r="F34" s="3"/>
      <c r="G34" s="13" t="s">
        <v>403</v>
      </c>
      <c r="H34" s="1"/>
      <c r="I34" s="14"/>
      <c r="J34" s="23">
        <f>1-J35</f>
        <v>0.95</v>
      </c>
      <c r="L34" s="13" t="s">
        <v>403</v>
      </c>
      <c r="M34" s="1"/>
      <c r="N34" s="14"/>
      <c r="O34" s="23">
        <f>1-O35</f>
        <v>0.95</v>
      </c>
    </row>
    <row r="35" spans="2:15">
      <c r="B35" s="13" t="s">
        <v>404</v>
      </c>
      <c r="C35" s="1" t="s">
        <v>405</v>
      </c>
      <c r="D35" s="14" t="s">
        <v>316</v>
      </c>
      <c r="E35" s="23">
        <v>0.05</v>
      </c>
      <c r="F35" s="3"/>
      <c r="G35" s="13" t="s">
        <v>404</v>
      </c>
      <c r="H35" s="1" t="s">
        <v>405</v>
      </c>
      <c r="I35" s="14" t="s">
        <v>316</v>
      </c>
      <c r="J35" s="23">
        <v>0.05</v>
      </c>
      <c r="L35" s="13" t="s">
        <v>404</v>
      </c>
      <c r="M35" s="1" t="s">
        <v>405</v>
      </c>
      <c r="N35" s="14" t="s">
        <v>316</v>
      </c>
      <c r="O35" s="23">
        <v>0.05</v>
      </c>
    </row>
    <row r="36" spans="2:15">
      <c r="B36" s="15" t="s">
        <v>400</v>
      </c>
      <c r="C36" s="15" t="s">
        <v>407</v>
      </c>
      <c r="D36" s="15" t="s">
        <v>393</v>
      </c>
      <c r="E36" s="25">
        <f>E31*(1-E35)</f>
        <v>5252.564203613354</v>
      </c>
      <c r="F36" s="3"/>
      <c r="G36" s="15" t="s">
        <v>400</v>
      </c>
      <c r="H36" s="15" t="s">
        <v>407</v>
      </c>
      <c r="I36" s="15" t="s">
        <v>393</v>
      </c>
      <c r="J36" s="25">
        <f>J31*(1-J35)</f>
        <v>3143.0723340627928</v>
      </c>
      <c r="L36" s="15" t="s">
        <v>400</v>
      </c>
      <c r="M36" s="15" t="s">
        <v>407</v>
      </c>
      <c r="N36" s="15" t="s">
        <v>393</v>
      </c>
      <c r="O36" s="25">
        <f>O31*(1-O35)</f>
        <v>2109.4918695505612</v>
      </c>
    </row>
    <row r="37" spans="2:15">
      <c r="B37" s="21" t="s">
        <v>413</v>
      </c>
      <c r="C37" s="20" t="s">
        <v>407</v>
      </c>
      <c r="D37" s="20" t="s">
        <v>393</v>
      </c>
      <c r="E37" s="26">
        <f>J37+O37</f>
        <v>5252</v>
      </c>
      <c r="F37" s="3"/>
      <c r="G37" s="21" t="s">
        <v>413</v>
      </c>
      <c r="H37" s="20" t="s">
        <v>407</v>
      </c>
      <c r="I37" s="20" t="s">
        <v>393</v>
      </c>
      <c r="J37" s="26">
        <f>_xlfn.FLOOR.MATH(J36)</f>
        <v>3143</v>
      </c>
      <c r="L37" s="21" t="s">
        <v>413</v>
      </c>
      <c r="M37" s="20" t="s">
        <v>407</v>
      </c>
      <c r="N37" s="20" t="s">
        <v>393</v>
      </c>
      <c r="O37" s="26">
        <f>_xlfn.FLOOR.MATH(O36)</f>
        <v>2109</v>
      </c>
    </row>
    <row r="38" spans="2:15">
      <c r="C38" s="223"/>
      <c r="D38" s="223"/>
      <c r="F38" s="3"/>
      <c r="H38" s="223"/>
      <c r="I38" s="223"/>
      <c r="M38" s="223"/>
      <c r="N38" s="223"/>
    </row>
    <row r="39" spans="2:15">
      <c r="C39" s="111"/>
      <c r="D39" s="112"/>
      <c r="F39" s="3"/>
      <c r="I39" s="27"/>
    </row>
    <row r="40" spans="2:15">
      <c r="C40" s="111"/>
      <c r="E40" s="27"/>
      <c r="F40" s="3"/>
      <c r="J40" s="27"/>
    </row>
    <row r="41" spans="2:15">
      <c r="E41" s="110"/>
      <c r="F41" s="3"/>
      <c r="J41" s="16"/>
      <c r="O41" s="16"/>
    </row>
    <row r="42" spans="2:15">
      <c r="F42" s="3"/>
    </row>
    <row r="43" spans="2:15">
      <c r="F43" s="3"/>
    </row>
    <row r="47" spans="2:15">
      <c r="E47" s="27"/>
    </row>
  </sheetData>
  <mergeCells count="21">
    <mergeCell ref="B2:E2"/>
    <mergeCell ref="G2:J2"/>
    <mergeCell ref="L2:O2"/>
    <mergeCell ref="B4:E4"/>
    <mergeCell ref="G4:J4"/>
    <mergeCell ref="L4:O4"/>
    <mergeCell ref="B12:E12"/>
    <mergeCell ref="G12:J12"/>
    <mergeCell ref="L12:O12"/>
    <mergeCell ref="B20:E20"/>
    <mergeCell ref="G20:J20"/>
    <mergeCell ref="L20:O20"/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7AE77-A296-48D0-911F-0BFEAC104E5E}">
  <dimension ref="A1:P41"/>
  <sheetViews>
    <sheetView showGridLines="0" zoomScale="50" zoomScaleNormal="50" workbookViewId="0">
      <selection activeCell="B29" sqref="B29:O29"/>
    </sheetView>
  </sheetViews>
  <sheetFormatPr defaultRowHeight="14.5"/>
  <cols>
    <col min="2" max="2" width="60.7265625" bestFit="1" customWidth="1"/>
    <col min="3" max="3" width="18.26953125" bestFit="1" customWidth="1"/>
    <col min="4" max="4" width="12.453125" bestFit="1" customWidth="1"/>
    <col min="5" max="5" width="12.7265625" customWidth="1"/>
    <col min="6" max="6" width="7.26953125" customWidth="1"/>
    <col min="7" max="7" width="60.7265625" bestFit="1" customWidth="1"/>
    <col min="8" max="8" width="18.26953125" bestFit="1" customWidth="1"/>
    <col min="9" max="9" width="12.453125" bestFit="1" customWidth="1"/>
    <col min="10" max="10" width="12.54296875" customWidth="1"/>
    <col min="11" max="11" width="5" customWidth="1"/>
    <col min="12" max="12" width="60.7265625" bestFit="1" customWidth="1"/>
    <col min="13" max="13" width="18.26953125" bestFit="1" customWidth="1"/>
    <col min="14" max="14" width="12.453125" bestFit="1" customWidth="1"/>
    <col min="15" max="15" width="12.26953125" customWidth="1"/>
  </cols>
  <sheetData>
    <row r="1" spans="1:16" ht="14.5" customHeight="1"/>
    <row r="2" spans="1:16" ht="15" customHeight="1">
      <c r="B2" s="222" t="s">
        <v>435</v>
      </c>
      <c r="C2" s="222"/>
      <c r="D2" s="222"/>
      <c r="E2" s="222"/>
      <c r="G2" s="222" t="s">
        <v>408</v>
      </c>
      <c r="H2" s="222"/>
      <c r="I2" s="222"/>
      <c r="J2" s="222"/>
      <c r="L2" s="222" t="s">
        <v>434</v>
      </c>
      <c r="M2" s="222"/>
      <c r="N2" s="222"/>
      <c r="O2" s="222"/>
    </row>
    <row r="4" spans="1:16">
      <c r="A4" s="3"/>
      <c r="B4" s="220" t="s">
        <v>352</v>
      </c>
      <c r="C4" s="221"/>
      <c r="D4" s="221"/>
      <c r="E4" s="224"/>
      <c r="F4" s="3"/>
      <c r="G4" s="220" t="s">
        <v>352</v>
      </c>
      <c r="H4" s="221"/>
      <c r="I4" s="221"/>
      <c r="J4" s="224"/>
      <c r="K4" s="3"/>
      <c r="L4" s="220" t="s">
        <v>352</v>
      </c>
      <c r="M4" s="221"/>
      <c r="N4" s="221"/>
      <c r="O4" s="224"/>
      <c r="P4" s="3"/>
    </row>
    <row r="5" spans="1:16">
      <c r="B5" s="1" t="s">
        <v>353</v>
      </c>
      <c r="C5" s="1" t="s">
        <v>354</v>
      </c>
      <c r="D5" s="1" t="s">
        <v>355</v>
      </c>
      <c r="E5" s="38">
        <v>0.02</v>
      </c>
      <c r="F5" s="3"/>
      <c r="G5" s="1" t="s">
        <v>353</v>
      </c>
      <c r="H5" s="1" t="s">
        <v>354</v>
      </c>
      <c r="I5" s="1" t="s">
        <v>355</v>
      </c>
      <c r="J5" s="38">
        <v>0.02</v>
      </c>
      <c r="L5" s="1" t="s">
        <v>353</v>
      </c>
      <c r="M5" s="1" t="s">
        <v>354</v>
      </c>
      <c r="N5" s="1" t="s">
        <v>355</v>
      </c>
      <c r="O5" s="113">
        <f>J5</f>
        <v>0.02</v>
      </c>
    </row>
    <row r="6" spans="1:16">
      <c r="B6" s="1" t="s">
        <v>409</v>
      </c>
      <c r="C6" s="1" t="s">
        <v>357</v>
      </c>
      <c r="D6" s="1"/>
      <c r="E6" s="4">
        <f>'Total PTDs'!R47*0.95</f>
        <v>1286775</v>
      </c>
      <c r="F6" s="3"/>
      <c r="G6" s="1" t="s">
        <v>409</v>
      </c>
      <c r="H6" s="1" t="s">
        <v>357</v>
      </c>
      <c r="I6" s="1"/>
      <c r="J6" s="4">
        <f>'Total PTDs'!P47*0.95</f>
        <v>775485</v>
      </c>
      <c r="L6" s="1" t="s">
        <v>409</v>
      </c>
      <c r="M6" s="1" t="s">
        <v>357</v>
      </c>
      <c r="N6" s="1"/>
      <c r="O6" s="4">
        <f>'Total PTDs'!Q47*0.95</f>
        <v>511290</v>
      </c>
    </row>
    <row r="7" spans="1:16">
      <c r="B7" s="1" t="s">
        <v>358</v>
      </c>
      <c r="C7" s="1" t="s">
        <v>359</v>
      </c>
      <c r="D7" s="1" t="s">
        <v>360</v>
      </c>
      <c r="E7" s="12">
        <f>J7</f>
        <v>4.0000000000000002E-4</v>
      </c>
      <c r="F7" s="3"/>
      <c r="G7" s="1" t="s">
        <v>358</v>
      </c>
      <c r="H7" s="1" t="s">
        <v>359</v>
      </c>
      <c r="I7" s="1" t="s">
        <v>360</v>
      </c>
      <c r="J7" s="12">
        <v>4.0000000000000002E-4</v>
      </c>
      <c r="L7" s="1" t="s">
        <v>358</v>
      </c>
      <c r="M7" s="1" t="s">
        <v>359</v>
      </c>
      <c r="N7" s="1" t="s">
        <v>360</v>
      </c>
      <c r="O7" s="12">
        <f>J7</f>
        <v>4.0000000000000002E-4</v>
      </c>
    </row>
    <row r="8" spans="1:16" ht="29">
      <c r="B8" s="2" t="s">
        <v>410</v>
      </c>
      <c r="C8" s="1" t="s">
        <v>362</v>
      </c>
      <c r="D8" s="1" t="s">
        <v>363</v>
      </c>
      <c r="E8" s="1">
        <v>7.5</v>
      </c>
      <c r="F8" s="3"/>
      <c r="G8" s="2" t="s">
        <v>410</v>
      </c>
      <c r="H8" s="1" t="s">
        <v>362</v>
      </c>
      <c r="I8" s="1" t="s">
        <v>363</v>
      </c>
      <c r="J8" s="1">
        <v>7.5</v>
      </c>
      <c r="L8" s="2" t="s">
        <v>410</v>
      </c>
      <c r="M8" s="1" t="s">
        <v>362</v>
      </c>
      <c r="N8" s="1" t="s">
        <v>363</v>
      </c>
      <c r="O8" s="1">
        <v>7.5</v>
      </c>
    </row>
    <row r="9" spans="1:16">
      <c r="B9" s="2" t="s">
        <v>364</v>
      </c>
      <c r="C9" s="1" t="s">
        <v>365</v>
      </c>
      <c r="D9" s="1" t="s">
        <v>363</v>
      </c>
      <c r="E9" s="1">
        <v>0</v>
      </c>
      <c r="F9" s="3"/>
      <c r="G9" s="2" t="s">
        <v>364</v>
      </c>
      <c r="H9" s="1" t="s">
        <v>365</v>
      </c>
      <c r="I9" s="1" t="s">
        <v>363</v>
      </c>
      <c r="J9" s="1">
        <v>0</v>
      </c>
      <c r="L9" s="2" t="s">
        <v>364</v>
      </c>
      <c r="M9" s="1" t="s">
        <v>365</v>
      </c>
      <c r="N9" s="1" t="s">
        <v>363</v>
      </c>
      <c r="O9" s="1">
        <v>0</v>
      </c>
    </row>
    <row r="10" spans="1:16">
      <c r="B10" s="1" t="s">
        <v>366</v>
      </c>
      <c r="C10" s="1" t="s">
        <v>367</v>
      </c>
      <c r="D10" s="1" t="s">
        <v>368</v>
      </c>
      <c r="E10" s="4">
        <f>(1-E5)*E6*E7*(E8+E9)</f>
        <v>3783.1185000000005</v>
      </c>
      <c r="F10" s="3"/>
      <c r="G10" s="1" t="s">
        <v>366</v>
      </c>
      <c r="H10" s="1" t="s">
        <v>367</v>
      </c>
      <c r="I10" s="1" t="s">
        <v>368</v>
      </c>
      <c r="J10" s="7">
        <f>(1-J5)*J6*J7*(J8+J9)</f>
        <v>2279.9258999999997</v>
      </c>
      <c r="L10" s="1" t="s">
        <v>366</v>
      </c>
      <c r="M10" s="1" t="s">
        <v>367</v>
      </c>
      <c r="N10" s="1" t="s">
        <v>368</v>
      </c>
      <c r="O10" s="7">
        <f>(1-O5)*O6*O7*(O8+O9)</f>
        <v>1503.1926000000003</v>
      </c>
    </row>
    <row r="11" spans="1:16">
      <c r="F11" s="3"/>
    </row>
    <row r="12" spans="1:16">
      <c r="B12" s="220" t="s">
        <v>369</v>
      </c>
      <c r="C12" s="221"/>
      <c r="D12" s="221"/>
      <c r="E12" s="224"/>
      <c r="F12" s="3"/>
      <c r="G12" s="220" t="s">
        <v>369</v>
      </c>
      <c r="H12" s="221"/>
      <c r="I12" s="221"/>
      <c r="J12" s="224"/>
      <c r="L12" s="220" t="s">
        <v>369</v>
      </c>
      <c r="M12" s="221"/>
      <c r="N12" s="221"/>
      <c r="O12" s="224"/>
    </row>
    <row r="13" spans="1:16">
      <c r="B13" s="1" t="s">
        <v>370</v>
      </c>
      <c r="C13" s="1" t="s">
        <v>354</v>
      </c>
      <c r="D13" s="1" t="s">
        <v>355</v>
      </c>
      <c r="E13" s="38">
        <v>0.02</v>
      </c>
      <c r="F13" s="3"/>
      <c r="G13" s="1" t="s">
        <v>370</v>
      </c>
      <c r="H13" s="1" t="s">
        <v>354</v>
      </c>
      <c r="I13" s="1" t="s">
        <v>355</v>
      </c>
      <c r="J13" s="113">
        <f>J5</f>
        <v>0.02</v>
      </c>
      <c r="L13" s="1" t="s">
        <v>370</v>
      </c>
      <c r="M13" s="1" t="s">
        <v>354</v>
      </c>
      <c r="N13" s="1" t="s">
        <v>355</v>
      </c>
      <c r="O13" s="113">
        <f>O5</f>
        <v>0.02</v>
      </c>
    </row>
    <row r="14" spans="1:16">
      <c r="B14" s="1" t="s">
        <v>409</v>
      </c>
      <c r="C14" s="1" t="s">
        <v>357</v>
      </c>
      <c r="D14" s="1"/>
      <c r="E14" s="4">
        <f>E6</f>
        <v>1286775</v>
      </c>
      <c r="F14" s="3"/>
      <c r="G14" s="1" t="s">
        <v>409</v>
      </c>
      <c r="H14" s="1" t="s">
        <v>357</v>
      </c>
      <c r="I14" s="1"/>
      <c r="J14" s="4">
        <f>J6</f>
        <v>775485</v>
      </c>
      <c r="L14" s="1" t="s">
        <v>409</v>
      </c>
      <c r="M14" s="1" t="s">
        <v>357</v>
      </c>
      <c r="N14" s="1"/>
      <c r="O14" s="4">
        <f>O6</f>
        <v>511290</v>
      </c>
    </row>
    <row r="15" spans="1:16">
      <c r="B15" s="1" t="s">
        <v>371</v>
      </c>
      <c r="C15" s="1" t="s">
        <v>372</v>
      </c>
      <c r="D15" s="1" t="s">
        <v>360</v>
      </c>
      <c r="E15" s="12">
        <f>E7</f>
        <v>4.0000000000000002E-4</v>
      </c>
      <c r="F15" s="3"/>
      <c r="G15" s="1" t="s">
        <v>371</v>
      </c>
      <c r="H15" s="1" t="s">
        <v>372</v>
      </c>
      <c r="I15" s="1" t="s">
        <v>360</v>
      </c>
      <c r="J15" s="12">
        <f>J7</f>
        <v>4.0000000000000002E-4</v>
      </c>
      <c r="L15" s="1" t="s">
        <v>371</v>
      </c>
      <c r="M15" s="1" t="s">
        <v>372</v>
      </c>
      <c r="N15" s="1" t="s">
        <v>360</v>
      </c>
      <c r="O15" s="12">
        <f>O7</f>
        <v>4.0000000000000002E-4</v>
      </c>
    </row>
    <row r="16" spans="1:16">
      <c r="B16" s="1" t="s">
        <v>373</v>
      </c>
      <c r="C16" s="1" t="s">
        <v>365</v>
      </c>
      <c r="D16" s="1" t="s">
        <v>363</v>
      </c>
      <c r="E16" s="1">
        <v>0</v>
      </c>
      <c r="F16" s="3"/>
      <c r="G16" s="1" t="s">
        <v>373</v>
      </c>
      <c r="H16" s="1" t="s">
        <v>365</v>
      </c>
      <c r="I16" s="1" t="s">
        <v>363</v>
      </c>
      <c r="J16" s="1">
        <v>0</v>
      </c>
      <c r="L16" s="1" t="s">
        <v>373</v>
      </c>
      <c r="M16" s="1" t="s">
        <v>365</v>
      </c>
      <c r="N16" s="1" t="s">
        <v>363</v>
      </c>
      <c r="O16" s="1">
        <v>0</v>
      </c>
    </row>
    <row r="17" spans="2:15">
      <c r="B17" s="1" t="s">
        <v>374</v>
      </c>
      <c r="C17" s="1" t="s">
        <v>375</v>
      </c>
      <c r="D17" s="1" t="s">
        <v>363</v>
      </c>
      <c r="E17" s="22">
        <v>0</v>
      </c>
      <c r="F17" s="3"/>
      <c r="G17" s="1" t="s">
        <v>374</v>
      </c>
      <c r="H17" s="1" t="s">
        <v>375</v>
      </c>
      <c r="I17" s="1" t="s">
        <v>363</v>
      </c>
      <c r="J17" s="22">
        <v>0</v>
      </c>
      <c r="L17" s="1" t="s">
        <v>374</v>
      </c>
      <c r="M17" s="1" t="s">
        <v>375</v>
      </c>
      <c r="N17" s="1" t="s">
        <v>363</v>
      </c>
      <c r="O17" s="22">
        <v>0</v>
      </c>
    </row>
    <row r="18" spans="2:15">
      <c r="B18" s="1" t="s">
        <v>376</v>
      </c>
      <c r="C18" s="1" t="s">
        <v>377</v>
      </c>
      <c r="D18" s="1" t="s">
        <v>368</v>
      </c>
      <c r="E18" s="7">
        <f>(1-E13)*E14*E15*(E16+E17)</f>
        <v>0</v>
      </c>
      <c r="F18" s="3"/>
      <c r="G18" s="1" t="s">
        <v>376</v>
      </c>
      <c r="H18" s="1" t="s">
        <v>377</v>
      </c>
      <c r="I18" s="1" t="s">
        <v>368</v>
      </c>
      <c r="J18" s="7">
        <f>(1-J13)*J14*J15*(J16+J17)</f>
        <v>0</v>
      </c>
      <c r="L18" s="1" t="s">
        <v>376</v>
      </c>
      <c r="M18" s="1" t="s">
        <v>377</v>
      </c>
      <c r="N18" s="1" t="s">
        <v>368</v>
      </c>
      <c r="O18" s="7">
        <f>(1-O13)*O14*O15*(O16+O17)</f>
        <v>0</v>
      </c>
    </row>
    <row r="19" spans="2:15">
      <c r="F19" s="3"/>
    </row>
    <row r="20" spans="2:15">
      <c r="B20" s="220" t="s">
        <v>378</v>
      </c>
      <c r="C20" s="221"/>
      <c r="D20" s="221"/>
      <c r="E20" s="224"/>
      <c r="F20" s="3"/>
      <c r="G20" s="220" t="s">
        <v>378</v>
      </c>
      <c r="H20" s="221"/>
      <c r="I20" s="221"/>
      <c r="J20" s="224"/>
      <c r="L20" s="220" t="s">
        <v>378</v>
      </c>
      <c r="M20" s="221"/>
      <c r="N20" s="221"/>
      <c r="O20" s="224"/>
    </row>
    <row r="21" spans="2:15">
      <c r="B21" s="2" t="s">
        <v>379</v>
      </c>
      <c r="C21" s="1" t="s">
        <v>379</v>
      </c>
      <c r="D21" s="1" t="s">
        <v>380</v>
      </c>
      <c r="E21" s="8">
        <v>0.95</v>
      </c>
      <c r="F21" s="3"/>
      <c r="G21" s="2" t="s">
        <v>379</v>
      </c>
      <c r="H21" s="1" t="s">
        <v>379</v>
      </c>
      <c r="I21" s="1" t="s">
        <v>380</v>
      </c>
      <c r="J21" s="8">
        <v>0.95</v>
      </c>
      <c r="L21" s="2" t="s">
        <v>379</v>
      </c>
      <c r="M21" s="1" t="s">
        <v>379</v>
      </c>
      <c r="N21" s="1" t="s">
        <v>380</v>
      </c>
      <c r="O21" s="8">
        <v>0.95</v>
      </c>
    </row>
    <row r="22" spans="2:15">
      <c r="B22" s="1" t="s">
        <v>381</v>
      </c>
      <c r="C22" s="1" t="s">
        <v>382</v>
      </c>
      <c r="D22" s="1" t="s">
        <v>383</v>
      </c>
      <c r="E22" s="1">
        <v>112</v>
      </c>
      <c r="F22" s="3"/>
      <c r="G22" s="1" t="s">
        <v>381</v>
      </c>
      <c r="H22" s="1" t="s">
        <v>382</v>
      </c>
      <c r="I22" s="1" t="s">
        <v>383</v>
      </c>
      <c r="J22" s="1">
        <v>112</v>
      </c>
      <c r="L22" s="1" t="s">
        <v>381</v>
      </c>
      <c r="M22" s="1" t="s">
        <v>382</v>
      </c>
      <c r="N22" s="1" t="s">
        <v>383</v>
      </c>
      <c r="O22" s="1">
        <v>112</v>
      </c>
    </row>
    <row r="23" spans="2:15">
      <c r="B23" s="1" t="s">
        <v>411</v>
      </c>
      <c r="C23" s="1" t="s">
        <v>385</v>
      </c>
      <c r="D23" s="1" t="s">
        <v>386</v>
      </c>
      <c r="E23" s="171">
        <f>(J6*J23+O6*O23)/E6</f>
        <v>9.4600000000000009</v>
      </c>
      <c r="F23" s="3"/>
      <c r="G23" s="1" t="s">
        <v>384</v>
      </c>
      <c r="H23" s="1" t="s">
        <v>385</v>
      </c>
      <c r="I23" s="1" t="s">
        <v>386</v>
      </c>
      <c r="J23" s="1">
        <v>9.4600000000000009</v>
      </c>
      <c r="L23" s="1" t="s">
        <v>384</v>
      </c>
      <c r="M23" s="1" t="s">
        <v>385</v>
      </c>
      <c r="N23" s="1" t="s">
        <v>386</v>
      </c>
      <c r="O23" s="1">
        <f>9.46</f>
        <v>9.4600000000000009</v>
      </c>
    </row>
    <row r="24" spans="2:15">
      <c r="B24" s="1" t="s">
        <v>387</v>
      </c>
      <c r="C24" s="1" t="s">
        <v>388</v>
      </c>
      <c r="D24" s="1" t="s">
        <v>389</v>
      </c>
      <c r="E24" s="1">
        <f>0.0156</f>
        <v>1.5599999999999999E-2</v>
      </c>
      <c r="F24" s="3"/>
      <c r="G24" s="1" t="s">
        <v>387</v>
      </c>
      <c r="H24" s="1" t="s">
        <v>388</v>
      </c>
      <c r="I24" s="1" t="s">
        <v>389</v>
      </c>
      <c r="J24" s="1">
        <v>1.5599999999999999E-2</v>
      </c>
      <c r="L24" s="1" t="s">
        <v>387</v>
      </c>
      <c r="M24" s="1" t="s">
        <v>388</v>
      </c>
      <c r="N24" s="1" t="s">
        <v>389</v>
      </c>
      <c r="O24" s="1">
        <v>1.5599999999999999E-2</v>
      </c>
    </row>
    <row r="25" spans="2:15">
      <c r="F25" s="3"/>
    </row>
    <row r="26" spans="2:15">
      <c r="B26" s="220" t="s">
        <v>390</v>
      </c>
      <c r="C26" s="221"/>
      <c r="D26" s="221"/>
      <c r="E26" s="224"/>
      <c r="F26" s="3"/>
      <c r="G26" s="220" t="s">
        <v>390</v>
      </c>
      <c r="H26" s="221"/>
      <c r="I26" s="221"/>
      <c r="J26" s="224"/>
      <c r="L26" s="220" t="s">
        <v>390</v>
      </c>
      <c r="M26" s="221"/>
      <c r="N26" s="221"/>
      <c r="O26" s="224"/>
    </row>
    <row r="27" spans="2:15">
      <c r="B27" s="1" t="s">
        <v>391</v>
      </c>
      <c r="C27" s="1" t="s">
        <v>392</v>
      </c>
      <c r="D27" s="1" t="s">
        <v>393</v>
      </c>
      <c r="E27" s="4">
        <f>E10*((E22*E21)+E23)*E24</f>
        <v>6837.6689067959996</v>
      </c>
      <c r="F27" s="3"/>
      <c r="G27" s="1" t="s">
        <v>391</v>
      </c>
      <c r="H27" s="1" t="s">
        <v>392</v>
      </c>
      <c r="I27" s="1" t="s">
        <v>393</v>
      </c>
      <c r="J27" s="4">
        <f>J10*((J22*J21)+J23)*J24</f>
        <v>4120.7745504743989</v>
      </c>
      <c r="L27" s="1" t="s">
        <v>391</v>
      </c>
      <c r="M27" s="1" t="s">
        <v>392</v>
      </c>
      <c r="N27" s="1" t="s">
        <v>393</v>
      </c>
      <c r="O27" s="4">
        <f>O10*((O22*O21)+O23)*O24</f>
        <v>2716.8943563215998</v>
      </c>
    </row>
    <row r="28" spans="2:15">
      <c r="B28" s="1" t="s">
        <v>394</v>
      </c>
      <c r="C28" s="1" t="s">
        <v>395</v>
      </c>
      <c r="D28" s="1" t="s">
        <v>393</v>
      </c>
      <c r="E28" s="4">
        <f>E18*((E22*E21)+E23)*E24</f>
        <v>0</v>
      </c>
      <c r="F28" s="3"/>
      <c r="G28" s="1" t="s">
        <v>394</v>
      </c>
      <c r="H28" s="1" t="s">
        <v>395</v>
      </c>
      <c r="I28" s="1" t="s">
        <v>393</v>
      </c>
      <c r="J28" s="4">
        <f>J18*((J22*J21)+J23)*J24</f>
        <v>0</v>
      </c>
      <c r="L28" s="1" t="s">
        <v>394</v>
      </c>
      <c r="M28" s="1" t="s">
        <v>395</v>
      </c>
      <c r="N28" s="1" t="s">
        <v>393</v>
      </c>
      <c r="O28" s="4">
        <f>O18*((O22*O21)+O23)*O24</f>
        <v>0</v>
      </c>
    </row>
    <row r="29" spans="2:15">
      <c r="B29" s="1" t="s">
        <v>412</v>
      </c>
      <c r="C29" s="1" t="s">
        <v>397</v>
      </c>
      <c r="D29" s="1" t="s">
        <v>355</v>
      </c>
      <c r="E29" s="181">
        <v>0.81730000000000003</v>
      </c>
      <c r="F29" s="3"/>
      <c r="G29" s="1" t="s">
        <v>412</v>
      </c>
      <c r="H29" s="1" t="s">
        <v>397</v>
      </c>
      <c r="I29" s="1" t="s">
        <v>355</v>
      </c>
      <c r="J29" s="181">
        <v>0.81730000000000003</v>
      </c>
      <c r="L29" s="1" t="s">
        <v>412</v>
      </c>
      <c r="M29" s="1" t="s">
        <v>397</v>
      </c>
      <c r="N29" s="1" t="s">
        <v>355</v>
      </c>
      <c r="O29" s="181">
        <v>0.81730000000000003</v>
      </c>
    </row>
    <row r="30" spans="2:15">
      <c r="B30" s="1" t="s">
        <v>398</v>
      </c>
      <c r="C30" s="1" t="s">
        <v>399</v>
      </c>
      <c r="D30" s="1" t="s">
        <v>393</v>
      </c>
      <c r="E30" s="1">
        <v>0</v>
      </c>
      <c r="F30" s="3"/>
      <c r="G30" s="1" t="s">
        <v>398</v>
      </c>
      <c r="H30" s="1" t="s">
        <v>399</v>
      </c>
      <c r="I30" s="1" t="s">
        <v>393</v>
      </c>
      <c r="J30" s="1">
        <v>0</v>
      </c>
      <c r="L30" s="1" t="s">
        <v>398</v>
      </c>
      <c r="M30" s="1" t="s">
        <v>399</v>
      </c>
      <c r="N30" s="1" t="s">
        <v>393</v>
      </c>
      <c r="O30" s="1">
        <v>0</v>
      </c>
    </row>
    <row r="31" spans="2:15">
      <c r="B31" s="1" t="s">
        <v>400</v>
      </c>
      <c r="C31" s="1" t="s">
        <v>401</v>
      </c>
      <c r="D31" s="1" t="s">
        <v>393</v>
      </c>
      <c r="E31" s="4">
        <f>((E27-E28)*E29)-E30</f>
        <v>5588.4267975243711</v>
      </c>
      <c r="F31" s="3"/>
      <c r="G31" s="1" t="s">
        <v>400</v>
      </c>
      <c r="H31" s="1" t="s">
        <v>401</v>
      </c>
      <c r="I31" s="1" t="s">
        <v>393</v>
      </c>
      <c r="J31" s="7">
        <f>((J27-J28)*J29)-J30</f>
        <v>3367.9090401027265</v>
      </c>
      <c r="L31" s="1" t="s">
        <v>400</v>
      </c>
      <c r="M31" s="1" t="s">
        <v>401</v>
      </c>
      <c r="N31" s="1" t="s">
        <v>393</v>
      </c>
      <c r="O31" s="7">
        <f>((O27-O28)*O29)-O30</f>
        <v>2220.5177574216436</v>
      </c>
    </row>
    <row r="32" spans="2:15">
      <c r="D32" s="5"/>
      <c r="F32" s="3"/>
      <c r="I32" s="5"/>
      <c r="N32" s="5"/>
    </row>
    <row r="33" spans="2:15">
      <c r="B33" s="225" t="s">
        <v>402</v>
      </c>
      <c r="C33" s="225"/>
      <c r="D33" s="225"/>
      <c r="E33" s="225"/>
      <c r="F33" s="3"/>
      <c r="G33" s="225" t="s">
        <v>402</v>
      </c>
      <c r="H33" s="225"/>
      <c r="I33" s="225"/>
      <c r="J33" s="225"/>
      <c r="L33" s="225" t="s">
        <v>402</v>
      </c>
      <c r="M33" s="225"/>
      <c r="N33" s="225"/>
      <c r="O33" s="225"/>
    </row>
    <row r="34" spans="2:15">
      <c r="B34" s="13" t="s">
        <v>403</v>
      </c>
      <c r="C34" s="1"/>
      <c r="D34" s="14"/>
      <c r="E34" s="23">
        <f>1-E35</f>
        <v>0.95</v>
      </c>
      <c r="F34" s="3"/>
      <c r="G34" s="13" t="s">
        <v>403</v>
      </c>
      <c r="H34" s="1"/>
      <c r="I34" s="14"/>
      <c r="J34" s="23">
        <f>1-J35</f>
        <v>0.95</v>
      </c>
      <c r="L34" s="13" t="s">
        <v>403</v>
      </c>
      <c r="M34" s="1"/>
      <c r="N34" s="14"/>
      <c r="O34" s="23">
        <f>1-O35</f>
        <v>0.95</v>
      </c>
    </row>
    <row r="35" spans="2:15">
      <c r="B35" s="13" t="s">
        <v>404</v>
      </c>
      <c r="C35" s="1" t="s">
        <v>405</v>
      </c>
      <c r="D35" s="14" t="s">
        <v>316</v>
      </c>
      <c r="E35" s="23">
        <v>0.05</v>
      </c>
      <c r="F35" s="3"/>
      <c r="G35" s="13" t="s">
        <v>404</v>
      </c>
      <c r="H35" s="1" t="s">
        <v>405</v>
      </c>
      <c r="I35" s="14" t="s">
        <v>316</v>
      </c>
      <c r="J35" s="23">
        <v>0.05</v>
      </c>
      <c r="L35" s="13" t="s">
        <v>404</v>
      </c>
      <c r="M35" s="1" t="s">
        <v>405</v>
      </c>
      <c r="N35" s="14" t="s">
        <v>316</v>
      </c>
      <c r="O35" s="23">
        <v>0.05</v>
      </c>
    </row>
    <row r="36" spans="2:15">
      <c r="B36" s="15" t="s">
        <v>400</v>
      </c>
      <c r="C36" s="15" t="s">
        <v>407</v>
      </c>
      <c r="D36" s="15" t="s">
        <v>393</v>
      </c>
      <c r="E36" s="25">
        <f>E31*(1-E35)</f>
        <v>5309.0054576481525</v>
      </c>
      <c r="F36" s="3"/>
      <c r="G36" s="15" t="s">
        <v>400</v>
      </c>
      <c r="H36" s="15" t="s">
        <v>407</v>
      </c>
      <c r="I36" s="15" t="s">
        <v>393</v>
      </c>
      <c r="J36" s="25">
        <f>J31*(1-J35)</f>
        <v>3199.5135880975899</v>
      </c>
      <c r="L36" s="15" t="s">
        <v>400</v>
      </c>
      <c r="M36" s="15" t="s">
        <v>407</v>
      </c>
      <c r="N36" s="15" t="s">
        <v>393</v>
      </c>
      <c r="O36" s="25">
        <f>O31*(1-O35)</f>
        <v>2109.4918695505612</v>
      </c>
    </row>
    <row r="37" spans="2:15">
      <c r="B37" s="21" t="s">
        <v>413</v>
      </c>
      <c r="C37" s="20" t="s">
        <v>407</v>
      </c>
      <c r="D37" s="20" t="s">
        <v>393</v>
      </c>
      <c r="E37" s="26">
        <f>J37+O37</f>
        <v>5308</v>
      </c>
      <c r="F37" s="3"/>
      <c r="G37" s="21" t="s">
        <v>413</v>
      </c>
      <c r="H37" s="20" t="s">
        <v>407</v>
      </c>
      <c r="I37" s="20" t="s">
        <v>393</v>
      </c>
      <c r="J37" s="26">
        <f>_xlfn.FLOOR.MATH(J36)</f>
        <v>3199</v>
      </c>
      <c r="L37" s="21" t="s">
        <v>413</v>
      </c>
      <c r="M37" s="20" t="s">
        <v>407</v>
      </c>
      <c r="N37" s="20" t="s">
        <v>393</v>
      </c>
      <c r="O37" s="26">
        <f>_xlfn.FLOOR.MATH(O36)</f>
        <v>2109</v>
      </c>
    </row>
    <row r="38" spans="2:15">
      <c r="C38" s="223"/>
      <c r="D38" s="223"/>
      <c r="F38" s="3"/>
      <c r="H38" s="223"/>
      <c r="I38" s="223"/>
      <c r="M38" s="223"/>
      <c r="N38" s="223"/>
    </row>
    <row r="39" spans="2:15">
      <c r="I39" s="27"/>
    </row>
    <row r="41" spans="2:15">
      <c r="E41" s="16"/>
      <c r="J41" s="16"/>
      <c r="O41" s="16"/>
    </row>
  </sheetData>
  <mergeCells count="21">
    <mergeCell ref="B2:E2"/>
    <mergeCell ref="G2:J2"/>
    <mergeCell ref="L2:O2"/>
    <mergeCell ref="B4:E4"/>
    <mergeCell ref="G4:J4"/>
    <mergeCell ref="L4:O4"/>
    <mergeCell ref="B12:E12"/>
    <mergeCell ref="G12:J12"/>
    <mergeCell ref="L12:O12"/>
    <mergeCell ref="B20:E20"/>
    <mergeCell ref="G20:J20"/>
    <mergeCell ref="L20:O20"/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4076-D091-44AE-AAA2-2ECCD84CBCE7}">
  <dimension ref="A2:P41"/>
  <sheetViews>
    <sheetView showGridLines="0" zoomScale="50" zoomScaleNormal="50" workbookViewId="0">
      <selection activeCell="B29" sqref="B29:O29"/>
    </sheetView>
  </sheetViews>
  <sheetFormatPr defaultRowHeight="14.5"/>
  <cols>
    <col min="2" max="2" width="60.7265625" bestFit="1" customWidth="1"/>
    <col min="3" max="3" width="18.26953125" bestFit="1" customWidth="1"/>
    <col min="4" max="4" width="12.453125" bestFit="1" customWidth="1"/>
    <col min="5" max="5" width="12.7265625" customWidth="1"/>
    <col min="6" max="6" width="7.26953125" customWidth="1"/>
    <col min="7" max="7" width="60.7265625" bestFit="1" customWidth="1"/>
    <col min="8" max="8" width="18.26953125" bestFit="1" customWidth="1"/>
    <col min="9" max="9" width="12.453125" bestFit="1" customWidth="1"/>
    <col min="10" max="10" width="12.54296875" customWidth="1"/>
    <col min="11" max="11" width="5" customWidth="1"/>
    <col min="12" max="12" width="60.7265625" bestFit="1" customWidth="1"/>
    <col min="13" max="13" width="18.26953125" bestFit="1" customWidth="1"/>
    <col min="14" max="14" width="12.453125" bestFit="1" customWidth="1"/>
    <col min="15" max="15" width="12.26953125" customWidth="1"/>
  </cols>
  <sheetData>
    <row r="2" spans="1:16" ht="15" customHeight="1">
      <c r="B2" s="222" t="s">
        <v>435</v>
      </c>
      <c r="C2" s="222"/>
      <c r="D2" s="222"/>
      <c r="E2" s="222"/>
      <c r="G2" s="222" t="s">
        <v>408</v>
      </c>
      <c r="H2" s="222"/>
      <c r="I2" s="222"/>
      <c r="J2" s="222"/>
      <c r="L2" s="222" t="s">
        <v>434</v>
      </c>
      <c r="M2" s="222"/>
      <c r="N2" s="222"/>
      <c r="O2" s="222"/>
    </row>
    <row r="4" spans="1:16">
      <c r="A4" s="3"/>
      <c r="B4" s="220" t="s">
        <v>352</v>
      </c>
      <c r="C4" s="221"/>
      <c r="D4" s="221"/>
      <c r="E4" s="224"/>
      <c r="F4" s="3"/>
      <c r="G4" s="220" t="s">
        <v>352</v>
      </c>
      <c r="H4" s="221"/>
      <c r="I4" s="221"/>
      <c r="J4" s="224"/>
      <c r="K4" s="3"/>
      <c r="L4" s="220" t="s">
        <v>352</v>
      </c>
      <c r="M4" s="221"/>
      <c r="N4" s="221"/>
      <c r="O4" s="224"/>
      <c r="P4" s="3"/>
    </row>
    <row r="5" spans="1:16">
      <c r="B5" s="1" t="s">
        <v>353</v>
      </c>
      <c r="C5" s="1" t="s">
        <v>354</v>
      </c>
      <c r="D5" s="1" t="s">
        <v>355</v>
      </c>
      <c r="E5" s="38">
        <v>0.02</v>
      </c>
      <c r="F5" s="3"/>
      <c r="G5" s="1" t="s">
        <v>353</v>
      </c>
      <c r="H5" s="1" t="s">
        <v>354</v>
      </c>
      <c r="I5" s="1" t="s">
        <v>355</v>
      </c>
      <c r="J5" s="38">
        <v>0.02</v>
      </c>
      <c r="L5" s="1" t="s">
        <v>353</v>
      </c>
      <c r="M5" s="1" t="s">
        <v>354</v>
      </c>
      <c r="N5" s="1" t="s">
        <v>355</v>
      </c>
      <c r="O5" s="113">
        <f>J5</f>
        <v>0.02</v>
      </c>
    </row>
    <row r="6" spans="1:16">
      <c r="B6" s="1" t="s">
        <v>409</v>
      </c>
      <c r="C6" s="1" t="s">
        <v>357</v>
      </c>
      <c r="D6" s="1"/>
      <c r="E6" s="4">
        <f>'Total PTDs'!R61*0.95</f>
        <v>1195860</v>
      </c>
      <c r="F6" s="3"/>
      <c r="G6" s="1" t="s">
        <v>409</v>
      </c>
      <c r="H6" s="1" t="s">
        <v>357</v>
      </c>
      <c r="I6" s="1"/>
      <c r="J6" s="4">
        <f>'Total PTDs'!P61*0.95</f>
        <v>723900</v>
      </c>
      <c r="L6" s="1" t="s">
        <v>409</v>
      </c>
      <c r="M6" s="1" t="s">
        <v>357</v>
      </c>
      <c r="N6" s="1"/>
      <c r="O6" s="4">
        <f>'Total PTDs'!Q61*0.95</f>
        <v>471960</v>
      </c>
    </row>
    <row r="7" spans="1:16">
      <c r="B7" s="1" t="s">
        <v>358</v>
      </c>
      <c r="C7" s="1" t="s">
        <v>359</v>
      </c>
      <c r="D7" s="1" t="s">
        <v>360</v>
      </c>
      <c r="E7" s="12">
        <f>J7</f>
        <v>4.0000000000000002E-4</v>
      </c>
      <c r="F7" s="3"/>
      <c r="G7" s="1" t="s">
        <v>358</v>
      </c>
      <c r="H7" s="1" t="s">
        <v>359</v>
      </c>
      <c r="I7" s="1" t="s">
        <v>360</v>
      </c>
      <c r="J7" s="12">
        <v>4.0000000000000002E-4</v>
      </c>
      <c r="L7" s="1" t="s">
        <v>358</v>
      </c>
      <c r="M7" s="1" t="s">
        <v>359</v>
      </c>
      <c r="N7" s="1" t="s">
        <v>360</v>
      </c>
      <c r="O7" s="12">
        <f>J7</f>
        <v>4.0000000000000002E-4</v>
      </c>
    </row>
    <row r="8" spans="1:16" ht="29">
      <c r="B8" s="2" t="s">
        <v>410</v>
      </c>
      <c r="C8" s="1" t="s">
        <v>362</v>
      </c>
      <c r="D8" s="1" t="s">
        <v>363</v>
      </c>
      <c r="E8" s="1">
        <v>7.5</v>
      </c>
      <c r="F8" s="3"/>
      <c r="G8" s="2" t="s">
        <v>410</v>
      </c>
      <c r="H8" s="1" t="s">
        <v>362</v>
      </c>
      <c r="I8" s="1" t="s">
        <v>363</v>
      </c>
      <c r="J8" s="1">
        <v>7.5</v>
      </c>
      <c r="L8" s="2" t="s">
        <v>410</v>
      </c>
      <c r="M8" s="1" t="s">
        <v>362</v>
      </c>
      <c r="N8" s="1" t="s">
        <v>363</v>
      </c>
      <c r="O8" s="1">
        <v>7.5</v>
      </c>
    </row>
    <row r="9" spans="1:16">
      <c r="B9" s="2" t="s">
        <v>364</v>
      </c>
      <c r="C9" s="1" t="s">
        <v>365</v>
      </c>
      <c r="D9" s="1" t="s">
        <v>363</v>
      </c>
      <c r="E9" s="1">
        <v>0</v>
      </c>
      <c r="F9" s="3"/>
      <c r="G9" s="2" t="s">
        <v>364</v>
      </c>
      <c r="H9" s="1" t="s">
        <v>365</v>
      </c>
      <c r="I9" s="1" t="s">
        <v>363</v>
      </c>
      <c r="J9" s="1">
        <v>0</v>
      </c>
      <c r="L9" s="2" t="s">
        <v>364</v>
      </c>
      <c r="M9" s="1" t="s">
        <v>365</v>
      </c>
      <c r="N9" s="1" t="s">
        <v>363</v>
      </c>
      <c r="O9" s="1">
        <v>0</v>
      </c>
    </row>
    <row r="10" spans="1:16">
      <c r="B10" s="1" t="s">
        <v>366</v>
      </c>
      <c r="C10" s="1" t="s">
        <v>367</v>
      </c>
      <c r="D10" s="1" t="s">
        <v>368</v>
      </c>
      <c r="E10" s="4">
        <f>(1-E5)*E6*E7*(E8+E9)</f>
        <v>3515.8284000000003</v>
      </c>
      <c r="F10" s="3"/>
      <c r="G10" s="1" t="s">
        <v>366</v>
      </c>
      <c r="H10" s="1" t="s">
        <v>367</v>
      </c>
      <c r="I10" s="1" t="s">
        <v>368</v>
      </c>
      <c r="J10" s="7">
        <f>(1-J5)*J6*J7*(J8+J9)</f>
        <v>2128.2660000000001</v>
      </c>
      <c r="L10" s="1" t="s">
        <v>366</v>
      </c>
      <c r="M10" s="1" t="s">
        <v>367</v>
      </c>
      <c r="N10" s="1" t="s">
        <v>368</v>
      </c>
      <c r="O10" s="7">
        <f>(1-O5)*O6*O7*(O8+O9)</f>
        <v>1387.5624</v>
      </c>
    </row>
    <row r="11" spans="1:16">
      <c r="F11" s="3"/>
    </row>
    <row r="12" spans="1:16">
      <c r="B12" s="220" t="s">
        <v>369</v>
      </c>
      <c r="C12" s="221"/>
      <c r="D12" s="221"/>
      <c r="E12" s="224"/>
      <c r="F12" s="3"/>
      <c r="G12" s="220" t="s">
        <v>369</v>
      </c>
      <c r="H12" s="221"/>
      <c r="I12" s="221"/>
      <c r="J12" s="224"/>
      <c r="L12" s="220" t="s">
        <v>369</v>
      </c>
      <c r="M12" s="221"/>
      <c r="N12" s="221"/>
      <c r="O12" s="224"/>
    </row>
    <row r="13" spans="1:16">
      <c r="B13" s="1" t="s">
        <v>370</v>
      </c>
      <c r="C13" s="1" t="s">
        <v>354</v>
      </c>
      <c r="D13" s="1" t="s">
        <v>355</v>
      </c>
      <c r="E13" s="38">
        <v>0.02</v>
      </c>
      <c r="F13" s="3"/>
      <c r="G13" s="1" t="s">
        <v>370</v>
      </c>
      <c r="H13" s="1" t="s">
        <v>354</v>
      </c>
      <c r="I13" s="1" t="s">
        <v>355</v>
      </c>
      <c r="J13" s="113">
        <f>J5</f>
        <v>0.02</v>
      </c>
      <c r="L13" s="1" t="s">
        <v>370</v>
      </c>
      <c r="M13" s="1" t="s">
        <v>354</v>
      </c>
      <c r="N13" s="1" t="s">
        <v>355</v>
      </c>
      <c r="O13" s="113">
        <f>O5</f>
        <v>0.02</v>
      </c>
    </row>
    <row r="14" spans="1:16">
      <c r="B14" s="1" t="s">
        <v>409</v>
      </c>
      <c r="C14" s="1" t="s">
        <v>357</v>
      </c>
      <c r="D14" s="1"/>
      <c r="E14" s="4">
        <f>E6</f>
        <v>1195860</v>
      </c>
      <c r="F14" s="3"/>
      <c r="G14" s="1" t="s">
        <v>409</v>
      </c>
      <c r="H14" s="1" t="s">
        <v>357</v>
      </c>
      <c r="I14" s="1"/>
      <c r="J14" s="4">
        <f>J6</f>
        <v>723900</v>
      </c>
      <c r="L14" s="1" t="s">
        <v>409</v>
      </c>
      <c r="M14" s="1" t="s">
        <v>357</v>
      </c>
      <c r="N14" s="1"/>
      <c r="O14" s="4">
        <f>O6</f>
        <v>471960</v>
      </c>
    </row>
    <row r="15" spans="1:16">
      <c r="B15" s="1" t="s">
        <v>371</v>
      </c>
      <c r="C15" s="1" t="s">
        <v>372</v>
      </c>
      <c r="D15" s="1" t="s">
        <v>360</v>
      </c>
      <c r="E15" s="12">
        <f>E7</f>
        <v>4.0000000000000002E-4</v>
      </c>
      <c r="F15" s="3"/>
      <c r="G15" s="1" t="s">
        <v>371</v>
      </c>
      <c r="H15" s="1" t="s">
        <v>372</v>
      </c>
      <c r="I15" s="1" t="s">
        <v>360</v>
      </c>
      <c r="J15" s="12">
        <f>J7</f>
        <v>4.0000000000000002E-4</v>
      </c>
      <c r="L15" s="1" t="s">
        <v>371</v>
      </c>
      <c r="M15" s="1" t="s">
        <v>372</v>
      </c>
      <c r="N15" s="1" t="s">
        <v>360</v>
      </c>
      <c r="O15" s="12">
        <f>O7</f>
        <v>4.0000000000000002E-4</v>
      </c>
    </row>
    <row r="16" spans="1:16">
      <c r="B16" s="1" t="s">
        <v>373</v>
      </c>
      <c r="C16" s="1" t="s">
        <v>365</v>
      </c>
      <c r="D16" s="1" t="s">
        <v>363</v>
      </c>
      <c r="E16" s="1">
        <v>0</v>
      </c>
      <c r="F16" s="3"/>
      <c r="G16" s="1" t="s">
        <v>373</v>
      </c>
      <c r="H16" s="1" t="s">
        <v>365</v>
      </c>
      <c r="I16" s="1" t="s">
        <v>363</v>
      </c>
      <c r="J16" s="1">
        <v>0</v>
      </c>
      <c r="L16" s="1" t="s">
        <v>373</v>
      </c>
      <c r="M16" s="1" t="s">
        <v>365</v>
      </c>
      <c r="N16" s="1" t="s">
        <v>363</v>
      </c>
      <c r="O16" s="1">
        <v>0</v>
      </c>
    </row>
    <row r="17" spans="2:15">
      <c r="B17" s="1" t="s">
        <v>374</v>
      </c>
      <c r="C17" s="1" t="s">
        <v>375</v>
      </c>
      <c r="D17" s="1" t="s">
        <v>363</v>
      </c>
      <c r="E17" s="22">
        <v>0</v>
      </c>
      <c r="F17" s="3"/>
      <c r="G17" s="1" t="s">
        <v>374</v>
      </c>
      <c r="H17" s="1" t="s">
        <v>375</v>
      </c>
      <c r="I17" s="1" t="s">
        <v>363</v>
      </c>
      <c r="J17" s="22">
        <v>0</v>
      </c>
      <c r="L17" s="1" t="s">
        <v>374</v>
      </c>
      <c r="M17" s="1" t="s">
        <v>375</v>
      </c>
      <c r="N17" s="1" t="s">
        <v>363</v>
      </c>
      <c r="O17" s="22">
        <v>0</v>
      </c>
    </row>
    <row r="18" spans="2:15">
      <c r="B18" s="1" t="s">
        <v>376</v>
      </c>
      <c r="C18" s="1" t="s">
        <v>377</v>
      </c>
      <c r="D18" s="1" t="s">
        <v>368</v>
      </c>
      <c r="E18" s="7">
        <f>(1-E13)*E14*E15*(E16+E17)</f>
        <v>0</v>
      </c>
      <c r="F18" s="3"/>
      <c r="G18" s="1" t="s">
        <v>376</v>
      </c>
      <c r="H18" s="1" t="s">
        <v>377</v>
      </c>
      <c r="I18" s="1" t="s">
        <v>368</v>
      </c>
      <c r="J18" s="7">
        <f>(1-J13)*J14*J15*(J16+J17)</f>
        <v>0</v>
      </c>
      <c r="L18" s="1" t="s">
        <v>376</v>
      </c>
      <c r="M18" s="1" t="s">
        <v>377</v>
      </c>
      <c r="N18" s="1" t="s">
        <v>368</v>
      </c>
      <c r="O18" s="7">
        <f>(1-O13)*O14*O15*(O16+O17)</f>
        <v>0</v>
      </c>
    </row>
    <row r="19" spans="2:15">
      <c r="F19" s="3"/>
    </row>
    <row r="20" spans="2:15">
      <c r="B20" s="220" t="s">
        <v>378</v>
      </c>
      <c r="C20" s="221"/>
      <c r="D20" s="221"/>
      <c r="E20" s="224"/>
      <c r="F20" s="3"/>
      <c r="G20" s="220" t="s">
        <v>378</v>
      </c>
      <c r="H20" s="221"/>
      <c r="I20" s="221"/>
      <c r="J20" s="224"/>
      <c r="L20" s="220" t="s">
        <v>378</v>
      </c>
      <c r="M20" s="221"/>
      <c r="N20" s="221"/>
      <c r="O20" s="224"/>
    </row>
    <row r="21" spans="2:15">
      <c r="B21" s="2" t="s">
        <v>379</v>
      </c>
      <c r="C21" s="1" t="s">
        <v>379</v>
      </c>
      <c r="D21" s="1" t="s">
        <v>380</v>
      </c>
      <c r="E21" s="8">
        <v>0.95</v>
      </c>
      <c r="F21" s="3"/>
      <c r="G21" s="2" t="s">
        <v>379</v>
      </c>
      <c r="H21" s="1" t="s">
        <v>379</v>
      </c>
      <c r="I21" s="1" t="s">
        <v>380</v>
      </c>
      <c r="J21" s="8">
        <v>0.95</v>
      </c>
      <c r="L21" s="2" t="s">
        <v>379</v>
      </c>
      <c r="M21" s="1" t="s">
        <v>379</v>
      </c>
      <c r="N21" s="1" t="s">
        <v>380</v>
      </c>
      <c r="O21" s="8">
        <v>0.95</v>
      </c>
    </row>
    <row r="22" spans="2:15">
      <c r="B22" s="1" t="s">
        <v>381</v>
      </c>
      <c r="C22" s="1" t="s">
        <v>382</v>
      </c>
      <c r="D22" s="1" t="s">
        <v>383</v>
      </c>
      <c r="E22" s="1">
        <v>112</v>
      </c>
      <c r="F22" s="3"/>
      <c r="G22" s="1" t="s">
        <v>381</v>
      </c>
      <c r="H22" s="1" t="s">
        <v>382</v>
      </c>
      <c r="I22" s="1" t="s">
        <v>383</v>
      </c>
      <c r="J22" s="1">
        <v>112</v>
      </c>
      <c r="L22" s="1" t="s">
        <v>381</v>
      </c>
      <c r="M22" s="1" t="s">
        <v>382</v>
      </c>
      <c r="N22" s="1" t="s">
        <v>383</v>
      </c>
      <c r="O22" s="1">
        <v>112</v>
      </c>
    </row>
    <row r="23" spans="2:15">
      <c r="B23" s="1" t="s">
        <v>411</v>
      </c>
      <c r="C23" s="1" t="s">
        <v>385</v>
      </c>
      <c r="D23" s="1" t="s">
        <v>386</v>
      </c>
      <c r="E23" s="171">
        <f>(J6*J23+O6*O23)/E6</f>
        <v>9.4600000000000009</v>
      </c>
      <c r="F23" s="3"/>
      <c r="G23" s="1" t="s">
        <v>384</v>
      </c>
      <c r="H23" s="1" t="s">
        <v>385</v>
      </c>
      <c r="I23" s="1" t="s">
        <v>386</v>
      </c>
      <c r="J23" s="1">
        <v>9.4600000000000009</v>
      </c>
      <c r="L23" s="1" t="s">
        <v>384</v>
      </c>
      <c r="M23" s="1" t="s">
        <v>385</v>
      </c>
      <c r="N23" s="1" t="s">
        <v>386</v>
      </c>
      <c r="O23" s="1">
        <f>9.46</f>
        <v>9.4600000000000009</v>
      </c>
    </row>
    <row r="24" spans="2:15">
      <c r="B24" s="1" t="s">
        <v>387</v>
      </c>
      <c r="C24" s="1" t="s">
        <v>388</v>
      </c>
      <c r="D24" s="1" t="s">
        <v>389</v>
      </c>
      <c r="E24" s="1">
        <f>0.0156</f>
        <v>1.5599999999999999E-2</v>
      </c>
      <c r="F24" s="3"/>
      <c r="G24" s="1" t="s">
        <v>387</v>
      </c>
      <c r="H24" s="1" t="s">
        <v>388</v>
      </c>
      <c r="I24" s="1" t="s">
        <v>389</v>
      </c>
      <c r="J24" s="1">
        <v>1.5599999999999999E-2</v>
      </c>
      <c r="L24" s="1" t="s">
        <v>387</v>
      </c>
      <c r="M24" s="1" t="s">
        <v>388</v>
      </c>
      <c r="N24" s="1" t="s">
        <v>389</v>
      </c>
      <c r="O24" s="1">
        <v>1.5599999999999999E-2</v>
      </c>
    </row>
    <row r="25" spans="2:15">
      <c r="F25" s="3"/>
    </row>
    <row r="26" spans="2:15">
      <c r="B26" s="220" t="s">
        <v>390</v>
      </c>
      <c r="C26" s="221"/>
      <c r="D26" s="221"/>
      <c r="E26" s="224"/>
      <c r="F26" s="3"/>
      <c r="G26" s="220" t="s">
        <v>390</v>
      </c>
      <c r="H26" s="221"/>
      <c r="I26" s="221"/>
      <c r="J26" s="224"/>
      <c r="L26" s="220" t="s">
        <v>390</v>
      </c>
      <c r="M26" s="221"/>
      <c r="N26" s="221"/>
      <c r="O26" s="224"/>
    </row>
    <row r="27" spans="2:15">
      <c r="B27" s="1" t="s">
        <v>391</v>
      </c>
      <c r="C27" s="1" t="s">
        <v>392</v>
      </c>
      <c r="D27" s="1" t="s">
        <v>393</v>
      </c>
      <c r="E27" s="4">
        <f>E10*((E22*E21)+E23)*E24</f>
        <v>6354.5645034144</v>
      </c>
      <c r="F27" s="3"/>
      <c r="G27" s="1" t="s">
        <v>391</v>
      </c>
      <c r="H27" s="1" t="s">
        <v>392</v>
      </c>
      <c r="I27" s="1" t="s">
        <v>393</v>
      </c>
      <c r="J27" s="4">
        <f>J10*((J22*J21)+J23)*J24</f>
        <v>3846.6620206559996</v>
      </c>
      <c r="L27" s="1" t="s">
        <v>391</v>
      </c>
      <c r="M27" s="1" t="s">
        <v>392</v>
      </c>
      <c r="N27" s="1" t="s">
        <v>393</v>
      </c>
      <c r="O27" s="4">
        <f>O10*((O22*O21)+O23)*O24</f>
        <v>2507.9024827583999</v>
      </c>
    </row>
    <row r="28" spans="2:15">
      <c r="B28" s="1" t="s">
        <v>394</v>
      </c>
      <c r="C28" s="1" t="s">
        <v>395</v>
      </c>
      <c r="D28" s="1" t="s">
        <v>393</v>
      </c>
      <c r="E28" s="4">
        <f>E18*((E22*E21)+E23)*E24</f>
        <v>0</v>
      </c>
      <c r="F28" s="3"/>
      <c r="G28" s="1" t="s">
        <v>394</v>
      </c>
      <c r="H28" s="1" t="s">
        <v>395</v>
      </c>
      <c r="I28" s="1" t="s">
        <v>393</v>
      </c>
      <c r="J28" s="4">
        <f>J18*((J22*J21)+J23)*J24</f>
        <v>0</v>
      </c>
      <c r="L28" s="1" t="s">
        <v>394</v>
      </c>
      <c r="M28" s="1" t="s">
        <v>395</v>
      </c>
      <c r="N28" s="1" t="s">
        <v>393</v>
      </c>
      <c r="O28" s="4">
        <f>O18*((O22*O21)+O23)*O24</f>
        <v>0</v>
      </c>
    </row>
    <row r="29" spans="2:15">
      <c r="B29" s="1" t="s">
        <v>412</v>
      </c>
      <c r="C29" s="1" t="s">
        <v>397</v>
      </c>
      <c r="D29" s="1" t="s">
        <v>355</v>
      </c>
      <c r="E29" s="181">
        <v>0.81730000000000003</v>
      </c>
      <c r="F29" s="3"/>
      <c r="G29" s="1" t="s">
        <v>412</v>
      </c>
      <c r="H29" s="1" t="s">
        <v>397</v>
      </c>
      <c r="I29" s="1" t="s">
        <v>355</v>
      </c>
      <c r="J29" s="181">
        <v>0.81730000000000003</v>
      </c>
      <c r="L29" s="1" t="s">
        <v>412</v>
      </c>
      <c r="M29" s="1" t="s">
        <v>397</v>
      </c>
      <c r="N29" s="1" t="s">
        <v>355</v>
      </c>
      <c r="O29" s="181">
        <v>0.81730000000000003</v>
      </c>
    </row>
    <row r="30" spans="2:15">
      <c r="B30" s="1" t="s">
        <v>398</v>
      </c>
      <c r="C30" s="1" t="s">
        <v>399</v>
      </c>
      <c r="D30" s="1" t="s">
        <v>393</v>
      </c>
      <c r="E30" s="1">
        <v>0</v>
      </c>
      <c r="F30" s="3"/>
      <c r="G30" s="1" t="s">
        <v>398</v>
      </c>
      <c r="H30" s="1" t="s">
        <v>399</v>
      </c>
      <c r="I30" s="1" t="s">
        <v>393</v>
      </c>
      <c r="J30" s="1">
        <v>0</v>
      </c>
      <c r="L30" s="1" t="s">
        <v>398</v>
      </c>
      <c r="M30" s="1" t="s">
        <v>399</v>
      </c>
      <c r="N30" s="1" t="s">
        <v>393</v>
      </c>
      <c r="O30" s="1">
        <v>0</v>
      </c>
    </row>
    <row r="31" spans="2:15">
      <c r="B31" s="1" t="s">
        <v>400</v>
      </c>
      <c r="C31" s="1" t="s">
        <v>401</v>
      </c>
      <c r="D31" s="1" t="s">
        <v>393</v>
      </c>
      <c r="E31" s="4">
        <f>((E27-E28)*E29)-E30</f>
        <v>5193.5855686405894</v>
      </c>
      <c r="F31" s="3"/>
      <c r="G31" s="1" t="s">
        <v>400</v>
      </c>
      <c r="H31" s="1" t="s">
        <v>401</v>
      </c>
      <c r="I31" s="1" t="s">
        <v>393</v>
      </c>
      <c r="J31" s="7">
        <f>((J27-J28)*J29)-J30</f>
        <v>3143.8768694821488</v>
      </c>
      <c r="L31" s="1" t="s">
        <v>400</v>
      </c>
      <c r="M31" s="1" t="s">
        <v>401</v>
      </c>
      <c r="N31" s="1" t="s">
        <v>393</v>
      </c>
      <c r="O31" s="7">
        <f>((O27-O28)*O29)-O30</f>
        <v>2049.7086991584401</v>
      </c>
    </row>
    <row r="32" spans="2:15">
      <c r="D32" s="5"/>
      <c r="F32" s="3"/>
      <c r="I32" s="5"/>
      <c r="N32" s="5"/>
    </row>
    <row r="33" spans="2:15">
      <c r="B33" s="225" t="s">
        <v>402</v>
      </c>
      <c r="C33" s="225"/>
      <c r="D33" s="225"/>
      <c r="E33" s="225"/>
      <c r="F33" s="3"/>
      <c r="G33" s="225" t="s">
        <v>402</v>
      </c>
      <c r="H33" s="225"/>
      <c r="I33" s="225"/>
      <c r="J33" s="225"/>
      <c r="L33" s="225" t="s">
        <v>402</v>
      </c>
      <c r="M33" s="225"/>
      <c r="N33" s="225"/>
      <c r="O33" s="225"/>
    </row>
    <row r="34" spans="2:15">
      <c r="B34" s="13" t="s">
        <v>403</v>
      </c>
      <c r="C34" s="1"/>
      <c r="D34" s="14"/>
      <c r="E34" s="23">
        <f>1-E35</f>
        <v>0.95</v>
      </c>
      <c r="F34" s="3"/>
      <c r="G34" s="13" t="s">
        <v>403</v>
      </c>
      <c r="H34" s="1"/>
      <c r="I34" s="14"/>
      <c r="J34" s="23">
        <f>1-J35</f>
        <v>0.95</v>
      </c>
      <c r="L34" s="13" t="s">
        <v>403</v>
      </c>
      <c r="M34" s="1"/>
      <c r="N34" s="14"/>
      <c r="O34" s="23">
        <f>1-O35</f>
        <v>0.95</v>
      </c>
    </row>
    <row r="35" spans="2:15">
      <c r="B35" s="13" t="s">
        <v>404</v>
      </c>
      <c r="C35" s="1" t="s">
        <v>405</v>
      </c>
      <c r="D35" s="14" t="s">
        <v>316</v>
      </c>
      <c r="E35" s="23">
        <v>0.05</v>
      </c>
      <c r="F35" s="3"/>
      <c r="G35" s="13" t="s">
        <v>404</v>
      </c>
      <c r="H35" s="1" t="s">
        <v>405</v>
      </c>
      <c r="I35" s="14" t="s">
        <v>316</v>
      </c>
      <c r="J35" s="23">
        <v>0.05</v>
      </c>
      <c r="L35" s="13" t="s">
        <v>404</v>
      </c>
      <c r="M35" s="1" t="s">
        <v>405</v>
      </c>
      <c r="N35" s="14" t="s">
        <v>316</v>
      </c>
      <c r="O35" s="23">
        <v>0.05</v>
      </c>
    </row>
    <row r="36" spans="2:15">
      <c r="B36" s="15" t="s">
        <v>400</v>
      </c>
      <c r="C36" s="15" t="s">
        <v>407</v>
      </c>
      <c r="D36" s="15" t="s">
        <v>393</v>
      </c>
      <c r="E36" s="25">
        <f>E31*(1-E35)</f>
        <v>4933.9062902085598</v>
      </c>
      <c r="F36" s="3"/>
      <c r="G36" s="15" t="s">
        <v>400</v>
      </c>
      <c r="H36" s="15" t="s">
        <v>407</v>
      </c>
      <c r="I36" s="15" t="s">
        <v>393</v>
      </c>
      <c r="J36" s="25">
        <f>J31*(1-J35)</f>
        <v>2986.683026008041</v>
      </c>
      <c r="L36" s="15" t="s">
        <v>400</v>
      </c>
      <c r="M36" s="15" t="s">
        <v>407</v>
      </c>
      <c r="N36" s="15" t="s">
        <v>393</v>
      </c>
      <c r="O36" s="25">
        <f>O31*(1-O35)</f>
        <v>1947.2232642005181</v>
      </c>
    </row>
    <row r="37" spans="2:15">
      <c r="B37" s="21" t="s">
        <v>413</v>
      </c>
      <c r="C37" s="20" t="s">
        <v>407</v>
      </c>
      <c r="D37" s="20" t="s">
        <v>393</v>
      </c>
      <c r="E37" s="26">
        <f>J37+O37</f>
        <v>4933</v>
      </c>
      <c r="F37" s="3"/>
      <c r="G37" s="21" t="s">
        <v>413</v>
      </c>
      <c r="H37" s="20" t="s">
        <v>407</v>
      </c>
      <c r="I37" s="20" t="s">
        <v>393</v>
      </c>
      <c r="J37" s="26">
        <f>_xlfn.FLOOR.MATH(J36)</f>
        <v>2986</v>
      </c>
      <c r="L37" s="21" t="s">
        <v>413</v>
      </c>
      <c r="M37" s="20" t="s">
        <v>407</v>
      </c>
      <c r="N37" s="20" t="s">
        <v>393</v>
      </c>
      <c r="O37" s="26">
        <f>_xlfn.FLOOR.MATH(O36)</f>
        <v>1947</v>
      </c>
    </row>
    <row r="38" spans="2:15">
      <c r="C38" s="223"/>
      <c r="D38" s="223"/>
      <c r="F38" s="3"/>
      <c r="H38" s="223"/>
      <c r="I38" s="223"/>
      <c r="M38" s="223"/>
      <c r="N38" s="223"/>
    </row>
    <row r="39" spans="2:15">
      <c r="I39" s="27"/>
    </row>
    <row r="41" spans="2:15">
      <c r="E41" s="16"/>
      <c r="J41" s="16"/>
      <c r="O41" s="16"/>
    </row>
  </sheetData>
  <mergeCells count="21">
    <mergeCell ref="B2:E2"/>
    <mergeCell ref="G2:J2"/>
    <mergeCell ref="L2:O2"/>
    <mergeCell ref="B4:E4"/>
    <mergeCell ref="G4:J4"/>
    <mergeCell ref="L4:O4"/>
    <mergeCell ref="B12:E12"/>
    <mergeCell ref="G12:J12"/>
    <mergeCell ref="L12:O12"/>
    <mergeCell ref="B20:E20"/>
    <mergeCell ref="G20:J20"/>
    <mergeCell ref="L20:O20"/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2638-600A-457F-99BF-289032D69CF8}">
  <dimension ref="A2:P41"/>
  <sheetViews>
    <sheetView showGridLines="0" zoomScale="50" zoomScaleNormal="50" workbookViewId="0">
      <selection activeCell="B29" sqref="B29:O29"/>
    </sheetView>
  </sheetViews>
  <sheetFormatPr defaultRowHeight="14.5"/>
  <cols>
    <col min="2" max="2" width="60.7265625" bestFit="1" customWidth="1"/>
    <col min="3" max="3" width="18.26953125" bestFit="1" customWidth="1"/>
    <col min="4" max="4" width="12.453125" bestFit="1" customWidth="1"/>
    <col min="5" max="5" width="12.7265625" customWidth="1"/>
    <col min="6" max="6" width="7.26953125" customWidth="1"/>
    <col min="7" max="7" width="60.7265625" bestFit="1" customWidth="1"/>
    <col min="8" max="8" width="18.26953125" bestFit="1" customWidth="1"/>
    <col min="9" max="9" width="12.453125" bestFit="1" customWidth="1"/>
    <col min="10" max="10" width="12.54296875" customWidth="1"/>
    <col min="11" max="11" width="5" customWidth="1"/>
    <col min="12" max="12" width="60.7265625" bestFit="1" customWidth="1"/>
    <col min="13" max="13" width="18.26953125" bestFit="1" customWidth="1"/>
    <col min="14" max="14" width="12.453125" bestFit="1" customWidth="1"/>
    <col min="15" max="15" width="12.26953125" customWidth="1"/>
  </cols>
  <sheetData>
    <row r="2" spans="1:16" ht="15" customHeight="1">
      <c r="B2" s="222" t="s">
        <v>435</v>
      </c>
      <c r="C2" s="222"/>
      <c r="D2" s="222"/>
      <c r="E2" s="222"/>
      <c r="G2" s="222" t="s">
        <v>408</v>
      </c>
      <c r="H2" s="222"/>
      <c r="I2" s="222"/>
      <c r="J2" s="222"/>
      <c r="L2" s="222" t="s">
        <v>434</v>
      </c>
      <c r="M2" s="222"/>
      <c r="N2" s="222"/>
      <c r="O2" s="222"/>
    </row>
    <row r="4" spans="1:16">
      <c r="A4" s="3"/>
      <c r="B4" s="220" t="s">
        <v>352</v>
      </c>
      <c r="C4" s="221"/>
      <c r="D4" s="221"/>
      <c r="E4" s="224"/>
      <c r="F4" s="3"/>
      <c r="G4" s="220" t="s">
        <v>352</v>
      </c>
      <c r="H4" s="221"/>
      <c r="I4" s="221"/>
      <c r="J4" s="224"/>
      <c r="K4" s="3"/>
      <c r="L4" s="220" t="s">
        <v>352</v>
      </c>
      <c r="M4" s="221"/>
      <c r="N4" s="221"/>
      <c r="O4" s="224"/>
      <c r="P4" s="3"/>
    </row>
    <row r="5" spans="1:16">
      <c r="B5" s="1" t="s">
        <v>353</v>
      </c>
      <c r="C5" s="1" t="s">
        <v>354</v>
      </c>
      <c r="D5" s="1" t="s">
        <v>355</v>
      </c>
      <c r="E5" s="38">
        <v>0.02</v>
      </c>
      <c r="F5" s="3"/>
      <c r="G5" s="1" t="s">
        <v>353</v>
      </c>
      <c r="H5" s="1" t="s">
        <v>354</v>
      </c>
      <c r="I5" s="1" t="s">
        <v>355</v>
      </c>
      <c r="J5" s="38">
        <v>0.02</v>
      </c>
      <c r="L5" s="1" t="s">
        <v>353</v>
      </c>
      <c r="M5" s="1" t="s">
        <v>354</v>
      </c>
      <c r="N5" s="1" t="s">
        <v>355</v>
      </c>
      <c r="O5" s="113">
        <f>J5</f>
        <v>0.02</v>
      </c>
    </row>
    <row r="6" spans="1:16">
      <c r="B6" s="1" t="s">
        <v>409</v>
      </c>
      <c r="C6" s="1" t="s">
        <v>357</v>
      </c>
      <c r="D6" s="1"/>
      <c r="E6" s="4">
        <f>'Total PTDs'!R76*0.95</f>
        <v>1032270</v>
      </c>
      <c r="F6" s="3"/>
      <c r="G6" s="1" t="s">
        <v>409</v>
      </c>
      <c r="H6" s="1" t="s">
        <v>357</v>
      </c>
      <c r="I6" s="1"/>
      <c r="J6" s="4">
        <f>'Total PTDs'!P76*0.95</f>
        <v>520980</v>
      </c>
      <c r="L6" s="1" t="s">
        <v>409</v>
      </c>
      <c r="M6" s="1" t="s">
        <v>357</v>
      </c>
      <c r="N6" s="1"/>
      <c r="O6" s="4">
        <f>'Total PTDs'!Q76*0.95</f>
        <v>511290</v>
      </c>
    </row>
    <row r="7" spans="1:16">
      <c r="B7" s="1" t="s">
        <v>358</v>
      </c>
      <c r="C7" s="1" t="s">
        <v>359</v>
      </c>
      <c r="D7" s="1" t="s">
        <v>360</v>
      </c>
      <c r="E7" s="12">
        <f>J7</f>
        <v>4.0000000000000002E-4</v>
      </c>
      <c r="F7" s="3"/>
      <c r="G7" s="1" t="s">
        <v>358</v>
      </c>
      <c r="H7" s="1" t="s">
        <v>359</v>
      </c>
      <c r="I7" s="1" t="s">
        <v>360</v>
      </c>
      <c r="J7" s="12">
        <v>4.0000000000000002E-4</v>
      </c>
      <c r="L7" s="1" t="s">
        <v>358</v>
      </c>
      <c r="M7" s="1" t="s">
        <v>359</v>
      </c>
      <c r="N7" s="1" t="s">
        <v>360</v>
      </c>
      <c r="O7" s="12">
        <f>J7</f>
        <v>4.0000000000000002E-4</v>
      </c>
    </row>
    <row r="8" spans="1:16" ht="29">
      <c r="B8" s="2" t="s">
        <v>410</v>
      </c>
      <c r="C8" s="1" t="s">
        <v>362</v>
      </c>
      <c r="D8" s="1" t="s">
        <v>363</v>
      </c>
      <c r="E8" s="1">
        <v>7.5</v>
      </c>
      <c r="F8" s="3"/>
      <c r="G8" s="2" t="s">
        <v>410</v>
      </c>
      <c r="H8" s="1" t="s">
        <v>362</v>
      </c>
      <c r="I8" s="1" t="s">
        <v>363</v>
      </c>
      <c r="J8" s="1">
        <v>7.5</v>
      </c>
      <c r="L8" s="2" t="s">
        <v>410</v>
      </c>
      <c r="M8" s="1" t="s">
        <v>362</v>
      </c>
      <c r="N8" s="1" t="s">
        <v>363</v>
      </c>
      <c r="O8" s="1">
        <v>7.5</v>
      </c>
    </row>
    <row r="9" spans="1:16">
      <c r="B9" s="2" t="s">
        <v>364</v>
      </c>
      <c r="C9" s="1" t="s">
        <v>365</v>
      </c>
      <c r="D9" s="1" t="s">
        <v>363</v>
      </c>
      <c r="E9" s="1">
        <v>0</v>
      </c>
      <c r="F9" s="3"/>
      <c r="G9" s="2" t="s">
        <v>364</v>
      </c>
      <c r="H9" s="1" t="s">
        <v>365</v>
      </c>
      <c r="I9" s="1" t="s">
        <v>363</v>
      </c>
      <c r="J9" s="1">
        <v>0</v>
      </c>
      <c r="L9" s="2" t="s">
        <v>364</v>
      </c>
      <c r="M9" s="1" t="s">
        <v>365</v>
      </c>
      <c r="N9" s="1" t="s">
        <v>363</v>
      </c>
      <c r="O9" s="1">
        <v>0</v>
      </c>
    </row>
    <row r="10" spans="1:16">
      <c r="B10" s="1" t="s">
        <v>366</v>
      </c>
      <c r="C10" s="1" t="s">
        <v>367</v>
      </c>
      <c r="D10" s="1" t="s">
        <v>368</v>
      </c>
      <c r="E10" s="4">
        <f>(1-E5)*E6*E7*(E8+E9)</f>
        <v>3034.8737999999998</v>
      </c>
      <c r="F10" s="3"/>
      <c r="G10" s="1" t="s">
        <v>366</v>
      </c>
      <c r="H10" s="1" t="s">
        <v>367</v>
      </c>
      <c r="I10" s="1" t="s">
        <v>368</v>
      </c>
      <c r="J10" s="7">
        <f>(1-J5)*J6*J7*(J8+J9)</f>
        <v>1531.6812</v>
      </c>
      <c r="L10" s="1" t="s">
        <v>366</v>
      </c>
      <c r="M10" s="1" t="s">
        <v>367</v>
      </c>
      <c r="N10" s="1" t="s">
        <v>368</v>
      </c>
      <c r="O10" s="7">
        <f>(1-O5)*O6*O7*(O8+O9)</f>
        <v>1503.1926000000003</v>
      </c>
    </row>
    <row r="11" spans="1:16">
      <c r="F11" s="3"/>
    </row>
    <row r="12" spans="1:16">
      <c r="B12" s="220" t="s">
        <v>369</v>
      </c>
      <c r="C12" s="221"/>
      <c r="D12" s="221"/>
      <c r="E12" s="224"/>
      <c r="F12" s="3"/>
      <c r="G12" s="220" t="s">
        <v>369</v>
      </c>
      <c r="H12" s="221"/>
      <c r="I12" s="221"/>
      <c r="J12" s="224"/>
      <c r="L12" s="220" t="s">
        <v>369</v>
      </c>
      <c r="M12" s="221"/>
      <c r="N12" s="221"/>
      <c r="O12" s="224"/>
    </row>
    <row r="13" spans="1:16">
      <c r="B13" s="1" t="s">
        <v>370</v>
      </c>
      <c r="C13" s="1" t="s">
        <v>354</v>
      </c>
      <c r="D13" s="1" t="s">
        <v>355</v>
      </c>
      <c r="E13" s="38">
        <v>0.02</v>
      </c>
      <c r="F13" s="3"/>
      <c r="G13" s="1" t="s">
        <v>370</v>
      </c>
      <c r="H13" s="1" t="s">
        <v>354</v>
      </c>
      <c r="I13" s="1" t="s">
        <v>355</v>
      </c>
      <c r="J13" s="113">
        <f>J5</f>
        <v>0.02</v>
      </c>
      <c r="L13" s="1" t="s">
        <v>370</v>
      </c>
      <c r="M13" s="1" t="s">
        <v>354</v>
      </c>
      <c r="N13" s="1" t="s">
        <v>355</v>
      </c>
      <c r="O13" s="113">
        <f>O5</f>
        <v>0.02</v>
      </c>
    </row>
    <row r="14" spans="1:16">
      <c r="B14" s="1" t="s">
        <v>409</v>
      </c>
      <c r="C14" s="1" t="s">
        <v>357</v>
      </c>
      <c r="D14" s="1"/>
      <c r="E14" s="4">
        <f>E6</f>
        <v>1032270</v>
      </c>
      <c r="F14" s="3"/>
      <c r="G14" s="1" t="s">
        <v>409</v>
      </c>
      <c r="H14" s="1" t="s">
        <v>357</v>
      </c>
      <c r="I14" s="1"/>
      <c r="J14" s="4">
        <f>J6</f>
        <v>520980</v>
      </c>
      <c r="L14" s="1" t="s">
        <v>409</v>
      </c>
      <c r="M14" s="1" t="s">
        <v>357</v>
      </c>
      <c r="N14" s="1"/>
      <c r="O14" s="4">
        <f>O6</f>
        <v>511290</v>
      </c>
    </row>
    <row r="15" spans="1:16">
      <c r="B15" s="1" t="s">
        <v>371</v>
      </c>
      <c r="C15" s="1" t="s">
        <v>372</v>
      </c>
      <c r="D15" s="1" t="s">
        <v>360</v>
      </c>
      <c r="E15" s="12">
        <f>E7</f>
        <v>4.0000000000000002E-4</v>
      </c>
      <c r="F15" s="3"/>
      <c r="G15" s="1" t="s">
        <v>371</v>
      </c>
      <c r="H15" s="1" t="s">
        <v>372</v>
      </c>
      <c r="I15" s="1" t="s">
        <v>360</v>
      </c>
      <c r="J15" s="12">
        <f>J7</f>
        <v>4.0000000000000002E-4</v>
      </c>
      <c r="L15" s="1" t="s">
        <v>371</v>
      </c>
      <c r="M15" s="1" t="s">
        <v>372</v>
      </c>
      <c r="N15" s="1" t="s">
        <v>360</v>
      </c>
      <c r="O15" s="12">
        <f>O7</f>
        <v>4.0000000000000002E-4</v>
      </c>
    </row>
    <row r="16" spans="1:16">
      <c r="B16" s="1" t="s">
        <v>373</v>
      </c>
      <c r="C16" s="1" t="s">
        <v>365</v>
      </c>
      <c r="D16" s="1" t="s">
        <v>363</v>
      </c>
      <c r="E16" s="1">
        <v>0</v>
      </c>
      <c r="F16" s="3"/>
      <c r="G16" s="1" t="s">
        <v>373</v>
      </c>
      <c r="H16" s="1" t="s">
        <v>365</v>
      </c>
      <c r="I16" s="1" t="s">
        <v>363</v>
      </c>
      <c r="J16" s="1">
        <v>0</v>
      </c>
      <c r="L16" s="1" t="s">
        <v>373</v>
      </c>
      <c r="M16" s="1" t="s">
        <v>365</v>
      </c>
      <c r="N16" s="1" t="s">
        <v>363</v>
      </c>
      <c r="O16" s="1">
        <v>0</v>
      </c>
    </row>
    <row r="17" spans="2:15">
      <c r="B17" s="1" t="s">
        <v>374</v>
      </c>
      <c r="C17" s="1" t="s">
        <v>375</v>
      </c>
      <c r="D17" s="1" t="s">
        <v>363</v>
      </c>
      <c r="E17" s="22">
        <v>0</v>
      </c>
      <c r="F17" s="3"/>
      <c r="G17" s="1" t="s">
        <v>374</v>
      </c>
      <c r="H17" s="1" t="s">
        <v>375</v>
      </c>
      <c r="I17" s="1" t="s">
        <v>363</v>
      </c>
      <c r="J17" s="22">
        <v>0</v>
      </c>
      <c r="L17" s="1" t="s">
        <v>374</v>
      </c>
      <c r="M17" s="1" t="s">
        <v>375</v>
      </c>
      <c r="N17" s="1" t="s">
        <v>363</v>
      </c>
      <c r="O17" s="22">
        <v>0</v>
      </c>
    </row>
    <row r="18" spans="2:15">
      <c r="B18" s="1" t="s">
        <v>376</v>
      </c>
      <c r="C18" s="1" t="s">
        <v>377</v>
      </c>
      <c r="D18" s="1" t="s">
        <v>368</v>
      </c>
      <c r="E18" s="7">
        <f>(1-E13)*E14*E15*(E16+E17)</f>
        <v>0</v>
      </c>
      <c r="F18" s="3"/>
      <c r="G18" s="1" t="s">
        <v>376</v>
      </c>
      <c r="H18" s="1" t="s">
        <v>377</v>
      </c>
      <c r="I18" s="1" t="s">
        <v>368</v>
      </c>
      <c r="J18" s="7">
        <f>(1-J13)*J14*J15*(J16+J17)</f>
        <v>0</v>
      </c>
      <c r="L18" s="1" t="s">
        <v>376</v>
      </c>
      <c r="M18" s="1" t="s">
        <v>377</v>
      </c>
      <c r="N18" s="1" t="s">
        <v>368</v>
      </c>
      <c r="O18" s="7">
        <f>(1-O13)*O14*O15*(O16+O17)</f>
        <v>0</v>
      </c>
    </row>
    <row r="19" spans="2:15">
      <c r="F19" s="3"/>
    </row>
    <row r="20" spans="2:15">
      <c r="B20" s="220" t="s">
        <v>378</v>
      </c>
      <c r="C20" s="221"/>
      <c r="D20" s="221"/>
      <c r="E20" s="224"/>
      <c r="F20" s="3"/>
      <c r="G20" s="220" t="s">
        <v>378</v>
      </c>
      <c r="H20" s="221"/>
      <c r="I20" s="221"/>
      <c r="J20" s="224"/>
      <c r="L20" s="220" t="s">
        <v>378</v>
      </c>
      <c r="M20" s="221"/>
      <c r="N20" s="221"/>
      <c r="O20" s="224"/>
    </row>
    <row r="21" spans="2:15">
      <c r="B21" s="2" t="s">
        <v>379</v>
      </c>
      <c r="C21" s="1" t="s">
        <v>379</v>
      </c>
      <c r="D21" s="1" t="s">
        <v>380</v>
      </c>
      <c r="E21" s="8">
        <v>0.95</v>
      </c>
      <c r="F21" s="3"/>
      <c r="G21" s="2" t="s">
        <v>379</v>
      </c>
      <c r="H21" s="1" t="s">
        <v>379</v>
      </c>
      <c r="I21" s="1" t="s">
        <v>380</v>
      </c>
      <c r="J21" s="8">
        <v>0.95</v>
      </c>
      <c r="L21" s="2" t="s">
        <v>379</v>
      </c>
      <c r="M21" s="1" t="s">
        <v>379</v>
      </c>
      <c r="N21" s="1" t="s">
        <v>380</v>
      </c>
      <c r="O21" s="8">
        <v>0.95</v>
      </c>
    </row>
    <row r="22" spans="2:15">
      <c r="B22" s="1" t="s">
        <v>381</v>
      </c>
      <c r="C22" s="1" t="s">
        <v>382</v>
      </c>
      <c r="D22" s="1" t="s">
        <v>383</v>
      </c>
      <c r="E22" s="1">
        <v>112</v>
      </c>
      <c r="F22" s="3"/>
      <c r="G22" s="1" t="s">
        <v>381</v>
      </c>
      <c r="H22" s="1" t="s">
        <v>382</v>
      </c>
      <c r="I22" s="1" t="s">
        <v>383</v>
      </c>
      <c r="J22" s="1">
        <v>112</v>
      </c>
      <c r="L22" s="1" t="s">
        <v>381</v>
      </c>
      <c r="M22" s="1" t="s">
        <v>382</v>
      </c>
      <c r="N22" s="1" t="s">
        <v>383</v>
      </c>
      <c r="O22" s="1">
        <v>112</v>
      </c>
    </row>
    <row r="23" spans="2:15">
      <c r="B23" s="1" t="s">
        <v>411</v>
      </c>
      <c r="C23" s="1" t="s">
        <v>385</v>
      </c>
      <c r="D23" s="1" t="s">
        <v>386</v>
      </c>
      <c r="E23" s="171">
        <f>(J6*J23+O6*O23)/E6</f>
        <v>9.4600000000000009</v>
      </c>
      <c r="F23" s="3"/>
      <c r="G23" s="1" t="s">
        <v>384</v>
      </c>
      <c r="H23" s="1" t="s">
        <v>385</v>
      </c>
      <c r="I23" s="1" t="s">
        <v>386</v>
      </c>
      <c r="J23" s="1">
        <v>9.4600000000000009</v>
      </c>
      <c r="L23" s="1" t="s">
        <v>384</v>
      </c>
      <c r="M23" s="1" t="s">
        <v>385</v>
      </c>
      <c r="N23" s="1" t="s">
        <v>386</v>
      </c>
      <c r="O23" s="1">
        <f>9.46</f>
        <v>9.4600000000000009</v>
      </c>
    </row>
    <row r="24" spans="2:15">
      <c r="B24" s="1" t="s">
        <v>387</v>
      </c>
      <c r="C24" s="1" t="s">
        <v>388</v>
      </c>
      <c r="D24" s="1" t="s">
        <v>389</v>
      </c>
      <c r="E24" s="1">
        <f>0.0156</f>
        <v>1.5599999999999999E-2</v>
      </c>
      <c r="F24" s="3"/>
      <c r="G24" s="1" t="s">
        <v>387</v>
      </c>
      <c r="H24" s="1" t="s">
        <v>388</v>
      </c>
      <c r="I24" s="1" t="s">
        <v>389</v>
      </c>
      <c r="J24" s="1">
        <v>1.5599999999999999E-2</v>
      </c>
      <c r="L24" s="1" t="s">
        <v>387</v>
      </c>
      <c r="M24" s="1" t="s">
        <v>388</v>
      </c>
      <c r="N24" s="1" t="s">
        <v>389</v>
      </c>
      <c r="O24" s="1">
        <v>1.5599999999999999E-2</v>
      </c>
    </row>
    <row r="25" spans="2:15">
      <c r="F25" s="3"/>
    </row>
    <row r="26" spans="2:15">
      <c r="B26" s="220" t="s">
        <v>390</v>
      </c>
      <c r="C26" s="221"/>
      <c r="D26" s="221"/>
      <c r="E26" s="224"/>
      <c r="F26" s="3"/>
      <c r="G26" s="220" t="s">
        <v>390</v>
      </c>
      <c r="H26" s="221"/>
      <c r="I26" s="221"/>
      <c r="J26" s="224"/>
      <c r="L26" s="220" t="s">
        <v>390</v>
      </c>
      <c r="M26" s="221"/>
      <c r="N26" s="221"/>
      <c r="O26" s="224"/>
    </row>
    <row r="27" spans="2:15">
      <c r="B27" s="1" t="s">
        <v>391</v>
      </c>
      <c r="C27" s="1" t="s">
        <v>392</v>
      </c>
      <c r="D27" s="1" t="s">
        <v>393</v>
      </c>
      <c r="E27" s="4">
        <f>E10*((E22*E21)+E23)*E24</f>
        <v>5485.2794641007995</v>
      </c>
      <c r="F27" s="3"/>
      <c r="G27" s="1" t="s">
        <v>391</v>
      </c>
      <c r="H27" s="1" t="s">
        <v>392</v>
      </c>
      <c r="I27" s="1" t="s">
        <v>393</v>
      </c>
      <c r="J27" s="4">
        <f>J10*((J22*J21)+J23)*J24</f>
        <v>2768.3851077791996</v>
      </c>
      <c r="L27" s="1" t="s">
        <v>391</v>
      </c>
      <c r="M27" s="1" t="s">
        <v>392</v>
      </c>
      <c r="N27" s="1" t="s">
        <v>393</v>
      </c>
      <c r="O27" s="4">
        <f>O10*((O22*O21)+O23)*O24</f>
        <v>2716.8943563215998</v>
      </c>
    </row>
    <row r="28" spans="2:15">
      <c r="B28" s="1" t="s">
        <v>394</v>
      </c>
      <c r="C28" s="1" t="s">
        <v>395</v>
      </c>
      <c r="D28" s="1" t="s">
        <v>393</v>
      </c>
      <c r="E28" s="4">
        <f>E18*((E22*E21)+E23)*E24</f>
        <v>0</v>
      </c>
      <c r="F28" s="3"/>
      <c r="G28" s="1" t="s">
        <v>394</v>
      </c>
      <c r="H28" s="1" t="s">
        <v>395</v>
      </c>
      <c r="I28" s="1" t="s">
        <v>393</v>
      </c>
      <c r="J28" s="4">
        <f>J18*((J22*J21)+J23)*J24</f>
        <v>0</v>
      </c>
      <c r="L28" s="1" t="s">
        <v>394</v>
      </c>
      <c r="M28" s="1" t="s">
        <v>395</v>
      </c>
      <c r="N28" s="1" t="s">
        <v>393</v>
      </c>
      <c r="O28" s="4">
        <f>O18*((O22*O21)+O23)*O24</f>
        <v>0</v>
      </c>
    </row>
    <row r="29" spans="2:15">
      <c r="B29" s="1" t="s">
        <v>412</v>
      </c>
      <c r="C29" s="1" t="s">
        <v>397</v>
      </c>
      <c r="D29" s="1" t="s">
        <v>355</v>
      </c>
      <c r="E29" s="181">
        <v>0.81730000000000003</v>
      </c>
      <c r="F29" s="3"/>
      <c r="G29" s="1" t="s">
        <v>412</v>
      </c>
      <c r="H29" s="1" t="s">
        <v>397</v>
      </c>
      <c r="I29" s="1" t="s">
        <v>355</v>
      </c>
      <c r="J29" s="181">
        <v>0.81730000000000003</v>
      </c>
      <c r="L29" s="1" t="s">
        <v>412</v>
      </c>
      <c r="M29" s="1" t="s">
        <v>397</v>
      </c>
      <c r="N29" s="1" t="s">
        <v>355</v>
      </c>
      <c r="O29" s="181">
        <v>0.81730000000000003</v>
      </c>
    </row>
    <row r="30" spans="2:15">
      <c r="B30" s="1" t="s">
        <v>398</v>
      </c>
      <c r="C30" s="1" t="s">
        <v>399</v>
      </c>
      <c r="D30" s="1" t="s">
        <v>393</v>
      </c>
      <c r="E30" s="1">
        <v>0</v>
      </c>
      <c r="F30" s="3"/>
      <c r="G30" s="1" t="s">
        <v>398</v>
      </c>
      <c r="H30" s="1" t="s">
        <v>399</v>
      </c>
      <c r="I30" s="1" t="s">
        <v>393</v>
      </c>
      <c r="J30" s="1">
        <v>0</v>
      </c>
      <c r="L30" s="1" t="s">
        <v>398</v>
      </c>
      <c r="M30" s="1" t="s">
        <v>399</v>
      </c>
      <c r="N30" s="1" t="s">
        <v>393</v>
      </c>
      <c r="O30" s="1">
        <v>0</v>
      </c>
    </row>
    <row r="31" spans="2:15">
      <c r="B31" s="1" t="s">
        <v>400</v>
      </c>
      <c r="C31" s="1" t="s">
        <v>401</v>
      </c>
      <c r="D31" s="1" t="s">
        <v>393</v>
      </c>
      <c r="E31" s="4">
        <f>((E27-E28)*E29)-E30</f>
        <v>4483.118906009584</v>
      </c>
      <c r="F31" s="3"/>
      <c r="G31" s="1" t="s">
        <v>400</v>
      </c>
      <c r="H31" s="1" t="s">
        <v>401</v>
      </c>
      <c r="I31" s="1" t="s">
        <v>393</v>
      </c>
      <c r="J31" s="7">
        <f>((J27-J28)*J29)-J30</f>
        <v>2262.6011485879399</v>
      </c>
      <c r="L31" s="1" t="s">
        <v>400</v>
      </c>
      <c r="M31" s="1" t="s">
        <v>401</v>
      </c>
      <c r="N31" s="1" t="s">
        <v>393</v>
      </c>
      <c r="O31" s="7">
        <f>((O27-O28)*O29)-O30</f>
        <v>2220.5177574216436</v>
      </c>
    </row>
    <row r="32" spans="2:15">
      <c r="D32" s="5"/>
      <c r="F32" s="3"/>
      <c r="I32" s="5"/>
      <c r="N32" s="5"/>
    </row>
    <row r="33" spans="2:15">
      <c r="B33" s="225" t="s">
        <v>402</v>
      </c>
      <c r="C33" s="225"/>
      <c r="D33" s="225"/>
      <c r="E33" s="225"/>
      <c r="F33" s="3"/>
      <c r="G33" s="225" t="s">
        <v>402</v>
      </c>
      <c r="H33" s="225"/>
      <c r="I33" s="225"/>
      <c r="J33" s="225"/>
      <c r="L33" s="225" t="s">
        <v>402</v>
      </c>
      <c r="M33" s="225"/>
      <c r="N33" s="225"/>
      <c r="O33" s="225"/>
    </row>
    <row r="34" spans="2:15">
      <c r="B34" s="13" t="s">
        <v>403</v>
      </c>
      <c r="C34" s="1"/>
      <c r="D34" s="14"/>
      <c r="E34" s="23">
        <f>1-E35</f>
        <v>0.95</v>
      </c>
      <c r="F34" s="3"/>
      <c r="G34" s="13" t="s">
        <v>403</v>
      </c>
      <c r="H34" s="1"/>
      <c r="I34" s="14"/>
      <c r="J34" s="23">
        <f>1-J35</f>
        <v>0.95</v>
      </c>
      <c r="L34" s="13" t="s">
        <v>403</v>
      </c>
      <c r="M34" s="1"/>
      <c r="N34" s="14"/>
      <c r="O34" s="23">
        <f>1-O35</f>
        <v>0.95</v>
      </c>
    </row>
    <row r="35" spans="2:15">
      <c r="B35" s="13" t="s">
        <v>404</v>
      </c>
      <c r="C35" s="1" t="s">
        <v>405</v>
      </c>
      <c r="D35" s="14" t="s">
        <v>316</v>
      </c>
      <c r="E35" s="23">
        <v>0.05</v>
      </c>
      <c r="F35" s="3"/>
      <c r="G35" s="13" t="s">
        <v>404</v>
      </c>
      <c r="H35" s="1" t="s">
        <v>405</v>
      </c>
      <c r="I35" s="14" t="s">
        <v>316</v>
      </c>
      <c r="J35" s="23">
        <v>0.05</v>
      </c>
      <c r="L35" s="13" t="s">
        <v>404</v>
      </c>
      <c r="M35" s="1" t="s">
        <v>405</v>
      </c>
      <c r="N35" s="14" t="s">
        <v>316</v>
      </c>
      <c r="O35" s="23">
        <v>0.05</v>
      </c>
    </row>
    <row r="36" spans="2:15">
      <c r="B36" s="15" t="s">
        <v>400</v>
      </c>
      <c r="C36" s="15" t="s">
        <v>407</v>
      </c>
      <c r="D36" s="15" t="s">
        <v>393</v>
      </c>
      <c r="E36" s="25">
        <f>E31*(1-E35)</f>
        <v>4258.9629607091047</v>
      </c>
      <c r="F36" s="3"/>
      <c r="G36" s="15" t="s">
        <v>400</v>
      </c>
      <c r="H36" s="15" t="s">
        <v>407</v>
      </c>
      <c r="I36" s="15" t="s">
        <v>393</v>
      </c>
      <c r="J36" s="25">
        <f>J31*(1-J35)</f>
        <v>2149.4710911585425</v>
      </c>
      <c r="L36" s="15" t="s">
        <v>400</v>
      </c>
      <c r="M36" s="15" t="s">
        <v>407</v>
      </c>
      <c r="N36" s="15" t="s">
        <v>393</v>
      </c>
      <c r="O36" s="25">
        <f>O31*(1-O35)</f>
        <v>2109.4918695505612</v>
      </c>
    </row>
    <row r="37" spans="2:15">
      <c r="B37" s="21" t="s">
        <v>413</v>
      </c>
      <c r="C37" s="20" t="s">
        <v>407</v>
      </c>
      <c r="D37" s="20" t="s">
        <v>393</v>
      </c>
      <c r="E37" s="26">
        <f>J37+O37</f>
        <v>4258</v>
      </c>
      <c r="F37" s="3"/>
      <c r="G37" s="21" t="s">
        <v>413</v>
      </c>
      <c r="H37" s="20" t="s">
        <v>407</v>
      </c>
      <c r="I37" s="20" t="s">
        <v>393</v>
      </c>
      <c r="J37" s="26">
        <f>_xlfn.FLOOR.MATH(J36)</f>
        <v>2149</v>
      </c>
      <c r="L37" s="21" t="s">
        <v>413</v>
      </c>
      <c r="M37" s="20" t="s">
        <v>407</v>
      </c>
      <c r="N37" s="20" t="s">
        <v>393</v>
      </c>
      <c r="O37" s="26">
        <f>_xlfn.FLOOR.MATH(O36)</f>
        <v>2109</v>
      </c>
    </row>
    <row r="38" spans="2:15">
      <c r="C38" s="223"/>
      <c r="D38" s="223"/>
      <c r="F38" s="3"/>
      <c r="H38" s="223"/>
      <c r="I38" s="223"/>
      <c r="M38" s="223"/>
      <c r="N38" s="223"/>
    </row>
    <row r="39" spans="2:15">
      <c r="I39" s="27"/>
    </row>
    <row r="41" spans="2:15">
      <c r="E41" s="16"/>
      <c r="J41" s="16"/>
      <c r="O41" s="16"/>
    </row>
  </sheetData>
  <mergeCells count="21">
    <mergeCell ref="B2:E2"/>
    <mergeCell ref="G2:J2"/>
    <mergeCell ref="L2:O2"/>
    <mergeCell ref="B4:E4"/>
    <mergeCell ref="G4:J4"/>
    <mergeCell ref="L4:O4"/>
    <mergeCell ref="B12:E12"/>
    <mergeCell ref="G12:J12"/>
    <mergeCell ref="L12:O12"/>
    <mergeCell ref="B20:E20"/>
    <mergeCell ref="G20:J20"/>
    <mergeCell ref="L20:O20"/>
    <mergeCell ref="C38:D38"/>
    <mergeCell ref="H38:I38"/>
    <mergeCell ref="M38:N38"/>
    <mergeCell ref="B26:E26"/>
    <mergeCell ref="G26:J26"/>
    <mergeCell ref="L26:O26"/>
    <mergeCell ref="B33:E33"/>
    <mergeCell ref="G33:J33"/>
    <mergeCell ref="L33:O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lcf76f155ced4ddcb4097134ff3c332f xmlns="8bcd9205-aa71-43b1-82fe-dcc00a36dd04">
      <Terms xmlns="http://schemas.microsoft.com/office/infopath/2007/PartnerControls"/>
    </lcf76f155ced4ddcb4097134ff3c332f>
    <TaxCatchAll xmlns="83a6049c-05c8-4e22-bd03-2c19a5f84a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D8FF0EBC1E34CAA966933F5D9F9ED" ma:contentTypeVersion="17" ma:contentTypeDescription="Create a new document." ma:contentTypeScope="" ma:versionID="439770bec7794d21e15900065ecc15c8">
  <xsd:schema xmlns:xsd="http://www.w3.org/2001/XMLSchema" xmlns:xs="http://www.w3.org/2001/XMLSchema" xmlns:p="http://schemas.microsoft.com/office/2006/metadata/properties" xmlns:ns1="http://schemas.microsoft.com/sharepoint/v3" xmlns:ns2="8bcd9205-aa71-43b1-82fe-dcc00a36dd04" xmlns:ns3="83a6049c-05c8-4e22-bd03-2c19a5f84a8b" targetNamespace="http://schemas.microsoft.com/office/2006/metadata/properties" ma:root="true" ma:fieldsID="1bbc5ad7ea28e613aaec200fd9de14a7" ns1:_="" ns2:_="" ns3:_="">
    <xsd:import namespace="http://schemas.microsoft.com/sharepoint/v3"/>
    <xsd:import namespace="8bcd9205-aa71-43b1-82fe-dcc00a36dd04"/>
    <xsd:import namespace="83a6049c-05c8-4e22-bd03-2c19a5f84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PublishingStartDate" minOccurs="0"/>
                <xsd:element ref="ns1:PublishingExpirationDat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d9205-aa71-43b1-82fe-dcc00a36d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905b797-93a9-4c36-9d72-1ad65c8e50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6049c-05c8-4e22-bd03-2c19a5f84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97f6c16-a42c-4dfe-b35d-62a0e7d34d20}" ma:internalName="TaxCatchAll" ma:showField="CatchAllData" ma:web="83a6049c-05c8-4e22-bd03-2c19a5f84a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F84EBD-A1B0-411C-8FEB-DD32148E2745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3a6049c-05c8-4e22-bd03-2c19a5f84a8b"/>
    <ds:schemaRef ds:uri="8bcd9205-aa71-43b1-82fe-dcc00a36dd0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B8FC50F-2496-4639-802C-9A7F44AB0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cd9205-aa71-43b1-82fe-dcc00a36dd04"/>
    <ds:schemaRef ds:uri="83a6049c-05c8-4e22-bd03-2c19a5f84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1E6441-94D6-4513-A6B3-A70BF250EC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Summary</vt:lpstr>
      <vt:lpstr>Total PTDs</vt:lpstr>
      <vt:lpstr>SDG Impacts </vt:lpstr>
      <vt:lpstr>Uncapped ERs</vt:lpstr>
      <vt:lpstr>GS7475</vt:lpstr>
      <vt:lpstr>GS7476</vt:lpstr>
      <vt:lpstr>GS7477</vt:lpstr>
      <vt:lpstr>GS7478</vt:lpstr>
      <vt:lpstr>GS7479</vt:lpstr>
      <vt:lpstr>GS7480</vt:lpstr>
      <vt:lpstr>GS7481</vt:lpstr>
      <vt:lpstr>GS7482</vt:lpstr>
      <vt:lpstr>GS7483</vt:lpstr>
      <vt:lpstr>GS7484</vt:lpstr>
      <vt:lpstr>Treatment Capacity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fcogarcia344</dc:creator>
  <cp:keywords/>
  <dc:description/>
  <cp:lastModifiedBy> </cp:lastModifiedBy>
  <cp:revision/>
  <dcterms:created xsi:type="dcterms:W3CDTF">2010-03-10T10:40:43Z</dcterms:created>
  <dcterms:modified xsi:type="dcterms:W3CDTF">2022-11-28T17:02:02Z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0x010100467D8FF0EBC1E34CAA966933F5D9F9ED</vt:lpwstr>
  </property>
  <property fmtid="{D5CDD505-2E9C-101B-9397-08002B2CF9AE}" pid="3" name="MediaServiceImageTags">
    <vt:lpwstr/>
  </property>
</Properties>
</file>