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ket\Dropbox\CSIPL- Mohit G\Bangladesh\3112\MP3\GS findings round 1\"/>
    </mc:Choice>
  </mc:AlternateContent>
  <xr:revisionPtr revIDLastSave="0" documentId="13_ncr:1_{9510EF8B-7DD5-4DE6-90B2-9B79FC602884}" xr6:coauthVersionLast="47" xr6:coauthVersionMax="47" xr10:uidLastSave="{00000000-0000-0000-0000-000000000000}"/>
  <bookViews>
    <workbookView xWindow="28680" yWindow="-120" windowWidth="29040" windowHeight="15720" activeTab="1" xr2:uid="{3114ED32-AD15-49F1-9BF0-E09B99B4B0C0}"/>
  </bookViews>
  <sheets>
    <sheet name="Introduction" sheetId="50" r:id="rId1"/>
    <sheet name="Default Parameters" sheetId="8" r:id="rId2"/>
    <sheet name="Inst summary and ER calculation" sheetId="48" r:id="rId3"/>
    <sheet name="Sample Size cal and results" sheetId="2" r:id="rId4"/>
    <sheet name="Monitoring Summary MS1" sheetId="29" r:id="rId5"/>
    <sheet name="Monitoring Summary MS2" sheetId="28" r:id="rId6"/>
    <sheet name="Monitoring Report Tables" sheetId="5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Ey1" localSheetId="0">#REF!</definedName>
    <definedName name="_BEy1">#REF!</definedName>
    <definedName name="_BEy10" localSheetId="0">#REF!</definedName>
    <definedName name="_BEy10">#REF!</definedName>
    <definedName name="_BEy2" localSheetId="0">#REF!</definedName>
    <definedName name="_BEy2">#REF!</definedName>
    <definedName name="_BEy3" localSheetId="0">#REF!</definedName>
    <definedName name="_BEy3">#REF!</definedName>
    <definedName name="_BEy4" localSheetId="0">#REF!</definedName>
    <definedName name="_BEy4">#REF!</definedName>
    <definedName name="_BEy5" localSheetId="0">#REF!</definedName>
    <definedName name="_BEy5">#REF!</definedName>
    <definedName name="_BEy6" localSheetId="0">#REF!</definedName>
    <definedName name="_BEy6">#REF!</definedName>
    <definedName name="_BEy7" localSheetId="0">#REF!</definedName>
    <definedName name="_BEy7">#REF!</definedName>
    <definedName name="_BEy8" localSheetId="0">#REF!</definedName>
    <definedName name="_BEy8">#REF!</definedName>
    <definedName name="_BEy9" localSheetId="0">#REF!</definedName>
    <definedName name="_BEy9">#REF!</definedName>
    <definedName name="_xlnm._FilterDatabase" localSheetId="2" hidden="1">'Inst summary and ER calculation'!$A$1:$I$903</definedName>
    <definedName name="_xlnm._FilterDatabase" localSheetId="0">#REF!</definedName>
    <definedName name="_xlnm._FilterDatabase" localSheetId="4" hidden="1">'Monitoring Summary MS1'!$A$2:$AB$207</definedName>
    <definedName name="_xlnm._FilterDatabase" localSheetId="5" hidden="1">'Monitoring Summary MS2'!$A$2:$AB$208</definedName>
    <definedName name="_xlnm._FilterDatabase">#REF!</definedName>
    <definedName name="a" localSheetId="0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 localSheetId="0">#REF!</definedName>
    <definedName name="AFbl_fuel1_y8">#REF!</definedName>
    <definedName name="AFbl_fuel1_y9" localSheetId="0">#REF!</definedName>
    <definedName name="AFbl_fuel1_y9">#REF!</definedName>
    <definedName name="AFbl_fuel2" localSheetId="0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 localSheetId="0">#REF!</definedName>
    <definedName name="AFbl_fuel2_y1">#REF!</definedName>
    <definedName name="AFbl_fuel2_y10" localSheetId="0">#REF!</definedName>
    <definedName name="AFbl_fuel2_y10">#REF!</definedName>
    <definedName name="AFbl_fuel2_y2" localSheetId="0">#REF!</definedName>
    <definedName name="AFbl_fuel2_y2">#REF!</definedName>
    <definedName name="AFbl_fuel2_y3" localSheetId="0">#REF!</definedName>
    <definedName name="AFbl_fuel2_y3">#REF!</definedName>
    <definedName name="AFbl_fuel2_y4" localSheetId="0">#REF!</definedName>
    <definedName name="AFbl_fuel2_y4">#REF!</definedName>
    <definedName name="AFbl_fuel2_y5" localSheetId="0">#REF!</definedName>
    <definedName name="AFbl_fuel2_y5">#REF!</definedName>
    <definedName name="AFbl_fuel2_y6" localSheetId="0">#REF!</definedName>
    <definedName name="AFbl_fuel2_y6">#REF!</definedName>
    <definedName name="AFbl_fuel2_y7" localSheetId="0">#REF!</definedName>
    <definedName name="AFbl_fuel2_y7">#REF!</definedName>
    <definedName name="AFbl_fuel2_y8" localSheetId="0">#REF!</definedName>
    <definedName name="AFbl_fuel2_y8">#REF!</definedName>
    <definedName name="AFbl_fuel2_y9" localSheetId="0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 localSheetId="0">#REF!</definedName>
    <definedName name="AFbl_fuel3_y1">#REF!</definedName>
    <definedName name="AFbl_fuel3_y10" localSheetId="0">#REF!</definedName>
    <definedName name="AFbl_fuel3_y10">#REF!</definedName>
    <definedName name="AFbl_fuel3_y2" localSheetId="0">#REF!</definedName>
    <definedName name="AFbl_fuel3_y2">#REF!</definedName>
    <definedName name="AFbl_fuel3_y3" localSheetId="0">#REF!</definedName>
    <definedName name="AFbl_fuel3_y3">#REF!</definedName>
    <definedName name="AFbl_fuel3_y4" localSheetId="0">#REF!</definedName>
    <definedName name="AFbl_fuel3_y4">#REF!</definedName>
    <definedName name="AFbl_fuel3_y5" localSheetId="0">#REF!</definedName>
    <definedName name="AFbl_fuel3_y5">#REF!</definedName>
    <definedName name="AFbl_fuel3_y6" localSheetId="0">#REF!</definedName>
    <definedName name="AFbl_fuel3_y6">#REF!</definedName>
    <definedName name="AFbl_fuel3_y7" localSheetId="0">#REF!</definedName>
    <definedName name="AFbl_fuel3_y7">#REF!</definedName>
    <definedName name="AFbl_fuel3_y8" localSheetId="0">#REF!</definedName>
    <definedName name="AFbl_fuel3_y8">#REF!</definedName>
    <definedName name="AFbl_fuel3_y9" localSheetId="0">#REF!</definedName>
    <definedName name="AFbl_fuel3_y9">#REF!</definedName>
    <definedName name="AFbl_y2_fuel2" localSheetId="0">#REF!</definedName>
    <definedName name="AFbl_y2_fuel2">#REF!</definedName>
    <definedName name="AFble_fuel1_y7" localSheetId="0">#REF!</definedName>
    <definedName name="AFble_fuel1_y7">#REF!</definedName>
    <definedName name="AFlb_fuel3_1styr" localSheetId="0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 localSheetId="0">#REF!</definedName>
    <definedName name="age0_1">#REF!</definedName>
    <definedName name="age1_2" localSheetId="0">#REF!</definedName>
    <definedName name="age1_2">#REF!</definedName>
    <definedName name="age2_3" localSheetId="0">#REF!</definedName>
    <definedName name="age2_3">#REF!</definedName>
    <definedName name="age3_4" localSheetId="0">#REF!</definedName>
    <definedName name="age3_4">#REF!</definedName>
    <definedName name="age4_5" localSheetId="0">#REF!</definedName>
    <definedName name="age4_5">#REF!</definedName>
    <definedName name="age5_6" localSheetId="0">#REF!</definedName>
    <definedName name="age5_6">#REF!</definedName>
    <definedName name="age6_7" localSheetId="0">#REF!</definedName>
    <definedName name="age6_7">#REF!</definedName>
    <definedName name="age7_8" localSheetId="0">#REF!</definedName>
    <definedName name="age7_8">#REF!</definedName>
    <definedName name="age8_9" localSheetId="0">#REF!</definedName>
    <definedName name="age8_9">#REF!</definedName>
    <definedName name="age9_10" localSheetId="0">#REF!</definedName>
    <definedName name="age9_10">#REF!</definedName>
    <definedName name="alpha" localSheetId="0">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 localSheetId="0">#REF!</definedName>
    <definedName name="Ave_sales_growth">#REF!</definedName>
    <definedName name="Bbl_y1" localSheetId="0">#REF!</definedName>
    <definedName name="Bbl_y1">#REF!</definedName>
    <definedName name="Bbl_y10" localSheetId="0">#REF!</definedName>
    <definedName name="Bbl_y10">#REF!</definedName>
    <definedName name="Bbl_y2" localSheetId="0">#REF!</definedName>
    <definedName name="Bbl_y2">#REF!</definedName>
    <definedName name="Bbl_y3" localSheetId="0">#REF!</definedName>
    <definedName name="Bbl_y3">#REF!</definedName>
    <definedName name="Bbl_y4" localSheetId="0">#REF!</definedName>
    <definedName name="Bbl_y4">#REF!</definedName>
    <definedName name="Bbl_y5" localSheetId="0">#REF!</definedName>
    <definedName name="Bbl_y5">#REF!</definedName>
    <definedName name="Bbl_y6" localSheetId="0">#REF!</definedName>
    <definedName name="Bbl_y6">#REF!</definedName>
    <definedName name="Bbl_y7" localSheetId="0">#REF!</definedName>
    <definedName name="Bbl_y7">#REF!</definedName>
    <definedName name="Bbl_y8" localSheetId="0">#REF!</definedName>
    <definedName name="Bbl_y8">#REF!</definedName>
    <definedName name="Bbl_y9" localSheetId="0">#REF!</definedName>
    <definedName name="Bbl_y9">#REF!</definedName>
    <definedName name="bins_array" localSheetId="0">#REF!</definedName>
    <definedName name="bins_array">#REF!</definedName>
    <definedName name="Carbon_price">'[1]HH Carbon Calculator'!#REF!</definedName>
    <definedName name="Confidence" localSheetId="0">#REF!</definedName>
    <definedName name="Confidence">#REF!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 localSheetId="0">#REF!</definedName>
    <definedName name="D">#REF!</definedName>
    <definedName name="data" localSheetId="0">#REF!</definedName>
    <definedName name="data">#REF!</definedName>
    <definedName name="data_array" localSheetId="0">#REF!</definedName>
    <definedName name="data_array">#REF!</definedName>
    <definedName name="data1" localSheetId="0">#REF!</definedName>
    <definedName name="data1">#REF!</definedName>
    <definedName name="datanew" localSheetId="0">#REF!</definedName>
    <definedName name="datanew">#REF!</definedName>
    <definedName name="Discount_rate">'[1]HH Carbon Calculator'!#REF!</definedName>
    <definedName name="drate" localSheetId="0">#REF!</definedName>
    <definedName name="drate">#REF!</definedName>
    <definedName name="drate2" localSheetId="0">#REF!</definedName>
    <definedName name="drate2">#REF!</definedName>
    <definedName name="EF_af_co2_fuel1" localSheetId="0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 localSheetId="0">#REF!</definedName>
    <definedName name="EFaf_co2_fuel1">#REF!</definedName>
    <definedName name="EFaf_co2_fuel2" localSheetId="0">#REF!</definedName>
    <definedName name="EFaf_co2_fuel2">#REF!</definedName>
    <definedName name="EFaf_co2_fuel3" localSheetId="0">#REF!</definedName>
    <definedName name="EFaf_co2_fuel3">#REF!</definedName>
    <definedName name="EFaf_fuel1_CH4" localSheetId="0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 localSheetId="0">#REF!</definedName>
    <definedName name="EFaf_fuel1_N2O">#REF!</definedName>
    <definedName name="EFaf_fuel1_prod_CH4">[1]Parameters!$D$144</definedName>
    <definedName name="EFaf_fuel1_prod_CO2" localSheetId="0">#REF!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 localSheetId="0">#REF!</definedName>
    <definedName name="EFaf_fuel1_totalnon_CO2">#REF!</definedName>
    <definedName name="EFaf_fuel2_CH4" localSheetId="0">#REF!</definedName>
    <definedName name="EFaf_fuel2_CH4">#REF!</definedName>
    <definedName name="EFaf_fuel2_cook_CH4">[1]Parameters!$D$185</definedName>
    <definedName name="EFaf_fuel2_cook_CO2" localSheetId="0">#REF!</definedName>
    <definedName name="EFaf_fuel2_cook_CO2">#REF!</definedName>
    <definedName name="EFaf_fuel2_cook_gas_i" localSheetId="0">#REF!</definedName>
    <definedName name="EFaf_fuel2_cook_gas_i">#REF!</definedName>
    <definedName name="EFaf_fuel2_cook_N2O">[1]Parameters!$D$186</definedName>
    <definedName name="EFaf_fuel2_N2O" localSheetId="0">#REF!</definedName>
    <definedName name="EFaf_fuel2_N2O">#REF!</definedName>
    <definedName name="EFaf_fuel2_prod_CH4">[1]Parameters!$D$181</definedName>
    <definedName name="EFaf_fuel2_prod_CO2" localSheetId="0">#REF!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 localSheetId="0">#REF!</definedName>
    <definedName name="EFaf_fuel2_totalnon_CO2">#REF!</definedName>
    <definedName name="EFaf_fuel3_CH4" localSheetId="0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 localSheetId="0">#REF!</definedName>
    <definedName name="EFaf_fuel3_N2O">#REF!</definedName>
    <definedName name="EFaf_fuel3_prod_CH4">[1]Parameters!$D$218</definedName>
    <definedName name="EFaf_fuel3_prod_CO2" localSheetId="0">#REF!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 localSheetId="0">#REF!</definedName>
    <definedName name="EFaf_fuel3_totalnon_CO2">#REF!</definedName>
    <definedName name="EFaf_fule1_cook_CH4" localSheetId="0">#REF!</definedName>
    <definedName name="EFaf_fule1_cook_CH4">#REF!</definedName>
    <definedName name="EFaf_fule1_cook_CO2" localSheetId="0">#REF!</definedName>
    <definedName name="EFaf_fule1_cook_CO2">#REF!</definedName>
    <definedName name="EFaf_fule1_cook_N2O" localSheetId="0">#REF!</definedName>
    <definedName name="EFaf_fule1_cook_N2O">#REF!</definedName>
    <definedName name="EFaf_fule1_prod_CH4" localSheetId="0">#REF!</definedName>
    <definedName name="EFaf_fule1_prod_CH4">#REF!</definedName>
    <definedName name="EFaf_fule1_prod_CO2" localSheetId="0">#REF!</definedName>
    <definedName name="EFaf_fule1_prod_CO2">#REF!</definedName>
    <definedName name="EFaf_fule1_prod_N2O" localSheetId="0">#REF!</definedName>
    <definedName name="EFaf_fule1_prod_N2O">#REF!</definedName>
    <definedName name="EFaf_fule1_totalCO2" localSheetId="0">#REF!</definedName>
    <definedName name="EFaf_fule1_totalCO2">#REF!</definedName>
    <definedName name="EFaf_fule1_totalnon_CO2" localSheetId="0">#REF!</definedName>
    <definedName name="EFaf_fule1_totalnon_CO2">#REF!</definedName>
    <definedName name="EFaf_prod_co2_fuel1" localSheetId="0">#REF!</definedName>
    <definedName name="EFaf_prod_co2_fuel1">#REF!</definedName>
    <definedName name="EFaf_prod_co2_fuel2" localSheetId="0">#REF!</definedName>
    <definedName name="EFaf_prod_co2_fuel2">#REF!</definedName>
    <definedName name="EFaf_prod_co2_fuel3" localSheetId="0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 localSheetId="0">#REF!</definedName>
    <definedName name="EFbl_bio1_prod_CO2">#REF!</definedName>
    <definedName name="EFbl_bio1_prod_N2O" localSheetId="0">#REF!</definedName>
    <definedName name="EFbl_bio1_prod_N2O">#REF!</definedName>
    <definedName name="EFbl_bio1_totalCO2">[1]Parameters!$D$27</definedName>
    <definedName name="EFbl_bio1_totalnon_CO2" localSheetId="0">#REF!</definedName>
    <definedName name="EFbl_bio1_totalnon_CO2">#REF!</definedName>
    <definedName name="EFbl_bio2_cook_CH4">[1]Parameters!$D$62</definedName>
    <definedName name="EFbl_bio2_cook_CO2" localSheetId="0">#REF!</definedName>
    <definedName name="EFbl_bio2_cook_CO2">#REF!</definedName>
    <definedName name="EFbl_bio2_cook_N2O">[1]Parameters!$D$63</definedName>
    <definedName name="EFbl_bio2_prod_CH4">[1]Parameters!$D$58</definedName>
    <definedName name="EFbl_bio2_prod_CO2" localSheetId="0">#REF!</definedName>
    <definedName name="EFbl_bio2_prod_CO2">#REF!</definedName>
    <definedName name="EFbl_bio2_prod_N2O">[1]Parameters!$D$59</definedName>
    <definedName name="EFbl_bio2_total_CO2" localSheetId="0">#REF!</definedName>
    <definedName name="EFbl_bio2_total_CO2">#REF!</definedName>
    <definedName name="EFbl_bio2_totalCO2">[1]Parameters!$D$64</definedName>
    <definedName name="EFbl_bio2_totalnon_CO2" localSheetId="0">#REF!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 localSheetId="0">#REF!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 localSheetId="0">#REF!</definedName>
    <definedName name="EFbl_bio3_totalnon_CO2">#REF!</definedName>
    <definedName name="EFpj_bio1_cook_CH4">[1]Parameters!$J$25</definedName>
    <definedName name="EFpj_bio1_cook_CO2" localSheetId="0">#REF!</definedName>
    <definedName name="EFpj_bio1_cook_CO2">#REF!</definedName>
    <definedName name="EFpj_bio1_cook_N2O">[1]Parameters!$J$26</definedName>
    <definedName name="EFpj_bio1_prod_CH4">[1]Parameters!$J$21</definedName>
    <definedName name="EFpj_bio1_prod_CO2" localSheetId="0">#REF!</definedName>
    <definedName name="EFpj_bio1_prod_CO2">#REF!</definedName>
    <definedName name="EFpj_bio1_prod_N2O">[1]Parameters!$J$22</definedName>
    <definedName name="EFpj_bio1_totalCO2">[1]Parameters!$J$27</definedName>
    <definedName name="EFpj_bio1_totalnon_CO2" localSheetId="0">#REF!</definedName>
    <definedName name="EFpj_bio1_totalnon_CO2">#REF!</definedName>
    <definedName name="EFpj_bio2_cook_CH4">[1]Parameters!$J$62</definedName>
    <definedName name="EFpj_bio2_cook_CO2" localSheetId="0">#REF!</definedName>
    <definedName name="EFpj_bio2_cook_CO2">#REF!</definedName>
    <definedName name="EFpj_bio2_cook_gas_i" localSheetId="0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 localSheetId="0">#REF!</definedName>
    <definedName name="EFpj_bio2_prod_CO2">#REF!</definedName>
    <definedName name="EFpj_bio2_prod_N2O">[1]Parameters!$J$59</definedName>
    <definedName name="EFpj_bio2_totalCO2">[1]Parameters!$J$64</definedName>
    <definedName name="EFpj_bio2_totalnon_CO2" localSheetId="0">#REF!</definedName>
    <definedName name="EFpj_bio2_totalnon_CO2">#REF!</definedName>
    <definedName name="EFpj_bio3_cook_CH4">[1]Parameters!$J$111</definedName>
    <definedName name="EFpj_bio3_cook_CO2" localSheetId="0">#REF!</definedName>
    <definedName name="EFpj_bio3_cook_CO2">#REF!</definedName>
    <definedName name="EFpj_bio3_cook_gas_i" localSheetId="0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 localSheetId="0">#REF!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 localSheetId="0">#REF!</definedName>
    <definedName name="EFpj_bio3_totalnon_CO2">#REF!</definedName>
    <definedName name="F_1" localSheetId="0">#REF!</definedName>
    <definedName name="F_1">#REF!</definedName>
    <definedName name="F_10">'[2]Shengchang Stove'!$H$14</definedName>
    <definedName name="F_11" localSheetId="0">'[1]HH Carbon Calculator'!#REF!</definedName>
    <definedName name="F_11">'[1]HH Carbon Calculator'!#REF!</definedName>
    <definedName name="F_12" localSheetId="0">'[1]HH Carbon Calculator'!#REF!</definedName>
    <definedName name="F_12">'[1]HH Carbon Calculator'!#REF!</definedName>
    <definedName name="F_13" localSheetId="0">'[1]HH Carbon Calculator'!#REF!</definedName>
    <definedName name="F_13">'[1]HH Carbon Calculator'!#REF!</definedName>
    <definedName name="F_2" localSheetId="0">#REF!</definedName>
    <definedName name="F_2">#REF!</definedName>
    <definedName name="F_3" localSheetId="0">#REF!</definedName>
    <definedName name="F_3">#REF!</definedName>
    <definedName name="F_4" localSheetId="0">#REF!</definedName>
    <definedName name="F_4">#REF!</definedName>
    <definedName name="F_5" localSheetId="0">'[1]HH Carbon Calculator'!#REF!</definedName>
    <definedName name="F_5">'[1]HH Carbon Calculator'!#REF!</definedName>
    <definedName name="F_6" localSheetId="0">#REF!</definedName>
    <definedName name="F_6">#REF!</definedName>
    <definedName name="F_7" localSheetId="0">'[1]HH Carbon Calculator'!#REF!</definedName>
    <definedName name="F_7">'[1]HH Carbon Calculator'!#REF!</definedName>
    <definedName name="F_8" localSheetId="0">#REF!</definedName>
    <definedName name="F_8">#REF!</definedName>
    <definedName name="F_9" localSheetId="0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FuelCalorific">'[3]Calorific values'!$B$3:$M$91</definedName>
    <definedName name="grate" localSheetId="0">#REF!</definedName>
    <definedName name="grate">#REF!</definedName>
    <definedName name="Initial_sales" localSheetId="0">#REF!</definedName>
    <definedName name="Initial_sales">#REF!</definedName>
    <definedName name="L_1" localSheetId="0">#REF!</definedName>
    <definedName name="L_1">#REF!</definedName>
    <definedName name="L_10" localSheetId="0">#REF!</definedName>
    <definedName name="L_10">#REF!</definedName>
    <definedName name="L_11">'[1]HH Carbon Calculator'!#REF!</definedName>
    <definedName name="L_12">'[1]HH Carbon Calculator'!#REF!</definedName>
    <definedName name="L_13">'[1]HH Carbon Calculator'!#REF!</definedName>
    <definedName name="L_2" localSheetId="0">#REF!</definedName>
    <definedName name="L_2">#REF!</definedName>
    <definedName name="L_3" localSheetId="0">#REF!</definedName>
    <definedName name="L_3">#REF!</definedName>
    <definedName name="L_4" localSheetId="0">#REF!</definedName>
    <definedName name="L_4">#REF!</definedName>
    <definedName name="L_5" localSheetId="0">'[1]HH Carbon Calculator'!#REF!</definedName>
    <definedName name="L_5">'[1]HH Carbon Calculator'!#REF!</definedName>
    <definedName name="L_6" localSheetId="0">#REF!</definedName>
    <definedName name="L_6">#REF!</definedName>
    <definedName name="L_7" localSheetId="0">'[1]HH Carbon Calculator'!#REF!</definedName>
    <definedName name="L_7">'[1]HH Carbon Calculator'!#REF!</definedName>
    <definedName name="L_8" localSheetId="0">#REF!</definedName>
    <definedName name="L_8">#REF!</definedName>
    <definedName name="L_9" localSheetId="0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 localSheetId="0">#REF!</definedName>
    <definedName name="leakage">#REF!</definedName>
    <definedName name="m" localSheetId="0">#REF!</definedName>
    <definedName name="m">#REF!</definedName>
    <definedName name="n" localSheetId="0">#REF!</definedName>
    <definedName name="n">#REF!</definedName>
    <definedName name="nonCO2cook" localSheetId="0">#REF!</definedName>
    <definedName name="nonCO2cook">#REF!</definedName>
    <definedName name="nonCO2prod" localSheetId="0">#REF!</definedName>
    <definedName name="nonCO2prod">#REF!</definedName>
    <definedName name="nrb_1" localSheetId="0">#REF!</definedName>
    <definedName name="nrb_1">#REF!</definedName>
    <definedName name="nrb_10" localSheetId="0">#REF!</definedName>
    <definedName name="nrb_10">#REF!</definedName>
    <definedName name="nrb_11">'[1]HH Carbon Calculator'!#REF!</definedName>
    <definedName name="nrb_12">'[1]HH Carbon Calculator'!#REF!</definedName>
    <definedName name="nrb_13">'[1]HH Carbon Calculator'!#REF!</definedName>
    <definedName name="nrb_2" localSheetId="0">#REF!</definedName>
    <definedName name="nrb_2">#REF!</definedName>
    <definedName name="nrb_3" localSheetId="0">#REF!</definedName>
    <definedName name="nrb_3">#REF!</definedName>
    <definedName name="nrb_4" localSheetId="0">#REF!</definedName>
    <definedName name="nrb_4">#REF!</definedName>
    <definedName name="nrb_5" localSheetId="0">'[1]HH Carbon Calculator'!#REF!</definedName>
    <definedName name="nrb_5">'[1]HH Carbon Calculator'!#REF!</definedName>
    <definedName name="nrb_6" localSheetId="0">#REF!</definedName>
    <definedName name="nrb_6">#REF!</definedName>
    <definedName name="nrb_7" localSheetId="0">'[1]HH Carbon Calculator'!#REF!</definedName>
    <definedName name="nrb_7">'[1]HH Carbon Calculator'!#REF!</definedName>
    <definedName name="nrb_8" localSheetId="0">#REF!</definedName>
    <definedName name="nrb_8">#REF!</definedName>
    <definedName name="nrb_9" localSheetId="0">#REF!</definedName>
    <definedName name="nrb_9">#REF!</definedName>
    <definedName name="Precision" localSheetId="0">#REF!</definedName>
    <definedName name="Precision">#REF!</definedName>
    <definedName name="price" localSheetId="0">#REF!</definedName>
    <definedName name="price">#REF!</definedName>
    <definedName name="Ratio_ND_Domestic">'[4]De-bundling'!$C$19</definedName>
    <definedName name="reduction" localSheetId="0">#REF!</definedName>
    <definedName name="reduction">#REF!</definedName>
    <definedName name="Response">'[5]Monitoring data summary'!$A$175:$A$176</definedName>
    <definedName name="rmb" localSheetId="0">#REF!</definedName>
    <definedName name="rmb">#REF!</definedName>
    <definedName name="s" localSheetId="0">#REF!</definedName>
    <definedName name="s">#REF!</definedName>
    <definedName name="start_year" localSheetId="0">#REF!</definedName>
    <definedName name="start_year">#REF!</definedName>
    <definedName name="STOVE">[6]Sheet1!$C$3:$C$4</definedName>
    <definedName name="Subsidized_price" localSheetId="0">'[1]HH Carbon Calculator'!#REF!</definedName>
    <definedName name="Subsidized_price">'[1]HH Carbon Calculator'!#REF!</definedName>
    <definedName name="subsidy" localSheetId="0">#REF!</definedName>
    <definedName name="subsidy">#REF!</definedName>
    <definedName name="totalCO2" localSheetId="0">#REF!</definedName>
    <definedName name="totalCO2">#REF!</definedName>
    <definedName name="U_1" localSheetId="0">#REF!</definedName>
    <definedName name="U_1">#REF!</definedName>
    <definedName name="U_10">'[2]Shengchang Stove'!$I$14</definedName>
    <definedName name="U_11" localSheetId="0">'[1]HH Carbon Calculator'!#REF!</definedName>
    <definedName name="U_11">'[1]HH Carbon Calculator'!#REF!</definedName>
    <definedName name="U_12" localSheetId="0">'[1]HH Carbon Calculator'!#REF!</definedName>
    <definedName name="U_12">'[1]HH Carbon Calculator'!#REF!</definedName>
    <definedName name="U_13" localSheetId="0">'[1]HH Carbon Calculator'!#REF!</definedName>
    <definedName name="U_13">'[1]HH Carbon Calculator'!#REF!</definedName>
    <definedName name="U_2" localSheetId="0">#REF!</definedName>
    <definedName name="U_2">#REF!</definedName>
    <definedName name="U_3" localSheetId="0">#REF!</definedName>
    <definedName name="U_3">#REF!</definedName>
    <definedName name="U_4" localSheetId="0">#REF!</definedName>
    <definedName name="U_4">#REF!</definedName>
    <definedName name="U_5" localSheetId="0">'[1]HH Carbon Calculator'!#REF!</definedName>
    <definedName name="U_5">'[1]HH Carbon Calculator'!#REF!</definedName>
    <definedName name="U_6" localSheetId="0">#REF!</definedName>
    <definedName name="U_6">#REF!</definedName>
    <definedName name="U_7" localSheetId="0">'[1]HH Carbon Calculator'!#REF!</definedName>
    <definedName name="U_7">'[1]HH Carbon Calculator'!#REF!</definedName>
    <definedName name="U_8" localSheetId="0">#REF!</definedName>
    <definedName name="U_8">#REF!</definedName>
    <definedName name="U_9" localSheetId="0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 localSheetId="0">#REF!</definedName>
    <definedName name="Upj_bio2_1styr">#REF!</definedName>
    <definedName name="Upj_bio2_2ndyr" localSheetId="0">#REF!</definedName>
    <definedName name="Upj_bio2_2ndyr">#REF!</definedName>
    <definedName name="Upj_bio2_3rdyr" localSheetId="0">#REF!</definedName>
    <definedName name="Upj_bio2_3rdyr">#REF!</definedName>
    <definedName name="Upj_bio2_4thyr" localSheetId="0">#REF!</definedName>
    <definedName name="Upj_bio2_4thyr">#REF!</definedName>
    <definedName name="Upj_bio2_5thyr" localSheetId="0">#REF!</definedName>
    <definedName name="Upj_bio2_5thyr">#REF!</definedName>
    <definedName name="Upj_bio2_6thyr" localSheetId="0">#REF!</definedName>
    <definedName name="Upj_bio2_6thyr">#REF!</definedName>
    <definedName name="Upj_bio2_7thyr" localSheetId="0">#REF!</definedName>
    <definedName name="Upj_bio2_7thyr">#REF!</definedName>
    <definedName name="Upj_bio2_8thyr" localSheetId="0">#REF!</definedName>
    <definedName name="Upj_bio2_8thyr">#REF!</definedName>
    <definedName name="Upj_bio2_9thyr" localSheetId="0">#REF!</definedName>
    <definedName name="Upj_bio2_9thyr">#REF!</definedName>
    <definedName name="Upj_bio3_10thyr" localSheetId="0">#REF!</definedName>
    <definedName name="Upj_bio3_10thyr">#REF!</definedName>
    <definedName name="Upj_bio3_1styr" localSheetId="0">#REF!</definedName>
    <definedName name="Upj_bio3_1styr">#REF!</definedName>
    <definedName name="Upj_bio3_2ndyr" localSheetId="0">#REF!</definedName>
    <definedName name="Upj_bio3_2ndyr">#REF!</definedName>
    <definedName name="Upj_bio3_3rdyr" localSheetId="0">#REF!</definedName>
    <definedName name="Upj_bio3_3rdyr">#REF!</definedName>
    <definedName name="Upj_bio3_4thyr" localSheetId="0">#REF!</definedName>
    <definedName name="Upj_bio3_4thyr">#REF!</definedName>
    <definedName name="Upj_bio3_5thyr" localSheetId="0">#REF!</definedName>
    <definedName name="Upj_bio3_5thyr">#REF!</definedName>
    <definedName name="Upj_bio3_6thyr" localSheetId="0">#REF!</definedName>
    <definedName name="Upj_bio3_6thyr">#REF!</definedName>
    <definedName name="Upj_bio3_7thyr" localSheetId="0">#REF!</definedName>
    <definedName name="Upj_bio3_7thyr">#REF!</definedName>
    <definedName name="Upj_bio3_8thyr" localSheetId="0">#REF!</definedName>
    <definedName name="Upj_bio3_8thyr">#REF!</definedName>
    <definedName name="Upj_bio3_9thyr" localSheetId="0">#REF!</definedName>
    <definedName name="Upj_bio3_9thyr">#REF!</definedName>
    <definedName name="Upj_fuel2_10thyr" localSheetId="0">#REF!</definedName>
    <definedName name="Upj_fuel2_10thyr">#REF!</definedName>
    <definedName name="Upj_fuel2_1styr" localSheetId="0">#REF!</definedName>
    <definedName name="Upj_fuel2_1styr">#REF!</definedName>
    <definedName name="Upj_fuel2_2ndyr" localSheetId="0">#REF!</definedName>
    <definedName name="Upj_fuel2_2ndyr">#REF!</definedName>
    <definedName name="Upj_fuel2_3rdyr" localSheetId="0">#REF!</definedName>
    <definedName name="Upj_fuel2_3rdyr">#REF!</definedName>
    <definedName name="Upj_fuel2_4thyr" localSheetId="0">#REF!</definedName>
    <definedName name="Upj_fuel2_4thyr">#REF!</definedName>
    <definedName name="Upj_fuel2_5thyr" localSheetId="0">#REF!</definedName>
    <definedName name="Upj_fuel2_5thyr">#REF!</definedName>
    <definedName name="Upj_fuel2_6thyr" localSheetId="0">#REF!</definedName>
    <definedName name="Upj_fuel2_6thyr">#REF!</definedName>
    <definedName name="Upj_fuel2_7thyr" localSheetId="0">#REF!</definedName>
    <definedName name="Upj_fuel2_7thyr">#REF!</definedName>
    <definedName name="Upj_fuel2_8thyr" localSheetId="0">#REF!</definedName>
    <definedName name="Upj_fuel2_8thyr">#REF!</definedName>
    <definedName name="Upj_fuel2_9thyr" localSheetId="0">#REF!</definedName>
    <definedName name="Upj_fuel2_9thyr">#REF!</definedName>
    <definedName name="Upj_fuel3_10thyr" localSheetId="0">#REF!</definedName>
    <definedName name="Upj_fuel3_10thyr">#REF!</definedName>
    <definedName name="Upj_fuel3_1styr" localSheetId="0">#REF!</definedName>
    <definedName name="Upj_fuel3_1styr">#REF!</definedName>
    <definedName name="Upj_fuel3_2ndyr" localSheetId="0">#REF!</definedName>
    <definedName name="Upj_fuel3_2ndyr">#REF!</definedName>
    <definedName name="Upj_fuel3_3rdyr" localSheetId="0">#REF!</definedName>
    <definedName name="Upj_fuel3_3rdyr">#REF!</definedName>
    <definedName name="Upj_fuel3_4thyr" localSheetId="0">#REF!</definedName>
    <definedName name="Upj_fuel3_4thyr">#REF!</definedName>
    <definedName name="Upj_fuel3_5thyr" localSheetId="0">#REF!</definedName>
    <definedName name="Upj_fuel3_5thyr">#REF!</definedName>
    <definedName name="Upj_fuel3_6thyr" localSheetId="0">#REF!</definedName>
    <definedName name="Upj_fuel3_6thyr">#REF!</definedName>
    <definedName name="Upj_fuel3_7thyr" localSheetId="0">#REF!</definedName>
    <definedName name="Upj_fuel3_7thyr">#REF!</definedName>
    <definedName name="Upj_fuel3_8thyr" localSheetId="0">#REF!</definedName>
    <definedName name="Upj_fuel3_8thyr">#REF!</definedName>
    <definedName name="Upj_fuel3_9thyr" localSheetId="0">#REF!</definedName>
    <definedName name="Upj_fuel3_9thyr">#REF!</definedName>
    <definedName name="Upj_fule1_10thyr" localSheetId="0">#REF!</definedName>
    <definedName name="Upj_fule1_10thyr">#REF!</definedName>
    <definedName name="Upj_fule1_1styr" localSheetId="0">#REF!</definedName>
    <definedName name="Upj_fule1_1styr">#REF!</definedName>
    <definedName name="Upj_fule1_2ndyr" localSheetId="0">#REF!</definedName>
    <definedName name="Upj_fule1_2ndyr">#REF!</definedName>
    <definedName name="Upj_fule1_3rdyr" localSheetId="0">#REF!</definedName>
    <definedName name="Upj_fule1_3rdyr">#REF!</definedName>
    <definedName name="Upj_fule1_4thyr" localSheetId="0">#REF!</definedName>
    <definedName name="Upj_fule1_4thyr">#REF!</definedName>
    <definedName name="Upj_fule1_5thyr" localSheetId="0">#REF!</definedName>
    <definedName name="Upj_fule1_5thyr">#REF!</definedName>
    <definedName name="Upj_fule1_6thyr" localSheetId="0">#REF!</definedName>
    <definedName name="Upj_fule1_6thyr">#REF!</definedName>
    <definedName name="Upj_fule1_7thyr" localSheetId="0">#REF!</definedName>
    <definedName name="Upj_fule1_7thyr">#REF!</definedName>
    <definedName name="Upj_fule1_8thyr" localSheetId="0">#REF!</definedName>
    <definedName name="Upj_fule1_8thyr">#REF!</definedName>
    <definedName name="Upj_fule1_9thyr" localSheetId="0">#REF!</definedName>
    <definedName name="Upj_fule1_9thyr">#REF!</definedName>
    <definedName name="version" localSheetId="0">#REF!</definedName>
    <definedName name="version">#REF!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 localSheetId="0">#REF!</definedName>
    <definedName name="Xnrb_bl_y1">#REF!</definedName>
    <definedName name="Xnrb_bl_y10" localSheetId="0">#REF!</definedName>
    <definedName name="Xnrb_bl_y10">#REF!</definedName>
    <definedName name="Xnrb_bl_y2" localSheetId="0">#REF!</definedName>
    <definedName name="Xnrb_bl_y2">#REF!</definedName>
    <definedName name="Xnrb_bl_y3" localSheetId="0">#REF!</definedName>
    <definedName name="Xnrb_bl_y3">#REF!</definedName>
    <definedName name="Xnrb_bl_y4" localSheetId="0">#REF!</definedName>
    <definedName name="Xnrb_bl_y4">#REF!</definedName>
    <definedName name="Xnrb_bl_y5" localSheetId="0">#REF!</definedName>
    <definedName name="Xnrb_bl_y5">#REF!</definedName>
    <definedName name="Xnrb_bl_y6" localSheetId="0">#REF!</definedName>
    <definedName name="Xnrb_bl_y6">#REF!</definedName>
    <definedName name="Xnrb_bl_y7" localSheetId="0">#REF!</definedName>
    <definedName name="Xnrb_bl_y7">#REF!</definedName>
    <definedName name="Xnrb_bl_y8" localSheetId="0">#REF!</definedName>
    <definedName name="Xnrb_bl_y8">#REF!</definedName>
    <definedName name="Xnrb_bl_y9" localSheetId="0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 localSheetId="0">'[1]HH Carbon Calculator'!#REF!</definedName>
    <definedName name="year1">'[1]HH Carbon Calculator'!#REF!</definedName>
    <definedName name="year2" localSheetId="0">'[1]HH Carbon Calculator'!#REF!</definedName>
    <definedName name="year2">'[1]HH Carbon Calculator'!#REF!</definedName>
    <definedName name="year3" localSheetId="0">#REF!</definedName>
    <definedName name="year3">#REF!</definedName>
    <definedName name="year4" localSheetId="0">'[7]HH Carbon Calculator'!#REF!</definedName>
    <definedName name="year4">'[7]HH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48" l="1"/>
  <c r="L45" i="52" l="1"/>
  <c r="L80" i="52"/>
  <c r="L79" i="52"/>
  <c r="L78" i="52"/>
  <c r="L77" i="52"/>
  <c r="L76" i="52"/>
  <c r="L75" i="52"/>
  <c r="L74" i="52"/>
  <c r="L73" i="52"/>
  <c r="L72" i="52"/>
  <c r="L71" i="52"/>
  <c r="L70" i="52"/>
  <c r="L69" i="52"/>
  <c r="L68" i="52"/>
  <c r="L67" i="52"/>
  <c r="L66" i="52"/>
  <c r="L65" i="52"/>
  <c r="L64" i="52"/>
  <c r="L63" i="52"/>
  <c r="L62" i="52"/>
  <c r="L61" i="52"/>
  <c r="L60" i="52"/>
  <c r="L59" i="52"/>
  <c r="L58" i="52"/>
  <c r="L57" i="52"/>
  <c r="L56" i="52"/>
  <c r="L55" i="52"/>
  <c r="L54" i="52"/>
  <c r="L53" i="52"/>
  <c r="L52" i="52"/>
  <c r="L51" i="52"/>
  <c r="K3" i="29"/>
  <c r="L46" i="52" l="1"/>
  <c r="L47" i="52"/>
  <c r="L50" i="52"/>
  <c r="L48" i="52"/>
  <c r="L49" i="52"/>
  <c r="N6" i="48"/>
  <c r="C47" i="52" s="1"/>
  <c r="Q6" i="48"/>
  <c r="D47" i="52" l="1"/>
  <c r="E47" i="52" s="1"/>
  <c r="I81" i="52"/>
  <c r="J81" i="52"/>
  <c r="K81" i="52"/>
  <c r="B81" i="52"/>
  <c r="L81" i="52" l="1"/>
  <c r="H542" i="48" l="1"/>
  <c r="H543" i="48"/>
  <c r="H544" i="48"/>
  <c r="H545" i="48"/>
  <c r="H546" i="48"/>
  <c r="H547" i="48"/>
  <c r="H548" i="48"/>
  <c r="H549" i="48"/>
  <c r="H550" i="48"/>
  <c r="H551" i="48"/>
  <c r="H552" i="48"/>
  <c r="H553" i="48"/>
  <c r="H554" i="48"/>
  <c r="H555" i="48"/>
  <c r="H556" i="48"/>
  <c r="H557" i="48"/>
  <c r="H558" i="48"/>
  <c r="H559" i="48"/>
  <c r="H560" i="48"/>
  <c r="H561" i="48"/>
  <c r="H562" i="48"/>
  <c r="H563" i="48"/>
  <c r="H564" i="48"/>
  <c r="H565" i="48"/>
  <c r="H566" i="48"/>
  <c r="H567" i="48"/>
  <c r="H568" i="48"/>
  <c r="H569" i="48"/>
  <c r="H570" i="48"/>
  <c r="H571" i="48"/>
  <c r="H572" i="48"/>
  <c r="H573" i="48"/>
  <c r="H574" i="48"/>
  <c r="H575" i="48"/>
  <c r="H576" i="48"/>
  <c r="H577" i="48"/>
  <c r="H578" i="48"/>
  <c r="H579" i="48"/>
  <c r="H580" i="48"/>
  <c r="H581" i="48"/>
  <c r="H582" i="48"/>
  <c r="H583" i="48"/>
  <c r="H584" i="48"/>
  <c r="H585" i="48"/>
  <c r="H586" i="48"/>
  <c r="H587" i="48"/>
  <c r="H588" i="48"/>
  <c r="H589" i="48"/>
  <c r="H590" i="48"/>
  <c r="H591" i="48"/>
  <c r="H592" i="48"/>
  <c r="H593" i="48"/>
  <c r="H594" i="48"/>
  <c r="H595" i="48"/>
  <c r="H596" i="48"/>
  <c r="H597" i="48"/>
  <c r="H598" i="48"/>
  <c r="H599" i="48"/>
  <c r="H600" i="48"/>
  <c r="H601" i="48"/>
  <c r="H602" i="48"/>
  <c r="H603" i="48"/>
  <c r="H604" i="48"/>
  <c r="H605" i="48"/>
  <c r="H606" i="48"/>
  <c r="H607" i="48"/>
  <c r="H608" i="48"/>
  <c r="H609" i="48"/>
  <c r="H610" i="48"/>
  <c r="H611" i="48"/>
  <c r="H612" i="48"/>
  <c r="H613" i="48"/>
  <c r="H614" i="48"/>
  <c r="H615" i="48"/>
  <c r="H616" i="48"/>
  <c r="H617" i="48"/>
  <c r="H618" i="48"/>
  <c r="H619" i="48"/>
  <c r="H620" i="48"/>
  <c r="H621" i="48"/>
  <c r="H622" i="48"/>
  <c r="H623" i="48"/>
  <c r="H624" i="48"/>
  <c r="H625" i="48"/>
  <c r="H626" i="48"/>
  <c r="H627" i="48"/>
  <c r="H628" i="48"/>
  <c r="H629" i="48"/>
  <c r="H630" i="48"/>
  <c r="H631" i="48"/>
  <c r="H632" i="48"/>
  <c r="H633" i="48"/>
  <c r="H634" i="48"/>
  <c r="H635" i="48"/>
  <c r="H636" i="48"/>
  <c r="H637" i="48"/>
  <c r="H638" i="48"/>
  <c r="H639" i="48"/>
  <c r="H640" i="48"/>
  <c r="H641" i="48"/>
  <c r="H642" i="48"/>
  <c r="H643" i="48"/>
  <c r="H644" i="48"/>
  <c r="H645" i="48"/>
  <c r="H646" i="48"/>
  <c r="H647" i="48"/>
  <c r="H648" i="48"/>
  <c r="H649" i="48"/>
  <c r="H650" i="48"/>
  <c r="H651" i="48"/>
  <c r="H652" i="48"/>
  <c r="H653" i="48"/>
  <c r="H654" i="48"/>
  <c r="H655" i="48"/>
  <c r="H656" i="48"/>
  <c r="H657" i="48"/>
  <c r="H658" i="48"/>
  <c r="H659" i="48"/>
  <c r="H660" i="48"/>
  <c r="H661" i="48"/>
  <c r="H662" i="48"/>
  <c r="H663" i="48"/>
  <c r="H664" i="48"/>
  <c r="H665" i="48"/>
  <c r="H666" i="48"/>
  <c r="H667" i="48"/>
  <c r="H668" i="48"/>
  <c r="H669" i="48"/>
  <c r="H670" i="48"/>
  <c r="H671" i="48"/>
  <c r="H672" i="48"/>
  <c r="H673" i="48"/>
  <c r="H674" i="48"/>
  <c r="H675" i="48"/>
  <c r="H676" i="48"/>
  <c r="H677" i="48"/>
  <c r="H678" i="48"/>
  <c r="H679" i="48"/>
  <c r="H680" i="48"/>
  <c r="H681" i="48"/>
  <c r="H682" i="48"/>
  <c r="H683" i="48"/>
  <c r="H684" i="48"/>
  <c r="H685" i="48"/>
  <c r="H686" i="48"/>
  <c r="H687" i="48"/>
  <c r="H688" i="48"/>
  <c r="H689" i="48"/>
  <c r="H690" i="48"/>
  <c r="H691" i="48"/>
  <c r="H692" i="48"/>
  <c r="H693" i="48"/>
  <c r="H694" i="48"/>
  <c r="H695" i="48"/>
  <c r="H696" i="48"/>
  <c r="H697" i="48"/>
  <c r="H698" i="48"/>
  <c r="H699" i="48"/>
  <c r="H700" i="48"/>
  <c r="H701" i="48"/>
  <c r="H702" i="48"/>
  <c r="H703" i="48"/>
  <c r="H704" i="48"/>
  <c r="H705" i="48"/>
  <c r="H706" i="48"/>
  <c r="H707" i="48"/>
  <c r="H708" i="48"/>
  <c r="H709" i="48"/>
  <c r="H710" i="48"/>
  <c r="H711" i="48"/>
  <c r="H712" i="48"/>
  <c r="H713" i="48"/>
  <c r="H714" i="48"/>
  <c r="H715" i="48"/>
  <c r="H716" i="48"/>
  <c r="H717" i="48"/>
  <c r="H718" i="48"/>
  <c r="H719" i="48"/>
  <c r="H720" i="48"/>
  <c r="H721" i="48"/>
  <c r="H722" i="48"/>
  <c r="H723" i="48"/>
  <c r="H724" i="48"/>
  <c r="H725" i="48"/>
  <c r="H726" i="48"/>
  <c r="H727" i="48"/>
  <c r="H728" i="48"/>
  <c r="H729" i="48"/>
  <c r="H730" i="48"/>
  <c r="H731" i="48"/>
  <c r="H732" i="48"/>
  <c r="H733" i="48"/>
  <c r="H734" i="48"/>
  <c r="H735" i="48"/>
  <c r="H736" i="48"/>
  <c r="H737" i="48"/>
  <c r="H738" i="48"/>
  <c r="H739" i="48"/>
  <c r="H740" i="48"/>
  <c r="H741" i="48"/>
  <c r="H742" i="48"/>
  <c r="H743" i="48"/>
  <c r="H744" i="48"/>
  <c r="H745" i="48"/>
  <c r="H746" i="48"/>
  <c r="H747" i="48"/>
  <c r="H748" i="48"/>
  <c r="H749" i="48"/>
  <c r="H750" i="48"/>
  <c r="H751" i="48"/>
  <c r="H752" i="48"/>
  <c r="H753" i="48"/>
  <c r="H754" i="48"/>
  <c r="H755" i="48"/>
  <c r="H756" i="48"/>
  <c r="H757" i="48"/>
  <c r="H758" i="48"/>
  <c r="H759" i="48"/>
  <c r="H760" i="48"/>
  <c r="H761" i="48"/>
  <c r="H762" i="48"/>
  <c r="H763" i="48"/>
  <c r="H764" i="48"/>
  <c r="H765" i="48"/>
  <c r="H766" i="48"/>
  <c r="H767" i="48"/>
  <c r="H768" i="48"/>
  <c r="H769" i="48"/>
  <c r="H770" i="48"/>
  <c r="H771" i="48"/>
  <c r="H772" i="48"/>
  <c r="H773" i="48"/>
  <c r="H774" i="48"/>
  <c r="H775" i="48"/>
  <c r="H776" i="48"/>
  <c r="H777" i="48"/>
  <c r="H778" i="48"/>
  <c r="H779" i="48"/>
  <c r="H780" i="48"/>
  <c r="H781" i="48"/>
  <c r="H782" i="48"/>
  <c r="H783" i="48"/>
  <c r="H784" i="48"/>
  <c r="H785" i="48"/>
  <c r="H786" i="48"/>
  <c r="H787" i="48"/>
  <c r="H788" i="48"/>
  <c r="H789" i="48"/>
  <c r="H790" i="48"/>
  <c r="H791" i="48"/>
  <c r="H792" i="48"/>
  <c r="H793" i="48"/>
  <c r="H794" i="48"/>
  <c r="H795" i="48"/>
  <c r="H796" i="48"/>
  <c r="H797" i="48"/>
  <c r="H798" i="48"/>
  <c r="H799" i="48"/>
  <c r="H800" i="48"/>
  <c r="H801" i="48"/>
  <c r="H802" i="48"/>
  <c r="H803" i="48"/>
  <c r="H804" i="48"/>
  <c r="H805" i="48"/>
  <c r="H806" i="48"/>
  <c r="H807" i="48"/>
  <c r="H808" i="48"/>
  <c r="H809" i="48"/>
  <c r="H810" i="48"/>
  <c r="H811" i="48"/>
  <c r="H812" i="48"/>
  <c r="H813" i="48"/>
  <c r="H814" i="48"/>
  <c r="H815" i="48"/>
  <c r="H816" i="48"/>
  <c r="H817" i="48"/>
  <c r="H818" i="48"/>
  <c r="H819" i="48"/>
  <c r="H820" i="48"/>
  <c r="H821" i="48"/>
  <c r="H822" i="48"/>
  <c r="H823" i="48"/>
  <c r="H824" i="48"/>
  <c r="H825" i="48"/>
  <c r="H826" i="48"/>
  <c r="H827" i="48"/>
  <c r="H828" i="48"/>
  <c r="H829" i="48"/>
  <c r="H830" i="48"/>
  <c r="H831" i="48"/>
  <c r="H832" i="48"/>
  <c r="H833" i="48"/>
  <c r="H834" i="48"/>
  <c r="H835" i="48"/>
  <c r="H836" i="48"/>
  <c r="H837" i="48"/>
  <c r="H838" i="48"/>
  <c r="H839" i="48"/>
  <c r="H840" i="48"/>
  <c r="H841" i="48"/>
  <c r="H842" i="48"/>
  <c r="H843" i="48"/>
  <c r="H844" i="48"/>
  <c r="H845" i="48"/>
  <c r="H846" i="48"/>
  <c r="H847" i="48"/>
  <c r="H848" i="48"/>
  <c r="H849" i="48"/>
  <c r="H850" i="48"/>
  <c r="H851" i="48"/>
  <c r="H852" i="48"/>
  <c r="H853" i="48"/>
  <c r="H854" i="48"/>
  <c r="H855" i="48"/>
  <c r="H856" i="48"/>
  <c r="H857" i="48"/>
  <c r="H858" i="48"/>
  <c r="H859" i="48"/>
  <c r="H860" i="48"/>
  <c r="H861" i="48"/>
  <c r="H862" i="48"/>
  <c r="H863" i="48"/>
  <c r="H864" i="48"/>
  <c r="H865" i="48"/>
  <c r="H866" i="48"/>
  <c r="H867" i="48"/>
  <c r="H868" i="48"/>
  <c r="H869" i="48"/>
  <c r="H870" i="48"/>
  <c r="H871" i="48"/>
  <c r="H872" i="48"/>
  <c r="H873" i="48"/>
  <c r="H874" i="48"/>
  <c r="H875" i="48"/>
  <c r="H876" i="48"/>
  <c r="H877" i="48"/>
  <c r="H878" i="48"/>
  <c r="H879" i="48"/>
  <c r="H880" i="48"/>
  <c r="H881" i="48"/>
  <c r="H882" i="48"/>
  <c r="H883" i="48"/>
  <c r="H884" i="48"/>
  <c r="H885" i="48"/>
  <c r="H886" i="48"/>
  <c r="H887" i="48"/>
  <c r="H888" i="48"/>
  <c r="H889" i="48"/>
  <c r="H890" i="48"/>
  <c r="H891" i="48"/>
  <c r="H892" i="48"/>
  <c r="H893" i="48"/>
  <c r="H894" i="48"/>
  <c r="H895" i="48"/>
  <c r="H896" i="48"/>
  <c r="H897" i="48"/>
  <c r="H898" i="48"/>
  <c r="H899" i="48"/>
  <c r="H900" i="48"/>
  <c r="H901" i="48"/>
  <c r="H902" i="48"/>
  <c r="H903" i="48"/>
  <c r="H541" i="48"/>
  <c r="E542" i="48"/>
  <c r="E543" i="48"/>
  <c r="E544" i="48"/>
  <c r="E545" i="48"/>
  <c r="E546" i="48"/>
  <c r="E547" i="48"/>
  <c r="E548" i="48"/>
  <c r="E549" i="48"/>
  <c r="E550" i="48"/>
  <c r="E551" i="48"/>
  <c r="E552" i="48"/>
  <c r="E553" i="48"/>
  <c r="E554" i="48"/>
  <c r="E555" i="48"/>
  <c r="E556" i="48"/>
  <c r="E557" i="48"/>
  <c r="E558" i="48"/>
  <c r="E559" i="48"/>
  <c r="E560" i="48"/>
  <c r="E561" i="48"/>
  <c r="E562" i="48"/>
  <c r="E563" i="48"/>
  <c r="E564" i="48"/>
  <c r="E565" i="48"/>
  <c r="E566" i="48"/>
  <c r="E567" i="48"/>
  <c r="E568" i="48"/>
  <c r="E569" i="48"/>
  <c r="E570" i="48"/>
  <c r="E571" i="48"/>
  <c r="E572" i="48"/>
  <c r="E573" i="48"/>
  <c r="E574" i="48"/>
  <c r="E575" i="48"/>
  <c r="E576" i="48"/>
  <c r="E577" i="48"/>
  <c r="E578" i="48"/>
  <c r="E579" i="48"/>
  <c r="E580" i="48"/>
  <c r="E581" i="48"/>
  <c r="E582" i="48"/>
  <c r="E583" i="48"/>
  <c r="E584" i="48"/>
  <c r="E585" i="48"/>
  <c r="E586" i="48"/>
  <c r="E587" i="48"/>
  <c r="E588" i="48"/>
  <c r="E589" i="48"/>
  <c r="E590" i="48"/>
  <c r="E591" i="48"/>
  <c r="E592" i="48"/>
  <c r="E593" i="48"/>
  <c r="E594" i="48"/>
  <c r="E595" i="48"/>
  <c r="E596" i="48"/>
  <c r="E597" i="48"/>
  <c r="E598" i="48"/>
  <c r="E599" i="48"/>
  <c r="E600" i="48"/>
  <c r="E601" i="48"/>
  <c r="E602" i="48"/>
  <c r="E603" i="48"/>
  <c r="E604" i="48"/>
  <c r="E605" i="48"/>
  <c r="E606" i="48"/>
  <c r="E607" i="48"/>
  <c r="E608" i="48"/>
  <c r="E609" i="48"/>
  <c r="E610" i="48"/>
  <c r="E611" i="48"/>
  <c r="E612" i="48"/>
  <c r="E613" i="48"/>
  <c r="E614" i="48"/>
  <c r="E615" i="48"/>
  <c r="E616" i="48"/>
  <c r="E617" i="48"/>
  <c r="E618" i="48"/>
  <c r="E619" i="48"/>
  <c r="E620" i="48"/>
  <c r="E621" i="48"/>
  <c r="E622" i="48"/>
  <c r="E623" i="48"/>
  <c r="E624" i="48"/>
  <c r="E625" i="48"/>
  <c r="E626" i="48"/>
  <c r="E627" i="48"/>
  <c r="E628" i="48"/>
  <c r="E629" i="48"/>
  <c r="E630" i="48"/>
  <c r="E631" i="48"/>
  <c r="E632" i="48"/>
  <c r="E633" i="48"/>
  <c r="E634" i="48"/>
  <c r="E635" i="48"/>
  <c r="E636" i="48"/>
  <c r="E637" i="48"/>
  <c r="E638" i="48"/>
  <c r="E639" i="48"/>
  <c r="E640" i="48"/>
  <c r="E641" i="48"/>
  <c r="E642" i="48"/>
  <c r="E643" i="48"/>
  <c r="E644" i="48"/>
  <c r="E645" i="48"/>
  <c r="E646" i="48"/>
  <c r="E647" i="48"/>
  <c r="E648" i="48"/>
  <c r="E649" i="48"/>
  <c r="E650" i="48"/>
  <c r="E651" i="48"/>
  <c r="E652" i="48"/>
  <c r="E653" i="48"/>
  <c r="E654" i="48"/>
  <c r="E655" i="48"/>
  <c r="E656" i="48"/>
  <c r="E657" i="48"/>
  <c r="E658" i="48"/>
  <c r="E659" i="48"/>
  <c r="E660" i="48"/>
  <c r="E661" i="48"/>
  <c r="E662" i="48"/>
  <c r="E663" i="48"/>
  <c r="E664" i="48"/>
  <c r="E665" i="48"/>
  <c r="E666" i="48"/>
  <c r="E667" i="48"/>
  <c r="E668" i="48"/>
  <c r="E669" i="48"/>
  <c r="E670" i="48"/>
  <c r="E671" i="48"/>
  <c r="E672" i="48"/>
  <c r="E673" i="48"/>
  <c r="E674" i="48"/>
  <c r="E675" i="48"/>
  <c r="E676" i="48"/>
  <c r="E677" i="48"/>
  <c r="E678" i="48"/>
  <c r="E679" i="48"/>
  <c r="E680" i="48"/>
  <c r="E681" i="48"/>
  <c r="E682" i="48"/>
  <c r="E683" i="48"/>
  <c r="E684" i="48"/>
  <c r="E685" i="48"/>
  <c r="E686" i="48"/>
  <c r="E687" i="48"/>
  <c r="E688" i="48"/>
  <c r="E689" i="48"/>
  <c r="E690" i="48"/>
  <c r="E691" i="48"/>
  <c r="E692" i="48"/>
  <c r="E693" i="48"/>
  <c r="E694" i="48"/>
  <c r="E695" i="48"/>
  <c r="E696" i="48"/>
  <c r="E697" i="48"/>
  <c r="E698" i="48"/>
  <c r="E699" i="48"/>
  <c r="E700" i="48"/>
  <c r="E701" i="48"/>
  <c r="E702" i="48"/>
  <c r="E703" i="48"/>
  <c r="E704" i="48"/>
  <c r="E705" i="48"/>
  <c r="E706" i="48"/>
  <c r="E707" i="48"/>
  <c r="E708" i="48"/>
  <c r="E709" i="48"/>
  <c r="E710" i="48"/>
  <c r="E711" i="48"/>
  <c r="E712" i="48"/>
  <c r="E713" i="48"/>
  <c r="E714" i="48"/>
  <c r="E715" i="48"/>
  <c r="E716" i="48"/>
  <c r="E717" i="48"/>
  <c r="E718" i="48"/>
  <c r="E719" i="48"/>
  <c r="E720" i="48"/>
  <c r="E721" i="48"/>
  <c r="E722" i="48"/>
  <c r="E723" i="48"/>
  <c r="E724" i="48"/>
  <c r="E725" i="48"/>
  <c r="E726" i="48"/>
  <c r="E727" i="48"/>
  <c r="E728" i="48"/>
  <c r="E729" i="48"/>
  <c r="E730" i="48"/>
  <c r="E731" i="48"/>
  <c r="E732" i="48"/>
  <c r="E733" i="48"/>
  <c r="E734" i="48"/>
  <c r="E735" i="48"/>
  <c r="E736" i="48"/>
  <c r="E737" i="48"/>
  <c r="E738" i="48"/>
  <c r="E739" i="48"/>
  <c r="E740" i="48"/>
  <c r="E741" i="48"/>
  <c r="E742" i="48"/>
  <c r="E743" i="48"/>
  <c r="E744" i="48"/>
  <c r="E745" i="48"/>
  <c r="E746" i="48"/>
  <c r="E747" i="48"/>
  <c r="E748" i="48"/>
  <c r="E749" i="48"/>
  <c r="E750" i="48"/>
  <c r="E751" i="48"/>
  <c r="E752" i="48"/>
  <c r="E753" i="48"/>
  <c r="E754" i="48"/>
  <c r="E755" i="48"/>
  <c r="E756" i="48"/>
  <c r="E757" i="48"/>
  <c r="E758" i="48"/>
  <c r="E759" i="48"/>
  <c r="E760" i="48"/>
  <c r="E761" i="48"/>
  <c r="E762" i="48"/>
  <c r="E763" i="48"/>
  <c r="E764" i="48"/>
  <c r="E765" i="48"/>
  <c r="E766" i="48"/>
  <c r="E767" i="48"/>
  <c r="E768" i="48"/>
  <c r="E769" i="48"/>
  <c r="E770" i="48"/>
  <c r="E771" i="48"/>
  <c r="E772" i="48"/>
  <c r="E773" i="48"/>
  <c r="E774" i="48"/>
  <c r="E775" i="48"/>
  <c r="E776" i="48"/>
  <c r="E777" i="48"/>
  <c r="E778" i="48"/>
  <c r="E779" i="48"/>
  <c r="E780" i="48"/>
  <c r="E781" i="48"/>
  <c r="E782" i="48"/>
  <c r="E783" i="48"/>
  <c r="E784" i="48"/>
  <c r="E785" i="48"/>
  <c r="E786" i="48"/>
  <c r="E787" i="48"/>
  <c r="E788" i="48"/>
  <c r="E789" i="48"/>
  <c r="E790" i="48"/>
  <c r="E791" i="48"/>
  <c r="E792" i="48"/>
  <c r="E793" i="48"/>
  <c r="E794" i="48"/>
  <c r="E795" i="48"/>
  <c r="E796" i="48"/>
  <c r="E797" i="48"/>
  <c r="E798" i="48"/>
  <c r="E799" i="48"/>
  <c r="E800" i="48"/>
  <c r="E801" i="48"/>
  <c r="E802" i="48"/>
  <c r="E803" i="48"/>
  <c r="E804" i="48"/>
  <c r="E805" i="48"/>
  <c r="E806" i="48"/>
  <c r="E807" i="48"/>
  <c r="E808" i="48"/>
  <c r="E809" i="48"/>
  <c r="E810" i="48"/>
  <c r="E811" i="48"/>
  <c r="E812" i="48"/>
  <c r="E813" i="48"/>
  <c r="E814" i="48"/>
  <c r="E815" i="48"/>
  <c r="E816" i="48"/>
  <c r="E817" i="48"/>
  <c r="E818" i="48"/>
  <c r="E819" i="48"/>
  <c r="E820" i="48"/>
  <c r="E821" i="48"/>
  <c r="E822" i="48"/>
  <c r="E823" i="48"/>
  <c r="E824" i="48"/>
  <c r="E825" i="48"/>
  <c r="E826" i="48"/>
  <c r="E827" i="48"/>
  <c r="E828" i="48"/>
  <c r="E829" i="48"/>
  <c r="E830" i="48"/>
  <c r="E831" i="48"/>
  <c r="E832" i="48"/>
  <c r="E833" i="48"/>
  <c r="E834" i="48"/>
  <c r="E835" i="48"/>
  <c r="E836" i="48"/>
  <c r="E837" i="48"/>
  <c r="E838" i="48"/>
  <c r="E839" i="48"/>
  <c r="E840" i="48"/>
  <c r="E841" i="48"/>
  <c r="E842" i="48"/>
  <c r="E843" i="48"/>
  <c r="E844" i="48"/>
  <c r="E845" i="48"/>
  <c r="E846" i="48"/>
  <c r="E847" i="48"/>
  <c r="E848" i="48"/>
  <c r="E849" i="48"/>
  <c r="E850" i="48"/>
  <c r="E851" i="48"/>
  <c r="E852" i="48"/>
  <c r="E853" i="48"/>
  <c r="E854" i="48"/>
  <c r="E855" i="48"/>
  <c r="E856" i="48"/>
  <c r="E857" i="48"/>
  <c r="E858" i="48"/>
  <c r="E859" i="48"/>
  <c r="E860" i="48"/>
  <c r="E861" i="48"/>
  <c r="E862" i="48"/>
  <c r="E863" i="48"/>
  <c r="E864" i="48"/>
  <c r="E865" i="48"/>
  <c r="E866" i="48"/>
  <c r="E867" i="48"/>
  <c r="E868" i="48"/>
  <c r="E869" i="48"/>
  <c r="E870" i="48"/>
  <c r="E871" i="48"/>
  <c r="E872" i="48"/>
  <c r="E873" i="48"/>
  <c r="E874" i="48"/>
  <c r="E875" i="48"/>
  <c r="E876" i="48"/>
  <c r="E877" i="48"/>
  <c r="E878" i="48"/>
  <c r="E879" i="48"/>
  <c r="E880" i="48"/>
  <c r="E881" i="48"/>
  <c r="E882" i="48"/>
  <c r="E883" i="48"/>
  <c r="E884" i="48"/>
  <c r="E885" i="48"/>
  <c r="E886" i="48"/>
  <c r="E887" i="48"/>
  <c r="E888" i="48"/>
  <c r="E889" i="48"/>
  <c r="E890" i="48"/>
  <c r="E891" i="48"/>
  <c r="E892" i="48"/>
  <c r="E893" i="48"/>
  <c r="E894" i="48"/>
  <c r="E895" i="48"/>
  <c r="E896" i="48"/>
  <c r="E897" i="48"/>
  <c r="E898" i="48"/>
  <c r="E899" i="48"/>
  <c r="E900" i="48"/>
  <c r="E901" i="48"/>
  <c r="E902" i="48"/>
  <c r="E903" i="48"/>
  <c r="E541" i="48"/>
  <c r="H540" i="48"/>
  <c r="H539" i="48"/>
  <c r="H538" i="48"/>
  <c r="H537" i="48"/>
  <c r="H536" i="48"/>
  <c r="H535" i="48"/>
  <c r="H534" i="48"/>
  <c r="H533" i="48"/>
  <c r="H532" i="48"/>
  <c r="H531" i="48"/>
  <c r="H530" i="48"/>
  <c r="H529" i="48"/>
  <c r="H528" i="48"/>
  <c r="H527" i="48"/>
  <c r="H526" i="48"/>
  <c r="H525" i="48"/>
  <c r="H524" i="48"/>
  <c r="H523" i="48"/>
  <c r="H522" i="48"/>
  <c r="H521" i="48"/>
  <c r="H520" i="48"/>
  <c r="H519" i="48"/>
  <c r="H518" i="48"/>
  <c r="H517" i="48"/>
  <c r="H516" i="48"/>
  <c r="H515" i="48"/>
  <c r="H514" i="48"/>
  <c r="H513" i="48"/>
  <c r="H512" i="48"/>
  <c r="H511" i="48"/>
  <c r="H510" i="48"/>
  <c r="H509" i="48"/>
  <c r="H508" i="48"/>
  <c r="H507" i="48"/>
  <c r="H506" i="48"/>
  <c r="H505" i="48"/>
  <c r="H504" i="48"/>
  <c r="H503" i="48"/>
  <c r="H502" i="48"/>
  <c r="H501" i="48"/>
  <c r="H500" i="48"/>
  <c r="H499" i="48"/>
  <c r="H498" i="48"/>
  <c r="H497" i="48"/>
  <c r="H496" i="48"/>
  <c r="H495" i="48"/>
  <c r="H494" i="48"/>
  <c r="H493" i="48"/>
  <c r="H492" i="48"/>
  <c r="H491" i="48"/>
  <c r="H490" i="48"/>
  <c r="H489" i="48"/>
  <c r="H488" i="48"/>
  <c r="H487" i="48"/>
  <c r="H486" i="48"/>
  <c r="H485" i="48"/>
  <c r="H484" i="48"/>
  <c r="H483" i="48"/>
  <c r="H482" i="48"/>
  <c r="H481" i="48"/>
  <c r="H480" i="48"/>
  <c r="H479" i="48"/>
  <c r="H478" i="48"/>
  <c r="H477" i="48"/>
  <c r="H476" i="48"/>
  <c r="H475" i="48"/>
  <c r="H474" i="48"/>
  <c r="H473" i="48"/>
  <c r="H472" i="48"/>
  <c r="H471" i="48"/>
  <c r="H470" i="48"/>
  <c r="H469" i="48"/>
  <c r="H468" i="48"/>
  <c r="H467" i="48"/>
  <c r="H466" i="48"/>
  <c r="H465" i="48"/>
  <c r="H464" i="48"/>
  <c r="H463" i="48"/>
  <c r="H462" i="48"/>
  <c r="H461" i="48"/>
  <c r="H460" i="48"/>
  <c r="H459" i="48"/>
  <c r="H458" i="48"/>
  <c r="H457" i="48"/>
  <c r="H456" i="48"/>
  <c r="H455" i="48"/>
  <c r="H454" i="48"/>
  <c r="H453" i="48"/>
  <c r="H452" i="48"/>
  <c r="H451" i="48"/>
  <c r="H450" i="48"/>
  <c r="H449" i="48"/>
  <c r="H448" i="48"/>
  <c r="H447" i="48"/>
  <c r="H446" i="48"/>
  <c r="H445" i="48"/>
  <c r="H444" i="48"/>
  <c r="H443" i="48"/>
  <c r="H442" i="48"/>
  <c r="H441" i="48"/>
  <c r="H440" i="48"/>
  <c r="H439" i="48"/>
  <c r="H438" i="48"/>
  <c r="H437" i="48"/>
  <c r="H436" i="48"/>
  <c r="H435" i="48"/>
  <c r="H434" i="48"/>
  <c r="H433" i="48"/>
  <c r="H432" i="48"/>
  <c r="H431" i="48"/>
  <c r="H430" i="48"/>
  <c r="H429" i="48"/>
  <c r="H428" i="48"/>
  <c r="H427" i="48"/>
  <c r="H426" i="48"/>
  <c r="H425" i="48"/>
  <c r="H424" i="48"/>
  <c r="H423" i="48"/>
  <c r="H422" i="48"/>
  <c r="H421" i="48"/>
  <c r="H420" i="48"/>
  <c r="H419" i="48"/>
  <c r="H418" i="48"/>
  <c r="H417" i="48"/>
  <c r="H416" i="48"/>
  <c r="H415" i="48"/>
  <c r="H414" i="48"/>
  <c r="H413" i="48"/>
  <c r="H412" i="48"/>
  <c r="H411" i="48"/>
  <c r="H410" i="48"/>
  <c r="H409" i="48"/>
  <c r="H408" i="48"/>
  <c r="H407" i="48"/>
  <c r="H406" i="48"/>
  <c r="H405" i="48"/>
  <c r="H404" i="48"/>
  <c r="H403" i="48"/>
  <c r="H402" i="48"/>
  <c r="H401" i="48"/>
  <c r="H400" i="48"/>
  <c r="H399" i="48"/>
  <c r="H398" i="48"/>
  <c r="H397" i="48"/>
  <c r="H396" i="48"/>
  <c r="H395" i="48"/>
  <c r="H394" i="48"/>
  <c r="H393" i="48"/>
  <c r="H392" i="48"/>
  <c r="H391" i="48"/>
  <c r="H390" i="48"/>
  <c r="H389" i="48"/>
  <c r="H388" i="48"/>
  <c r="H387" i="48"/>
  <c r="H386" i="48"/>
  <c r="H385" i="48"/>
  <c r="H384" i="48"/>
  <c r="H383" i="48"/>
  <c r="H382" i="48"/>
  <c r="H381" i="48"/>
  <c r="H380" i="48"/>
  <c r="H379" i="48"/>
  <c r="H378" i="48"/>
  <c r="H377" i="48"/>
  <c r="H376" i="48"/>
  <c r="H375" i="48"/>
  <c r="H374" i="48"/>
  <c r="H373" i="48"/>
  <c r="H372" i="48"/>
  <c r="H371" i="48"/>
  <c r="H370" i="48"/>
  <c r="H369" i="48"/>
  <c r="H368" i="48"/>
  <c r="H367" i="48"/>
  <c r="H366" i="48"/>
  <c r="H365" i="48"/>
  <c r="H364" i="48"/>
  <c r="H363" i="48"/>
  <c r="H362" i="48"/>
  <c r="H361" i="48"/>
  <c r="H360" i="48"/>
  <c r="H359" i="48"/>
  <c r="H358" i="48"/>
  <c r="H357" i="48"/>
  <c r="H356" i="48"/>
  <c r="H355" i="48"/>
  <c r="H354" i="48"/>
  <c r="H353" i="48"/>
  <c r="H352" i="48"/>
  <c r="H351" i="48"/>
  <c r="H350" i="48"/>
  <c r="H349" i="48"/>
  <c r="H348" i="48"/>
  <c r="H347" i="48"/>
  <c r="H346" i="48"/>
  <c r="H345" i="48"/>
  <c r="H344" i="48"/>
  <c r="H343" i="48"/>
  <c r="H342" i="48"/>
  <c r="H341" i="48"/>
  <c r="H340" i="48"/>
  <c r="H339" i="48"/>
  <c r="H338" i="48"/>
  <c r="H337" i="48"/>
  <c r="H336" i="48"/>
  <c r="H335" i="48"/>
  <c r="H334" i="48"/>
  <c r="H333" i="48"/>
  <c r="H332" i="48"/>
  <c r="H331" i="48"/>
  <c r="H330" i="48"/>
  <c r="H329" i="48"/>
  <c r="H328" i="48"/>
  <c r="H327" i="48"/>
  <c r="H326" i="48"/>
  <c r="H325" i="48"/>
  <c r="H324" i="48"/>
  <c r="H323" i="48"/>
  <c r="H322" i="48"/>
  <c r="H321" i="48"/>
  <c r="H320" i="48"/>
  <c r="H319" i="48"/>
  <c r="H318" i="48"/>
  <c r="H317" i="48"/>
  <c r="H316" i="48"/>
  <c r="H315" i="48"/>
  <c r="H314" i="48"/>
  <c r="H313" i="48"/>
  <c r="H312" i="48"/>
  <c r="H311" i="48"/>
  <c r="H310" i="48"/>
  <c r="H309" i="48"/>
  <c r="H308" i="48"/>
  <c r="H307" i="48"/>
  <c r="H306" i="48"/>
  <c r="H305" i="48"/>
  <c r="H304" i="48"/>
  <c r="H303" i="48"/>
  <c r="H302" i="48"/>
  <c r="H301" i="48"/>
  <c r="H300" i="48"/>
  <c r="H299" i="48"/>
  <c r="H298" i="48"/>
  <c r="H297" i="48"/>
  <c r="H296" i="48"/>
  <c r="H295" i="48"/>
  <c r="H294" i="48"/>
  <c r="H293" i="48"/>
  <c r="H292" i="48"/>
  <c r="H291" i="48"/>
  <c r="H290" i="48"/>
  <c r="H289" i="48"/>
  <c r="H288" i="48"/>
  <c r="H287" i="48"/>
  <c r="H286" i="48"/>
  <c r="H285" i="48"/>
  <c r="H284" i="48"/>
  <c r="H283" i="48"/>
  <c r="H282" i="48"/>
  <c r="H281" i="48"/>
  <c r="H280" i="48"/>
  <c r="H279" i="48"/>
  <c r="H278" i="48"/>
  <c r="H277" i="48"/>
  <c r="H276" i="48"/>
  <c r="H275" i="48"/>
  <c r="H274" i="48"/>
  <c r="H273" i="48"/>
  <c r="H272" i="48"/>
  <c r="H271" i="48"/>
  <c r="H270" i="48"/>
  <c r="H269" i="48"/>
  <c r="H268" i="48"/>
  <c r="H267" i="48"/>
  <c r="H266" i="48"/>
  <c r="H265" i="48"/>
  <c r="H264" i="48"/>
  <c r="H263" i="48"/>
  <c r="H262" i="48"/>
  <c r="H261" i="48"/>
  <c r="H260" i="48"/>
  <c r="H259" i="48"/>
  <c r="H258" i="48"/>
  <c r="H257" i="48"/>
  <c r="H256" i="48"/>
  <c r="H255" i="48"/>
  <c r="H254" i="48"/>
  <c r="H253" i="48"/>
  <c r="H252" i="48"/>
  <c r="H251" i="48"/>
  <c r="H250" i="48"/>
  <c r="H249" i="48"/>
  <c r="H248" i="48"/>
  <c r="H247" i="48"/>
  <c r="H246" i="48"/>
  <c r="H245" i="48"/>
  <c r="H244" i="48"/>
  <c r="H243" i="48"/>
  <c r="H242" i="48"/>
  <c r="H241" i="48"/>
  <c r="H240" i="48"/>
  <c r="H239" i="48"/>
  <c r="H238" i="48"/>
  <c r="H237" i="48"/>
  <c r="H236" i="48"/>
  <c r="H235" i="48"/>
  <c r="H234" i="48"/>
  <c r="H233" i="48"/>
  <c r="H232" i="48"/>
  <c r="H231" i="48"/>
  <c r="H230" i="48"/>
  <c r="H229" i="48"/>
  <c r="H228" i="48"/>
  <c r="H227" i="48"/>
  <c r="H226" i="48"/>
  <c r="H225" i="48"/>
  <c r="H224" i="48"/>
  <c r="H223" i="48"/>
  <c r="H222" i="48"/>
  <c r="H221" i="48"/>
  <c r="H220" i="48"/>
  <c r="H219" i="48"/>
  <c r="H218" i="48"/>
  <c r="H217" i="48"/>
  <c r="H216" i="48"/>
  <c r="H215" i="48"/>
  <c r="H214" i="48"/>
  <c r="H213" i="48"/>
  <c r="H212" i="48"/>
  <c r="H211" i="48"/>
  <c r="H210" i="48"/>
  <c r="H209" i="48"/>
  <c r="H208" i="48"/>
  <c r="H207" i="48"/>
  <c r="H206" i="48"/>
  <c r="H205" i="48"/>
  <c r="H204" i="48"/>
  <c r="H203" i="48"/>
  <c r="H202" i="48"/>
  <c r="H201" i="48"/>
  <c r="H200" i="48"/>
  <c r="H199" i="48"/>
  <c r="H198" i="48"/>
  <c r="H197" i="48"/>
  <c r="H196" i="48"/>
  <c r="H195" i="48"/>
  <c r="H194" i="48"/>
  <c r="H193" i="48"/>
  <c r="H192" i="48"/>
  <c r="H191" i="48"/>
  <c r="H190" i="48"/>
  <c r="H189" i="48"/>
  <c r="H188" i="48"/>
  <c r="H187" i="48"/>
  <c r="H186" i="48"/>
  <c r="H185" i="48"/>
  <c r="H184" i="48"/>
  <c r="H183" i="48"/>
  <c r="H182" i="48"/>
  <c r="H181" i="48"/>
  <c r="H180" i="48"/>
  <c r="H179" i="48"/>
  <c r="H178" i="48"/>
  <c r="H177" i="48"/>
  <c r="H176" i="48"/>
  <c r="H175" i="48"/>
  <c r="H174" i="48"/>
  <c r="H173" i="48"/>
  <c r="H172" i="48"/>
  <c r="H171" i="48"/>
  <c r="H170" i="48"/>
  <c r="H169" i="48"/>
  <c r="H168" i="48"/>
  <c r="H167" i="48"/>
  <c r="H166" i="48"/>
  <c r="H165" i="48"/>
  <c r="H164" i="48"/>
  <c r="H163" i="48"/>
  <c r="H162" i="48"/>
  <c r="H161" i="48"/>
  <c r="H160" i="48"/>
  <c r="H159" i="48"/>
  <c r="H158" i="48"/>
  <c r="H157" i="48"/>
  <c r="H156" i="48"/>
  <c r="H155" i="48"/>
  <c r="H154" i="48"/>
  <c r="H153" i="48"/>
  <c r="H152" i="48"/>
  <c r="H151" i="48"/>
  <c r="H150" i="48"/>
  <c r="H149" i="48"/>
  <c r="H148" i="48"/>
  <c r="H147" i="48"/>
  <c r="H146" i="48"/>
  <c r="H145" i="48"/>
  <c r="H144" i="48"/>
  <c r="H143" i="48"/>
  <c r="H142" i="48"/>
  <c r="H141" i="48"/>
  <c r="H140" i="48"/>
  <c r="H139" i="48"/>
  <c r="H138" i="48"/>
  <c r="H137" i="48"/>
  <c r="H136" i="48"/>
  <c r="H135" i="48"/>
  <c r="H134" i="48"/>
  <c r="H133" i="48"/>
  <c r="H132" i="48"/>
  <c r="H131" i="48"/>
  <c r="H130" i="48"/>
  <c r="H129" i="48"/>
  <c r="H128" i="48"/>
  <c r="H127" i="48"/>
  <c r="H126" i="48"/>
  <c r="H125" i="48"/>
  <c r="H124" i="48"/>
  <c r="H123" i="48"/>
  <c r="H122" i="48"/>
  <c r="H121" i="48"/>
  <c r="H120" i="48"/>
  <c r="H119" i="48"/>
  <c r="H118" i="48"/>
  <c r="H117" i="48"/>
  <c r="H116" i="48"/>
  <c r="H115" i="48"/>
  <c r="H114" i="48"/>
  <c r="H113" i="48"/>
  <c r="H112" i="48"/>
  <c r="H111" i="48"/>
  <c r="H110" i="48"/>
  <c r="H109" i="48"/>
  <c r="H108" i="48"/>
  <c r="H107" i="48"/>
  <c r="H106" i="48"/>
  <c r="H105" i="48"/>
  <c r="H104" i="48"/>
  <c r="H103" i="48"/>
  <c r="H102" i="48"/>
  <c r="H101" i="48"/>
  <c r="H100" i="48"/>
  <c r="H99" i="48"/>
  <c r="H98" i="48"/>
  <c r="H97" i="48"/>
  <c r="H96" i="48"/>
  <c r="H95" i="48"/>
  <c r="H94" i="48"/>
  <c r="H93" i="48"/>
  <c r="H92" i="48"/>
  <c r="H91" i="48"/>
  <c r="H90" i="48"/>
  <c r="H89" i="48"/>
  <c r="H88" i="48"/>
  <c r="H87" i="48"/>
  <c r="H86" i="48"/>
  <c r="H85" i="48"/>
  <c r="H84" i="48"/>
  <c r="H83" i="48"/>
  <c r="H82" i="48"/>
  <c r="H81" i="48"/>
  <c r="H80" i="48"/>
  <c r="H79" i="48"/>
  <c r="H78" i="48"/>
  <c r="H77" i="48"/>
  <c r="H76" i="48"/>
  <c r="H75" i="48"/>
  <c r="H74" i="48"/>
  <c r="H73" i="48"/>
  <c r="H72" i="48"/>
  <c r="H71" i="48"/>
  <c r="H70" i="48"/>
  <c r="H69" i="48"/>
  <c r="H68" i="48"/>
  <c r="H67" i="48"/>
  <c r="H66" i="48"/>
  <c r="H65" i="48"/>
  <c r="H64" i="48"/>
  <c r="H63" i="48"/>
  <c r="H62" i="48"/>
  <c r="H61" i="48"/>
  <c r="H60" i="48"/>
  <c r="H59" i="48"/>
  <c r="H58" i="48"/>
  <c r="H57" i="48"/>
  <c r="H56" i="48"/>
  <c r="H55" i="48"/>
  <c r="H54" i="48"/>
  <c r="H53" i="48"/>
  <c r="H52" i="48"/>
  <c r="H51" i="48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H8" i="48"/>
  <c r="H7" i="48"/>
  <c r="H6" i="48"/>
  <c r="H5" i="48"/>
  <c r="H4" i="48"/>
  <c r="H3" i="48"/>
  <c r="H2" i="48"/>
  <c r="C5" i="2"/>
  <c r="B5" i="2"/>
  <c r="E540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1" i="48"/>
  <c r="E460" i="48"/>
  <c r="E459" i="48"/>
  <c r="E458" i="48"/>
  <c r="E457" i="48"/>
  <c r="E456" i="48"/>
  <c r="E455" i="48"/>
  <c r="E454" i="48"/>
  <c r="E453" i="48"/>
  <c r="E452" i="48"/>
  <c r="E451" i="48"/>
  <c r="E450" i="48"/>
  <c r="E449" i="48"/>
  <c r="E448" i="48"/>
  <c r="E447" i="48"/>
  <c r="E446" i="48"/>
  <c r="E445" i="48"/>
  <c r="E444" i="48"/>
  <c r="E443" i="48"/>
  <c r="E442" i="48"/>
  <c r="E441" i="48"/>
  <c r="E440" i="48"/>
  <c r="E439" i="48"/>
  <c r="E438" i="48"/>
  <c r="E437" i="48"/>
  <c r="E436" i="48"/>
  <c r="E435" i="48"/>
  <c r="E434" i="48"/>
  <c r="E433" i="48"/>
  <c r="E432" i="48"/>
  <c r="E431" i="48"/>
  <c r="E430" i="48"/>
  <c r="E429" i="48"/>
  <c r="E428" i="48"/>
  <c r="E427" i="48"/>
  <c r="E426" i="48"/>
  <c r="E425" i="48"/>
  <c r="E424" i="48"/>
  <c r="E423" i="48"/>
  <c r="E422" i="48"/>
  <c r="E421" i="48"/>
  <c r="E420" i="48"/>
  <c r="E419" i="48"/>
  <c r="E418" i="48"/>
  <c r="E417" i="48"/>
  <c r="E416" i="48"/>
  <c r="E415" i="48"/>
  <c r="E414" i="48"/>
  <c r="E413" i="48"/>
  <c r="E412" i="48"/>
  <c r="E411" i="48"/>
  <c r="E410" i="48"/>
  <c r="E409" i="48"/>
  <c r="E408" i="48"/>
  <c r="E407" i="48"/>
  <c r="E406" i="48"/>
  <c r="E405" i="48"/>
  <c r="E404" i="48"/>
  <c r="E403" i="48"/>
  <c r="E402" i="48"/>
  <c r="E401" i="48"/>
  <c r="E400" i="48"/>
  <c r="E399" i="48"/>
  <c r="E398" i="48"/>
  <c r="E397" i="48"/>
  <c r="E396" i="48"/>
  <c r="E395" i="48"/>
  <c r="E394" i="48"/>
  <c r="E393" i="48"/>
  <c r="E392" i="48"/>
  <c r="E391" i="48"/>
  <c r="E390" i="48"/>
  <c r="E389" i="48"/>
  <c r="E388" i="48"/>
  <c r="E387" i="48"/>
  <c r="E386" i="48"/>
  <c r="E385" i="48"/>
  <c r="E384" i="48"/>
  <c r="E383" i="48"/>
  <c r="E382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8" i="48"/>
  <c r="E237" i="48"/>
  <c r="E236" i="48"/>
  <c r="E235" i="48"/>
  <c r="E234" i="48"/>
  <c r="E233" i="48"/>
  <c r="E232" i="48"/>
  <c r="E231" i="48"/>
  <c r="E230" i="48"/>
  <c r="E229" i="48"/>
  <c r="E228" i="48"/>
  <c r="E227" i="48"/>
  <c r="E226" i="48"/>
  <c r="E225" i="48"/>
  <c r="E224" i="48"/>
  <c r="E223" i="48"/>
  <c r="E222" i="48"/>
  <c r="E221" i="48"/>
  <c r="E220" i="48"/>
  <c r="E219" i="48"/>
  <c r="E218" i="48"/>
  <c r="E217" i="48"/>
  <c r="E216" i="48"/>
  <c r="E215" i="48"/>
  <c r="E214" i="48"/>
  <c r="E213" i="48"/>
  <c r="E212" i="48"/>
  <c r="E211" i="48"/>
  <c r="E210" i="48"/>
  <c r="E209" i="48"/>
  <c r="E208" i="48"/>
  <c r="E207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3" i="48"/>
  <c r="E192" i="48"/>
  <c r="E191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8" i="48"/>
  <c r="E177" i="48"/>
  <c r="E176" i="48"/>
  <c r="E175" i="48"/>
  <c r="E174" i="48"/>
  <c r="E173" i="48"/>
  <c r="E172" i="48"/>
  <c r="E171" i="48"/>
  <c r="E170" i="48"/>
  <c r="E169" i="48"/>
  <c r="E168" i="48"/>
  <c r="E167" i="48"/>
  <c r="E166" i="48"/>
  <c r="E165" i="48"/>
  <c r="E164" i="48"/>
  <c r="E163" i="48"/>
  <c r="E162" i="48"/>
  <c r="E161" i="48"/>
  <c r="E160" i="48"/>
  <c r="E159" i="48"/>
  <c r="E158" i="48"/>
  <c r="E157" i="48"/>
  <c r="E156" i="48"/>
  <c r="E155" i="48"/>
  <c r="E154" i="48"/>
  <c r="E153" i="48"/>
  <c r="E152" i="48"/>
  <c r="E151" i="48"/>
  <c r="E150" i="48"/>
  <c r="E149" i="48"/>
  <c r="E148" i="48"/>
  <c r="E147" i="48"/>
  <c r="E146" i="48"/>
  <c r="E145" i="48"/>
  <c r="E144" i="48"/>
  <c r="E143" i="48"/>
  <c r="E142" i="48"/>
  <c r="E141" i="48"/>
  <c r="E140" i="48"/>
  <c r="E139" i="48"/>
  <c r="E138" i="48"/>
  <c r="E137" i="48"/>
  <c r="E136" i="48"/>
  <c r="E135" i="48"/>
  <c r="E134" i="48"/>
  <c r="E133" i="48"/>
  <c r="E132" i="48"/>
  <c r="E131" i="48"/>
  <c r="E130" i="48"/>
  <c r="E129" i="48"/>
  <c r="E128" i="48"/>
  <c r="E127" i="48"/>
  <c r="E126" i="48"/>
  <c r="E125" i="48"/>
  <c r="E124" i="48"/>
  <c r="E123" i="48"/>
  <c r="E122" i="48"/>
  <c r="E121" i="48"/>
  <c r="E120" i="48"/>
  <c r="E119" i="48"/>
  <c r="E118" i="48"/>
  <c r="E117" i="48"/>
  <c r="E116" i="48"/>
  <c r="E115" i="48"/>
  <c r="E114" i="48"/>
  <c r="E113" i="48"/>
  <c r="E112" i="48"/>
  <c r="E111" i="48"/>
  <c r="E110" i="48"/>
  <c r="E109" i="48"/>
  <c r="E108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4" i="48"/>
  <c r="E43" i="48"/>
  <c r="E42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E9" i="48"/>
  <c r="E8" i="48"/>
  <c r="E7" i="48"/>
  <c r="E6" i="48"/>
  <c r="E5" i="48"/>
  <c r="E4" i="48"/>
  <c r="E3" i="48"/>
  <c r="E2" i="48"/>
  <c r="C4" i="2"/>
  <c r="B4" i="2"/>
  <c r="AB23" i="28" l="1"/>
  <c r="AB21" i="28"/>
  <c r="AB10" i="28"/>
  <c r="AB22" i="28"/>
  <c r="AB60" i="28"/>
  <c r="AB5" i="28"/>
  <c r="AB101" i="28"/>
  <c r="AB94" i="28"/>
  <c r="AB206" i="28"/>
  <c r="AB71" i="28"/>
  <c r="AB80" i="28"/>
  <c r="AB45" i="28"/>
  <c r="AB83" i="28"/>
  <c r="AB75" i="28"/>
  <c r="AB37" i="28"/>
  <c r="AB89" i="28"/>
  <c r="AB16" i="28"/>
  <c r="AB84" i="28"/>
  <c r="AB64" i="28"/>
  <c r="AB99" i="28"/>
  <c r="AB86" i="28"/>
  <c r="AB29" i="28"/>
  <c r="AB47" i="28"/>
  <c r="AB54" i="28"/>
  <c r="AB27" i="28"/>
  <c r="AB102" i="28"/>
  <c r="AB98" i="28"/>
  <c r="AB26" i="28"/>
  <c r="AB4" i="28"/>
  <c r="AB57" i="28"/>
  <c r="AB35" i="28"/>
  <c r="AB66" i="28"/>
  <c r="AB17" i="28"/>
  <c r="AB46" i="28"/>
  <c r="AB24" i="28"/>
  <c r="AB30" i="28"/>
  <c r="AB42" i="28"/>
  <c r="AB14" i="28"/>
  <c r="AB12" i="28"/>
  <c r="AB72" i="28"/>
  <c r="AB7" i="28"/>
  <c r="AB36" i="28"/>
  <c r="AB85" i="28"/>
  <c r="AB82" i="28"/>
  <c r="AB81" i="28"/>
  <c r="AB3" i="28"/>
  <c r="AB43" i="28"/>
  <c r="AB74" i="28"/>
  <c r="AB39" i="28"/>
  <c r="AB33" i="28"/>
  <c r="AB70" i="28"/>
  <c r="AB69" i="28"/>
  <c r="AB68" i="28"/>
  <c r="AB9" i="28"/>
  <c r="AB58" i="28"/>
  <c r="AB28" i="28"/>
  <c r="AB88" i="28"/>
  <c r="AB90" i="28"/>
  <c r="AB97" i="28"/>
  <c r="AB52" i="28"/>
  <c r="AB40" i="28"/>
  <c r="AB48" i="28"/>
  <c r="AB93" i="28"/>
  <c r="AB15" i="28"/>
  <c r="AB91" i="28"/>
  <c r="AB103" i="28"/>
  <c r="AB61" i="28"/>
  <c r="AB51" i="28"/>
  <c r="AB11" i="28"/>
  <c r="AB13" i="28"/>
  <c r="AB53" i="28"/>
  <c r="AB32" i="28"/>
  <c r="AB63" i="28"/>
  <c r="AB76" i="28"/>
  <c r="AB56" i="28"/>
  <c r="AB31" i="28"/>
  <c r="AB34" i="28"/>
  <c r="AB25" i="28"/>
  <c r="AB50" i="28"/>
  <c r="AB19" i="28"/>
  <c r="AB38" i="28"/>
  <c r="AB78" i="28"/>
  <c r="AB55" i="28"/>
  <c r="AB205" i="28"/>
  <c r="AB207" i="28"/>
  <c r="AB77" i="28"/>
  <c r="AB6" i="28"/>
  <c r="AB62" i="28"/>
  <c r="AB208" i="28"/>
  <c r="AB96" i="28"/>
  <c r="AB65" i="28"/>
  <c r="AB95" i="28"/>
  <c r="AB79" i="28"/>
  <c r="AB87" i="28"/>
  <c r="AB49" i="28"/>
  <c r="AB92" i="28"/>
  <c r="AB8" i="28"/>
  <c r="AB41" i="28"/>
  <c r="AB20" i="28"/>
  <c r="AB67" i="28"/>
  <c r="AB18" i="28"/>
  <c r="AB147" i="29"/>
  <c r="AB9" i="29"/>
  <c r="AB61" i="29"/>
  <c r="AB168" i="29"/>
  <c r="AB65" i="29"/>
  <c r="AB169" i="29"/>
  <c r="AB53" i="29"/>
  <c r="AB66" i="29"/>
  <c r="AB67" i="29"/>
  <c r="AB5" i="29"/>
  <c r="AB4" i="29"/>
  <c r="AB55" i="29"/>
  <c r="AB68" i="29"/>
  <c r="AB171" i="29"/>
  <c r="AB69" i="29"/>
  <c r="AB158" i="29"/>
  <c r="AB144" i="29"/>
  <c r="AB151" i="29"/>
  <c r="AB153" i="29"/>
  <c r="AB23" i="29"/>
  <c r="AB162" i="29"/>
  <c r="AB38" i="29"/>
  <c r="AB70" i="29"/>
  <c r="AB172" i="29"/>
  <c r="AB154" i="29"/>
  <c r="AB166" i="29"/>
  <c r="AB138" i="29"/>
  <c r="AB15" i="29"/>
  <c r="AB173" i="29"/>
  <c r="AB71" i="29"/>
  <c r="AB3" i="29"/>
  <c r="AB73" i="29"/>
  <c r="AB31" i="29"/>
  <c r="AB74" i="29"/>
  <c r="AB75" i="29"/>
  <c r="AB60" i="29"/>
  <c r="AB76" i="29"/>
  <c r="AB77" i="29"/>
  <c r="AB63" i="29"/>
  <c r="AB78" i="29"/>
  <c r="AB21" i="29"/>
  <c r="AB30" i="29"/>
  <c r="AB40" i="29"/>
  <c r="AB79" i="29"/>
  <c r="AB174" i="29"/>
  <c r="AB36" i="29"/>
  <c r="AB175" i="29"/>
  <c r="AB28" i="29"/>
  <c r="AB152" i="29"/>
  <c r="AB80" i="29"/>
  <c r="AB57" i="29"/>
  <c r="AB44" i="29"/>
  <c r="AB165" i="29"/>
  <c r="AB64" i="29"/>
  <c r="AB167" i="29"/>
  <c r="AB81" i="29"/>
  <c r="AB11" i="29"/>
  <c r="AB54" i="29"/>
  <c r="AB139" i="29"/>
  <c r="AB141" i="29"/>
  <c r="AB82" i="29"/>
  <c r="AB34" i="29"/>
  <c r="AB83" i="29"/>
  <c r="AB84" i="29"/>
  <c r="AB25" i="29"/>
  <c r="AB85" i="29"/>
  <c r="AB41" i="29"/>
  <c r="AB176" i="29"/>
  <c r="AB86" i="29"/>
  <c r="AB177" i="29"/>
  <c r="AB14" i="29"/>
  <c r="AB178" i="29"/>
  <c r="AB37" i="29"/>
  <c r="AB47" i="29"/>
  <c r="AB87" i="29"/>
  <c r="AB163" i="29"/>
  <c r="AB88" i="29"/>
  <c r="AB42" i="29"/>
  <c r="AB89" i="29"/>
  <c r="AB179" i="29"/>
  <c r="AB180" i="29"/>
  <c r="AB92" i="29"/>
  <c r="AB24" i="29"/>
  <c r="AB8" i="29"/>
  <c r="AB93" i="29"/>
  <c r="AB94" i="29"/>
  <c r="AB181" i="29"/>
  <c r="AB95" i="29"/>
  <c r="AB48" i="29"/>
  <c r="AB16" i="29"/>
  <c r="AB52" i="29"/>
  <c r="AB96" i="29"/>
  <c r="AB97" i="29"/>
  <c r="AB182" i="29"/>
  <c r="AB33" i="29"/>
  <c r="AB183" i="29"/>
  <c r="AB98" i="29"/>
  <c r="AB99" i="29"/>
  <c r="AB100" i="29"/>
  <c r="AB161" i="29"/>
  <c r="AB184" i="29"/>
  <c r="AB22" i="29"/>
  <c r="AB101" i="29"/>
  <c r="AB185" i="29"/>
  <c r="AB6" i="29"/>
  <c r="AB148" i="29"/>
  <c r="AB103" i="29"/>
  <c r="AB104" i="29"/>
  <c r="AB50" i="29"/>
  <c r="AB186" i="29"/>
  <c r="AB105" i="29"/>
  <c r="AB187" i="29"/>
  <c r="AB188" i="29"/>
  <c r="AB189" i="29"/>
  <c r="AB17" i="29"/>
  <c r="AB106" i="29"/>
  <c r="AB51" i="29"/>
  <c r="AB107" i="29"/>
  <c r="AB191" i="29"/>
  <c r="AB157" i="29"/>
  <c r="AB108" i="29"/>
  <c r="AB109" i="29"/>
  <c r="AB110" i="29"/>
  <c r="AB111" i="29"/>
  <c r="AB112" i="29"/>
  <c r="AB113" i="29"/>
  <c r="AB192" i="29"/>
  <c r="AB193" i="29"/>
  <c r="AB155" i="29"/>
  <c r="AB194" i="29"/>
  <c r="AB116" i="29"/>
  <c r="AB195" i="29"/>
  <c r="AB145" i="29"/>
  <c r="AB156" i="29"/>
  <c r="AB43" i="29"/>
  <c r="AB117" i="29"/>
  <c r="AB118" i="29"/>
  <c r="AB119" i="29"/>
  <c r="AB13" i="29"/>
  <c r="AB120" i="29"/>
  <c r="AB12" i="29"/>
  <c r="AB39" i="29"/>
  <c r="AB59" i="29"/>
  <c r="AB142" i="29"/>
  <c r="AB27" i="29"/>
  <c r="AB46" i="29"/>
  <c r="AB26" i="29"/>
  <c r="AB19" i="29"/>
  <c r="AB121" i="29"/>
  <c r="AB123" i="29"/>
  <c r="AB124" i="29"/>
  <c r="AB125" i="29"/>
  <c r="AB197" i="29"/>
  <c r="AB150" i="29"/>
  <c r="AB198" i="29"/>
  <c r="AB143" i="29"/>
  <c r="AB199" i="29"/>
  <c r="AB140" i="29"/>
  <c r="AB62" i="29"/>
  <c r="AB35" i="29"/>
  <c r="AB126" i="29"/>
  <c r="AB127" i="29"/>
  <c r="AB128" i="29"/>
  <c r="AB7" i="29"/>
  <c r="AB32" i="29"/>
  <c r="AB164" i="29"/>
  <c r="AB56" i="29"/>
  <c r="AB29" i="29"/>
  <c r="AB129" i="29"/>
  <c r="AB130" i="29"/>
  <c r="AB45" i="29"/>
  <c r="AB200" i="29"/>
  <c r="AB201" i="29"/>
  <c r="AB202" i="29"/>
  <c r="AB203" i="29"/>
  <c r="AB204" i="29"/>
  <c r="AB131" i="29"/>
  <c r="AB132" i="29"/>
  <c r="AB133" i="29"/>
  <c r="AB205" i="29"/>
  <c r="AB149" i="29"/>
  <c r="AB18" i="29"/>
  <c r="AB134" i="29"/>
  <c r="AB206" i="29"/>
  <c r="AB160" i="29"/>
  <c r="AB49" i="29"/>
  <c r="AB10" i="29"/>
  <c r="AB135" i="29"/>
  <c r="AB146" i="29"/>
  <c r="AB136" i="29"/>
  <c r="AB159" i="29"/>
  <c r="AB207" i="29"/>
  <c r="AB137" i="29"/>
  <c r="AB20" i="29"/>
  <c r="AB190" i="29"/>
  <c r="C6" i="2" l="1"/>
  <c r="B6" i="2"/>
  <c r="AB91" i="29"/>
  <c r="AB115" i="29"/>
  <c r="AB196" i="29"/>
  <c r="AB58" i="29"/>
  <c r="AB102" i="29"/>
  <c r="AB114" i="29"/>
  <c r="AB122" i="29"/>
  <c r="AB90" i="29"/>
  <c r="AB170" i="29"/>
  <c r="AB72" i="29"/>
  <c r="AB100" i="28" l="1"/>
  <c r="AB201" i="28"/>
  <c r="AB203" i="28"/>
  <c r="AB44" i="28"/>
  <c r="AB59" i="28"/>
  <c r="AB73" i="28"/>
  <c r="AB202" i="28"/>
  <c r="AB204" i="28"/>
  <c r="AB200" i="28"/>
  <c r="B4" i="52" l="1"/>
  <c r="K15" i="28"/>
  <c r="K25" i="28"/>
  <c r="K205" i="28"/>
  <c r="K207" i="28"/>
  <c r="K62" i="28"/>
  <c r="K208" i="28"/>
  <c r="K44" i="28"/>
  <c r="K23" i="28"/>
  <c r="K21" i="28"/>
  <c r="K73" i="28"/>
  <c r="K10" i="28"/>
  <c r="K22" i="28"/>
  <c r="K60" i="28"/>
  <c r="K5" i="28"/>
  <c r="K101" i="28"/>
  <c r="K94" i="28"/>
  <c r="K71" i="28"/>
  <c r="K80" i="28"/>
  <c r="K45" i="28"/>
  <c r="K83" i="28"/>
  <c r="K75" i="28"/>
  <c r="K37" i="28"/>
  <c r="K89" i="28"/>
  <c r="K16" i="28"/>
  <c r="K84" i="28"/>
  <c r="K64" i="28"/>
  <c r="K99" i="28"/>
  <c r="K86" i="28"/>
  <c r="K29" i="28"/>
  <c r="K47" i="28"/>
  <c r="K54" i="28"/>
  <c r="K27" i="28"/>
  <c r="K102" i="28"/>
  <c r="K98" i="28"/>
  <c r="K26" i="28"/>
  <c r="K4" i="28"/>
  <c r="K57" i="28"/>
  <c r="K35" i="28"/>
  <c r="K66" i="28"/>
  <c r="K17" i="28"/>
  <c r="K46" i="28"/>
  <c r="K24" i="28"/>
  <c r="K30" i="28"/>
  <c r="K42" i="28"/>
  <c r="K14" i="28"/>
  <c r="K12" i="28"/>
  <c r="K72" i="28"/>
  <c r="K7" i="28"/>
  <c r="K36" i="28"/>
  <c r="K85" i="28"/>
  <c r="K100" i="28"/>
  <c r="K59" i="28"/>
  <c r="K82" i="28"/>
  <c r="K81" i="28"/>
  <c r="K3" i="28"/>
  <c r="K43" i="28"/>
  <c r="K74" i="28"/>
  <c r="K39" i="28"/>
  <c r="K33" i="28"/>
  <c r="K70" i="28"/>
  <c r="K69" i="28"/>
  <c r="K68" i="28"/>
  <c r="K9" i="28"/>
  <c r="K58" i="28"/>
  <c r="K28" i="28"/>
  <c r="K88" i="28"/>
  <c r="K90" i="28"/>
  <c r="K97" i="28"/>
  <c r="K52" i="28"/>
  <c r="K40" i="28"/>
  <c r="K48" i="28"/>
  <c r="K93" i="28"/>
  <c r="K91" i="28"/>
  <c r="K103" i="28"/>
  <c r="K61" i="28"/>
  <c r="K51" i="28"/>
  <c r="K11" i="28"/>
  <c r="K13" i="28"/>
  <c r="K53" i="28"/>
  <c r="K32" i="28"/>
  <c r="K63" i="28"/>
  <c r="K76" i="28"/>
  <c r="K56" i="28"/>
  <c r="K31" i="28"/>
  <c r="K34" i="28"/>
  <c r="K50" i="28"/>
  <c r="K19" i="28"/>
  <c r="K38" i="28"/>
  <c r="K78" i="28"/>
  <c r="K55" i="28"/>
  <c r="K77" i="28"/>
  <c r="K6" i="28"/>
  <c r="K96" i="28"/>
  <c r="K65" i="28"/>
  <c r="K95" i="28"/>
  <c r="K79" i="28"/>
  <c r="K87" i="28"/>
  <c r="K49" i="28"/>
  <c r="K92" i="28"/>
  <c r="K8" i="28"/>
  <c r="K41" i="28"/>
  <c r="K20" i="28"/>
  <c r="K67" i="28"/>
  <c r="K18" i="28"/>
  <c r="K200" i="28"/>
  <c r="K201" i="28"/>
  <c r="K203" i="28"/>
  <c r="K202" i="28"/>
  <c r="K204" i="28"/>
  <c r="K111" i="28"/>
  <c r="K132" i="28"/>
  <c r="K124" i="28"/>
  <c r="K114" i="28"/>
  <c r="K106" i="28"/>
  <c r="K159" i="28"/>
  <c r="K115" i="28"/>
  <c r="K156" i="28"/>
  <c r="K190" i="28"/>
  <c r="K118" i="28"/>
  <c r="K117" i="28"/>
  <c r="K148" i="28"/>
  <c r="K138" i="28"/>
  <c r="K121" i="28"/>
  <c r="K167" i="28"/>
  <c r="K109" i="28"/>
  <c r="K195" i="28"/>
  <c r="K136" i="28"/>
  <c r="K192" i="28"/>
  <c r="K125" i="28"/>
  <c r="K123" i="28"/>
  <c r="K179" i="28"/>
  <c r="K147" i="28"/>
  <c r="K152" i="28"/>
  <c r="K131" i="28"/>
  <c r="K110" i="28"/>
  <c r="K175" i="28"/>
  <c r="K168" i="28"/>
  <c r="K171" i="28"/>
  <c r="K165" i="28"/>
  <c r="K176" i="28"/>
  <c r="K183" i="28"/>
  <c r="K107" i="28"/>
  <c r="K149" i="28"/>
  <c r="K177" i="28"/>
  <c r="K194" i="28"/>
  <c r="K108" i="28"/>
  <c r="K146" i="28"/>
  <c r="K139" i="28"/>
  <c r="K189" i="28"/>
  <c r="K163" i="28"/>
  <c r="K158" i="28"/>
  <c r="K182" i="28"/>
  <c r="K196" i="28"/>
  <c r="K151" i="28"/>
  <c r="K166" i="28"/>
  <c r="K126" i="28"/>
  <c r="K144" i="28"/>
  <c r="K143" i="28"/>
  <c r="K154" i="28"/>
  <c r="K120" i="28"/>
  <c r="K191" i="28"/>
  <c r="K135" i="28"/>
  <c r="K127" i="28"/>
  <c r="K153" i="28"/>
  <c r="K145" i="28"/>
  <c r="K104" i="28"/>
  <c r="K113" i="28"/>
  <c r="K199" i="28"/>
  <c r="K128" i="28"/>
  <c r="K130" i="28"/>
  <c r="K178" i="28"/>
  <c r="K174" i="28"/>
  <c r="K197" i="28"/>
  <c r="K181" i="28"/>
  <c r="K150" i="28"/>
  <c r="K141" i="28"/>
  <c r="K198" i="28"/>
  <c r="K172" i="28"/>
  <c r="K180" i="28"/>
  <c r="K169" i="28"/>
  <c r="K184" i="28"/>
  <c r="K186" i="28"/>
  <c r="K119" i="28"/>
  <c r="K193" i="28"/>
  <c r="K129" i="28"/>
  <c r="K188" i="28"/>
  <c r="K160" i="28"/>
  <c r="K122" i="28"/>
  <c r="K157" i="28"/>
  <c r="K185" i="28"/>
  <c r="K162" i="28"/>
  <c r="K161" i="28"/>
  <c r="K105" i="28"/>
  <c r="K170" i="28"/>
  <c r="K137" i="28"/>
  <c r="K173" i="28"/>
  <c r="K140" i="28"/>
  <c r="K142" i="28"/>
  <c r="K155" i="28"/>
  <c r="K112" i="28"/>
  <c r="K164" i="28"/>
  <c r="K134" i="28"/>
  <c r="K187" i="28"/>
  <c r="K116" i="28"/>
  <c r="K133" i="28"/>
  <c r="K206" i="28"/>
  <c r="G3" i="48"/>
  <c r="G4" i="48"/>
  <c r="G5" i="48"/>
  <c r="G6" i="48"/>
  <c r="G7" i="48"/>
  <c r="G8" i="48"/>
  <c r="G9" i="48"/>
  <c r="G10" i="48"/>
  <c r="G11" i="48"/>
  <c r="G12" i="48"/>
  <c r="G13" i="48"/>
  <c r="G14" i="48"/>
  <c r="G15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28" i="48"/>
  <c r="G29" i="48"/>
  <c r="G30" i="48"/>
  <c r="G31" i="48"/>
  <c r="G32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47" i="48"/>
  <c r="G48" i="48"/>
  <c r="G49" i="48"/>
  <c r="G50" i="48"/>
  <c r="G51" i="48"/>
  <c r="G52" i="48"/>
  <c r="G53" i="48"/>
  <c r="G54" i="48"/>
  <c r="G55" i="48"/>
  <c r="G56" i="48"/>
  <c r="G57" i="48"/>
  <c r="G58" i="48"/>
  <c r="G59" i="48"/>
  <c r="G60" i="48"/>
  <c r="G61" i="48"/>
  <c r="G62" i="48"/>
  <c r="G63" i="48"/>
  <c r="G64" i="48"/>
  <c r="G65" i="48"/>
  <c r="G66" i="48"/>
  <c r="G67" i="48"/>
  <c r="G68" i="48"/>
  <c r="G69" i="48"/>
  <c r="G70" i="48"/>
  <c r="G71" i="48"/>
  <c r="G72" i="48"/>
  <c r="G73" i="48"/>
  <c r="G74" i="48"/>
  <c r="G75" i="48"/>
  <c r="G76" i="48"/>
  <c r="G77" i="48"/>
  <c r="G78" i="48"/>
  <c r="G79" i="48"/>
  <c r="G80" i="48"/>
  <c r="G81" i="48"/>
  <c r="G82" i="48"/>
  <c r="G83" i="48"/>
  <c r="G84" i="48"/>
  <c r="G85" i="48"/>
  <c r="G86" i="48"/>
  <c r="G87" i="48"/>
  <c r="G88" i="48"/>
  <c r="G89" i="48"/>
  <c r="G90" i="48"/>
  <c r="G91" i="48"/>
  <c r="G92" i="48"/>
  <c r="G93" i="48"/>
  <c r="G94" i="48"/>
  <c r="G95" i="48"/>
  <c r="G96" i="48"/>
  <c r="G97" i="48"/>
  <c r="G98" i="48"/>
  <c r="G99" i="48"/>
  <c r="G100" i="48"/>
  <c r="G101" i="48"/>
  <c r="G102" i="48"/>
  <c r="G103" i="48"/>
  <c r="G104" i="48"/>
  <c r="G105" i="48"/>
  <c r="G106" i="48"/>
  <c r="G107" i="48"/>
  <c r="G108" i="48"/>
  <c r="G109" i="48"/>
  <c r="G110" i="48"/>
  <c r="G111" i="48"/>
  <c r="G112" i="48"/>
  <c r="G113" i="48"/>
  <c r="G114" i="48"/>
  <c r="G115" i="48"/>
  <c r="G116" i="48"/>
  <c r="G117" i="48"/>
  <c r="G118" i="48"/>
  <c r="G119" i="48"/>
  <c r="G120" i="48"/>
  <c r="G121" i="48"/>
  <c r="G122" i="48"/>
  <c r="G123" i="48"/>
  <c r="G124" i="48"/>
  <c r="G125" i="48"/>
  <c r="G126" i="48"/>
  <c r="G127" i="48"/>
  <c r="G128" i="48"/>
  <c r="G129" i="48"/>
  <c r="G130" i="48"/>
  <c r="G131" i="48"/>
  <c r="G132" i="48"/>
  <c r="G133" i="48"/>
  <c r="G134" i="48"/>
  <c r="G135" i="48"/>
  <c r="G136" i="48"/>
  <c r="G137" i="48"/>
  <c r="G138" i="48"/>
  <c r="G139" i="48"/>
  <c r="G140" i="48"/>
  <c r="G141" i="48"/>
  <c r="G142" i="48"/>
  <c r="G143" i="48"/>
  <c r="G144" i="48"/>
  <c r="G145" i="48"/>
  <c r="G146" i="48"/>
  <c r="G147" i="48"/>
  <c r="G148" i="48"/>
  <c r="G149" i="48"/>
  <c r="G150" i="48"/>
  <c r="G151" i="48"/>
  <c r="G152" i="48"/>
  <c r="G153" i="48"/>
  <c r="G154" i="48"/>
  <c r="G155" i="48"/>
  <c r="G156" i="48"/>
  <c r="G157" i="48"/>
  <c r="G158" i="48"/>
  <c r="G159" i="48"/>
  <c r="G160" i="48"/>
  <c r="G161" i="48"/>
  <c r="G162" i="48"/>
  <c r="G163" i="48"/>
  <c r="G164" i="48"/>
  <c r="G165" i="48"/>
  <c r="G166" i="48"/>
  <c r="G167" i="48"/>
  <c r="G168" i="48"/>
  <c r="G169" i="48"/>
  <c r="G589" i="48"/>
  <c r="G590" i="48"/>
  <c r="G591" i="48"/>
  <c r="G592" i="48"/>
  <c r="G593" i="48"/>
  <c r="G594" i="48"/>
  <c r="G595" i="48"/>
  <c r="G596" i="48"/>
  <c r="G597" i="48"/>
  <c r="G598" i="48"/>
  <c r="G599" i="48"/>
  <c r="G600" i="48"/>
  <c r="G601" i="48"/>
  <c r="G602" i="48"/>
  <c r="G603" i="48"/>
  <c r="G604" i="48"/>
  <c r="G605" i="48"/>
  <c r="G606" i="48"/>
  <c r="G607" i="48"/>
  <c r="G608" i="48"/>
  <c r="G609" i="48"/>
  <c r="G610" i="48"/>
  <c r="G611" i="48"/>
  <c r="G612" i="48"/>
  <c r="G613" i="48"/>
  <c r="G614" i="48"/>
  <c r="G615" i="48"/>
  <c r="G616" i="48"/>
  <c r="G617" i="48"/>
  <c r="G618" i="48"/>
  <c r="G619" i="48"/>
  <c r="G620" i="48"/>
  <c r="G621" i="48"/>
  <c r="G622" i="48"/>
  <c r="G623" i="48"/>
  <c r="G624" i="48"/>
  <c r="G625" i="48"/>
  <c r="G626" i="48"/>
  <c r="G627" i="48"/>
  <c r="G628" i="48"/>
  <c r="G629" i="48"/>
  <c r="G630" i="48"/>
  <c r="G631" i="48"/>
  <c r="G632" i="48"/>
  <c r="G633" i="48"/>
  <c r="G634" i="48"/>
  <c r="G635" i="48"/>
  <c r="G636" i="48"/>
  <c r="G637" i="48"/>
  <c r="G638" i="48"/>
  <c r="G639" i="48"/>
  <c r="G640" i="48"/>
  <c r="G641" i="48"/>
  <c r="G642" i="48"/>
  <c r="G643" i="48"/>
  <c r="G644" i="48"/>
  <c r="G645" i="48"/>
  <c r="G646" i="48"/>
  <c r="G647" i="48"/>
  <c r="G648" i="48"/>
  <c r="G649" i="48"/>
  <c r="G650" i="48"/>
  <c r="G651" i="48"/>
  <c r="G652" i="48"/>
  <c r="G653" i="48"/>
  <c r="G654" i="48"/>
  <c r="G655" i="48"/>
  <c r="G656" i="48"/>
  <c r="G657" i="48"/>
  <c r="G658" i="48"/>
  <c r="G659" i="48"/>
  <c r="G660" i="48"/>
  <c r="G661" i="48"/>
  <c r="G662" i="48"/>
  <c r="G663" i="48"/>
  <c r="G664" i="48"/>
  <c r="G665" i="48"/>
  <c r="G666" i="48"/>
  <c r="G667" i="48"/>
  <c r="G668" i="48"/>
  <c r="G669" i="48"/>
  <c r="G670" i="48"/>
  <c r="G671" i="48"/>
  <c r="G672" i="48"/>
  <c r="G673" i="48"/>
  <c r="G674" i="48"/>
  <c r="G675" i="48"/>
  <c r="G676" i="48"/>
  <c r="G677" i="48"/>
  <c r="G678" i="48"/>
  <c r="G679" i="48"/>
  <c r="G680" i="48"/>
  <c r="G681" i="48"/>
  <c r="G682" i="48"/>
  <c r="G683" i="48"/>
  <c r="G684" i="48"/>
  <c r="G685" i="48"/>
  <c r="G686" i="48"/>
  <c r="G687" i="48"/>
  <c r="G688" i="48"/>
  <c r="G689" i="48"/>
  <c r="G690" i="48"/>
  <c r="G691" i="48"/>
  <c r="G692" i="48"/>
  <c r="G693" i="48"/>
  <c r="G694" i="48"/>
  <c r="G695" i="48"/>
  <c r="G696" i="48"/>
  <c r="G697" i="48"/>
  <c r="G698" i="48"/>
  <c r="G699" i="48"/>
  <c r="G700" i="48"/>
  <c r="G701" i="48"/>
  <c r="G702" i="48"/>
  <c r="G170" i="48"/>
  <c r="G171" i="48"/>
  <c r="G172" i="48"/>
  <c r="G173" i="48"/>
  <c r="G174" i="48"/>
  <c r="G175" i="48"/>
  <c r="G176" i="48"/>
  <c r="G177" i="48"/>
  <c r="G178" i="48"/>
  <c r="G179" i="48"/>
  <c r="G180" i="48"/>
  <c r="G181" i="48"/>
  <c r="G182" i="48"/>
  <c r="G183" i="48"/>
  <c r="G184" i="48"/>
  <c r="G185" i="48"/>
  <c r="G186" i="48"/>
  <c r="G187" i="48"/>
  <c r="G188" i="48"/>
  <c r="G189" i="48"/>
  <c r="G190" i="48"/>
  <c r="G191" i="48"/>
  <c r="G192" i="48"/>
  <c r="G193" i="48"/>
  <c r="G194" i="48"/>
  <c r="G195" i="48"/>
  <c r="G196" i="48"/>
  <c r="G197" i="48"/>
  <c r="G198" i="48"/>
  <c r="G199" i="48"/>
  <c r="G200" i="48"/>
  <c r="G201" i="48"/>
  <c r="G202" i="48"/>
  <c r="G203" i="48"/>
  <c r="G204" i="48"/>
  <c r="G205" i="48"/>
  <c r="G206" i="48"/>
  <c r="G207" i="48"/>
  <c r="G208" i="48"/>
  <c r="G209" i="48"/>
  <c r="G210" i="48"/>
  <c r="G211" i="48"/>
  <c r="G212" i="48"/>
  <c r="G213" i="48"/>
  <c r="G214" i="48"/>
  <c r="G215" i="48"/>
  <c r="G216" i="48"/>
  <c r="G217" i="48"/>
  <c r="G218" i="48"/>
  <c r="G219" i="48"/>
  <c r="G220" i="48"/>
  <c r="G221" i="48"/>
  <c r="G222" i="48"/>
  <c r="G223" i="48"/>
  <c r="G224" i="48"/>
  <c r="G225" i="48"/>
  <c r="G226" i="48"/>
  <c r="G227" i="48"/>
  <c r="G228" i="48"/>
  <c r="G229" i="48"/>
  <c r="G230" i="48"/>
  <c r="G231" i="48"/>
  <c r="G232" i="48"/>
  <c r="G233" i="48"/>
  <c r="G234" i="48"/>
  <c r="G235" i="48"/>
  <c r="G236" i="48"/>
  <c r="G237" i="48"/>
  <c r="G238" i="48"/>
  <c r="G239" i="48"/>
  <c r="G240" i="48"/>
  <c r="G241" i="48"/>
  <c r="G242" i="48"/>
  <c r="G243" i="48"/>
  <c r="G244" i="48"/>
  <c r="G245" i="48"/>
  <c r="G246" i="48"/>
  <c r="G247" i="48"/>
  <c r="G248" i="48"/>
  <c r="G249" i="48"/>
  <c r="G250" i="48"/>
  <c r="G251" i="48"/>
  <c r="G252" i="48"/>
  <c r="G253" i="48"/>
  <c r="G254" i="48"/>
  <c r="G255" i="48"/>
  <c r="G256" i="48"/>
  <c r="G257" i="48"/>
  <c r="G258" i="48"/>
  <c r="G259" i="48"/>
  <c r="G260" i="48"/>
  <c r="G261" i="48"/>
  <c r="G262" i="48"/>
  <c r="G263" i="48"/>
  <c r="G264" i="48"/>
  <c r="G265" i="48"/>
  <c r="G266" i="48"/>
  <c r="G267" i="48"/>
  <c r="G268" i="48"/>
  <c r="G269" i="48"/>
  <c r="G270" i="48"/>
  <c r="G271" i="48"/>
  <c r="G272" i="48"/>
  <c r="G273" i="48"/>
  <c r="G274" i="48"/>
  <c r="G275" i="48"/>
  <c r="G276" i="48"/>
  <c r="G277" i="48"/>
  <c r="G278" i="48"/>
  <c r="G279" i="48"/>
  <c r="G280" i="48"/>
  <c r="G281" i="48"/>
  <c r="G282" i="48"/>
  <c r="G283" i="48"/>
  <c r="G284" i="48"/>
  <c r="G285" i="48"/>
  <c r="G286" i="48"/>
  <c r="G287" i="48"/>
  <c r="G288" i="48"/>
  <c r="G289" i="48"/>
  <c r="G290" i="48"/>
  <c r="G291" i="48"/>
  <c r="G292" i="48"/>
  <c r="G293" i="48"/>
  <c r="G294" i="48"/>
  <c r="G295" i="48"/>
  <c r="G296" i="48"/>
  <c r="G297" i="48"/>
  <c r="G298" i="48"/>
  <c r="G299" i="48"/>
  <c r="G300" i="48"/>
  <c r="G703" i="48"/>
  <c r="G704" i="48"/>
  <c r="G705" i="48"/>
  <c r="G706" i="48"/>
  <c r="G707" i="48"/>
  <c r="G708" i="48"/>
  <c r="G709" i="48"/>
  <c r="G710" i="48"/>
  <c r="G711" i="48"/>
  <c r="G712" i="48"/>
  <c r="G713" i="48"/>
  <c r="G714" i="48"/>
  <c r="G715" i="48"/>
  <c r="G716" i="48"/>
  <c r="G717" i="48"/>
  <c r="G718" i="48"/>
  <c r="G719" i="48"/>
  <c r="G720" i="48"/>
  <c r="G721" i="48"/>
  <c r="G722" i="48"/>
  <c r="G723" i="48"/>
  <c r="G724" i="48"/>
  <c r="G725" i="48"/>
  <c r="G726" i="48"/>
  <c r="G727" i="48"/>
  <c r="G728" i="48"/>
  <c r="G729" i="48"/>
  <c r="G730" i="48"/>
  <c r="G731" i="48"/>
  <c r="G732" i="48"/>
  <c r="G733" i="48"/>
  <c r="G734" i="48"/>
  <c r="G735" i="48"/>
  <c r="G736" i="48"/>
  <c r="G737" i="48"/>
  <c r="G738" i="48"/>
  <c r="G739" i="48"/>
  <c r="G740" i="48"/>
  <c r="G741" i="48"/>
  <c r="G742" i="48"/>
  <c r="G743" i="48"/>
  <c r="G744" i="48"/>
  <c r="G745" i="48"/>
  <c r="G746" i="48"/>
  <c r="G747" i="48"/>
  <c r="G748" i="48"/>
  <c r="G749" i="48"/>
  <c r="G750" i="48"/>
  <c r="G751" i="48"/>
  <c r="G752" i="48"/>
  <c r="G753" i="48"/>
  <c r="G754" i="48"/>
  <c r="G755" i="48"/>
  <c r="G756" i="48"/>
  <c r="G757" i="48"/>
  <c r="G758" i="48"/>
  <c r="G759" i="48"/>
  <c r="G760" i="48"/>
  <c r="G761" i="48"/>
  <c r="G762" i="48"/>
  <c r="G763" i="48"/>
  <c r="O28" i="48" s="1"/>
  <c r="G764" i="48"/>
  <c r="G765" i="48"/>
  <c r="G766" i="48"/>
  <c r="G767" i="48"/>
  <c r="G768" i="48"/>
  <c r="G769" i="48"/>
  <c r="G770" i="48"/>
  <c r="G771" i="48"/>
  <c r="G772" i="48"/>
  <c r="G773" i="48"/>
  <c r="G774" i="48"/>
  <c r="G775" i="48"/>
  <c r="G776" i="48"/>
  <c r="G777" i="48"/>
  <c r="G778" i="48"/>
  <c r="G779" i="48"/>
  <c r="G780" i="48"/>
  <c r="G781" i="48"/>
  <c r="G782" i="48"/>
  <c r="G783" i="48"/>
  <c r="G784" i="48"/>
  <c r="G785" i="48"/>
  <c r="G786" i="48"/>
  <c r="G787" i="48"/>
  <c r="O30" i="48" s="1"/>
  <c r="G788" i="48"/>
  <c r="G789" i="48"/>
  <c r="G790" i="48"/>
  <c r="G791" i="48"/>
  <c r="G792" i="48"/>
  <c r="G793" i="48"/>
  <c r="G794" i="48"/>
  <c r="G795" i="48"/>
  <c r="G796" i="48"/>
  <c r="G797" i="48"/>
  <c r="G798" i="48"/>
  <c r="G799" i="48"/>
  <c r="G800" i="48"/>
  <c r="G801" i="48"/>
  <c r="G802" i="48"/>
  <c r="G803" i="48"/>
  <c r="G804" i="48"/>
  <c r="G805" i="48"/>
  <c r="G806" i="48"/>
  <c r="G807" i="48"/>
  <c r="G808" i="48"/>
  <c r="G809" i="48"/>
  <c r="G810" i="48"/>
  <c r="G811" i="48"/>
  <c r="G812" i="48"/>
  <c r="G813" i="48"/>
  <c r="G814" i="48"/>
  <c r="G815" i="48"/>
  <c r="G816" i="48"/>
  <c r="G817" i="48"/>
  <c r="G818" i="48"/>
  <c r="G819" i="48"/>
  <c r="G820" i="48"/>
  <c r="G821" i="48"/>
  <c r="G822" i="48"/>
  <c r="G823" i="48"/>
  <c r="G824" i="48"/>
  <c r="G825" i="48"/>
  <c r="G826" i="48"/>
  <c r="G827" i="48"/>
  <c r="G828" i="48"/>
  <c r="G829" i="48"/>
  <c r="G830" i="48"/>
  <c r="G831" i="48"/>
  <c r="G832" i="48"/>
  <c r="G833" i="48"/>
  <c r="G834" i="48"/>
  <c r="G835" i="48"/>
  <c r="G836" i="48"/>
  <c r="G837" i="48"/>
  <c r="G838" i="48"/>
  <c r="G839" i="48"/>
  <c r="G840" i="48"/>
  <c r="G841" i="48"/>
  <c r="G842" i="48"/>
  <c r="G843" i="48"/>
  <c r="G844" i="48"/>
  <c r="G845" i="48"/>
  <c r="G846" i="48"/>
  <c r="G847" i="48"/>
  <c r="G848" i="48"/>
  <c r="G849" i="48"/>
  <c r="G850" i="48"/>
  <c r="G851" i="48"/>
  <c r="G852" i="48"/>
  <c r="G853" i="48"/>
  <c r="G854" i="48"/>
  <c r="G855" i="48"/>
  <c r="G856" i="48"/>
  <c r="G857" i="48"/>
  <c r="G858" i="48"/>
  <c r="G859" i="48"/>
  <c r="G860" i="48"/>
  <c r="G861" i="48"/>
  <c r="G862" i="48"/>
  <c r="G863" i="48"/>
  <c r="G864" i="48"/>
  <c r="G865" i="48"/>
  <c r="G866" i="48"/>
  <c r="G867" i="48"/>
  <c r="G868" i="48"/>
  <c r="G869" i="48"/>
  <c r="G870" i="48"/>
  <c r="G871" i="48"/>
  <c r="G872" i="48"/>
  <c r="G873" i="48"/>
  <c r="G874" i="48"/>
  <c r="G875" i="48"/>
  <c r="G876" i="48"/>
  <c r="G877" i="48"/>
  <c r="G878" i="48"/>
  <c r="G879" i="48"/>
  <c r="G880" i="48"/>
  <c r="G881" i="48"/>
  <c r="G882" i="48"/>
  <c r="G883" i="48"/>
  <c r="G884" i="48"/>
  <c r="G885" i="48"/>
  <c r="G886" i="48"/>
  <c r="G887" i="48"/>
  <c r="G888" i="48"/>
  <c r="G889" i="48"/>
  <c r="G890" i="48"/>
  <c r="G891" i="48"/>
  <c r="G892" i="48"/>
  <c r="G893" i="48"/>
  <c r="G894" i="48"/>
  <c r="G895" i="48"/>
  <c r="G896" i="48"/>
  <c r="G897" i="48"/>
  <c r="G898" i="48"/>
  <c r="G899" i="48"/>
  <c r="G900" i="48"/>
  <c r="G901" i="48"/>
  <c r="G902" i="48"/>
  <c r="G903" i="48"/>
  <c r="G301" i="48"/>
  <c r="G302" i="48"/>
  <c r="G303" i="48"/>
  <c r="G304" i="48"/>
  <c r="G305" i="48"/>
  <c r="G306" i="48"/>
  <c r="G307" i="48"/>
  <c r="G308" i="48"/>
  <c r="G309" i="48"/>
  <c r="G310" i="48"/>
  <c r="G311" i="48"/>
  <c r="G312" i="48"/>
  <c r="G313" i="48"/>
  <c r="G314" i="48"/>
  <c r="G315" i="48"/>
  <c r="G316" i="48"/>
  <c r="G317" i="48"/>
  <c r="G318" i="48"/>
  <c r="G319" i="48"/>
  <c r="G320" i="48"/>
  <c r="G321" i="48"/>
  <c r="G322" i="48"/>
  <c r="G323" i="48"/>
  <c r="G324" i="48"/>
  <c r="G325" i="48"/>
  <c r="G326" i="48"/>
  <c r="G327" i="48"/>
  <c r="G328" i="48"/>
  <c r="G329" i="48"/>
  <c r="G330" i="48"/>
  <c r="G331" i="48"/>
  <c r="G332" i="48"/>
  <c r="G333" i="48"/>
  <c r="G334" i="48"/>
  <c r="G335" i="48"/>
  <c r="G336" i="48"/>
  <c r="G337" i="48"/>
  <c r="G338" i="48"/>
  <c r="G339" i="48"/>
  <c r="G340" i="48"/>
  <c r="G341" i="48"/>
  <c r="G342" i="48"/>
  <c r="G343" i="48"/>
  <c r="G344" i="48"/>
  <c r="G345" i="48"/>
  <c r="G346" i="48"/>
  <c r="G347" i="48"/>
  <c r="G348" i="48"/>
  <c r="G349" i="48"/>
  <c r="G350" i="48"/>
  <c r="G351" i="48"/>
  <c r="G352" i="48"/>
  <c r="G353" i="48"/>
  <c r="G354" i="48"/>
  <c r="G355" i="48"/>
  <c r="G356" i="48"/>
  <c r="G357" i="48"/>
  <c r="G358" i="48"/>
  <c r="G359" i="48"/>
  <c r="G360" i="48"/>
  <c r="G361" i="48"/>
  <c r="G362" i="48"/>
  <c r="G363" i="48"/>
  <c r="G364" i="48"/>
  <c r="G365" i="48"/>
  <c r="G366" i="48"/>
  <c r="G367" i="48"/>
  <c r="G368" i="48"/>
  <c r="G369" i="48"/>
  <c r="G370" i="48"/>
  <c r="G371" i="48"/>
  <c r="G372" i="48"/>
  <c r="G373" i="48"/>
  <c r="G374" i="48"/>
  <c r="G375" i="48"/>
  <c r="G376" i="48"/>
  <c r="G377" i="48"/>
  <c r="G378" i="48"/>
  <c r="G379" i="48"/>
  <c r="G380" i="48"/>
  <c r="G381" i="48"/>
  <c r="G382" i="48"/>
  <c r="G383" i="48"/>
  <c r="G384" i="48"/>
  <c r="G385" i="48"/>
  <c r="G386" i="48"/>
  <c r="G387" i="48"/>
  <c r="G388" i="48"/>
  <c r="G389" i="48"/>
  <c r="G390" i="48"/>
  <c r="G391" i="48"/>
  <c r="G392" i="48"/>
  <c r="G393" i="48"/>
  <c r="G394" i="48"/>
  <c r="G395" i="48"/>
  <c r="G396" i="48"/>
  <c r="G397" i="48"/>
  <c r="G398" i="48"/>
  <c r="G399" i="48"/>
  <c r="G400" i="48"/>
  <c r="G401" i="48"/>
  <c r="G402" i="48"/>
  <c r="G403" i="48"/>
  <c r="G404" i="48"/>
  <c r="G405" i="48"/>
  <c r="G406" i="48"/>
  <c r="G407" i="48"/>
  <c r="G408" i="48"/>
  <c r="G409" i="48"/>
  <c r="G410" i="48"/>
  <c r="G411" i="48"/>
  <c r="G412" i="48"/>
  <c r="G413" i="48"/>
  <c r="G414" i="48"/>
  <c r="G415" i="48"/>
  <c r="G416" i="48"/>
  <c r="G417" i="48"/>
  <c r="G418" i="48"/>
  <c r="G419" i="48"/>
  <c r="G420" i="48"/>
  <c r="G421" i="48"/>
  <c r="G422" i="48"/>
  <c r="G423" i="48"/>
  <c r="G424" i="48"/>
  <c r="G425" i="48"/>
  <c r="G426" i="48"/>
  <c r="G427" i="48"/>
  <c r="G428" i="48"/>
  <c r="G429" i="48"/>
  <c r="G430" i="48"/>
  <c r="G431" i="48"/>
  <c r="G432" i="48"/>
  <c r="G433" i="48"/>
  <c r="G434" i="48"/>
  <c r="G435" i="48"/>
  <c r="G436" i="48"/>
  <c r="G437" i="48"/>
  <c r="G438" i="48"/>
  <c r="G439" i="48"/>
  <c r="G440" i="48"/>
  <c r="G441" i="48"/>
  <c r="G442" i="48"/>
  <c r="G443" i="48"/>
  <c r="G444" i="48"/>
  <c r="G445" i="48"/>
  <c r="G446" i="48"/>
  <c r="G447" i="48"/>
  <c r="G448" i="48"/>
  <c r="G449" i="48"/>
  <c r="G450" i="48"/>
  <c r="G451" i="48"/>
  <c r="G452" i="48"/>
  <c r="G453" i="48"/>
  <c r="G454" i="48"/>
  <c r="G455" i="48"/>
  <c r="G456" i="48"/>
  <c r="G457" i="48"/>
  <c r="G458" i="48"/>
  <c r="G459" i="48"/>
  <c r="G460" i="48"/>
  <c r="G461" i="48"/>
  <c r="G462" i="48"/>
  <c r="G463" i="48"/>
  <c r="G464" i="48"/>
  <c r="G465" i="48"/>
  <c r="G466" i="48"/>
  <c r="G467" i="48"/>
  <c r="G468" i="48"/>
  <c r="G469" i="48"/>
  <c r="G470" i="48"/>
  <c r="G471" i="48"/>
  <c r="G472" i="48"/>
  <c r="G473" i="48"/>
  <c r="G474" i="48"/>
  <c r="G475" i="48"/>
  <c r="G476" i="48"/>
  <c r="G477" i="48"/>
  <c r="G478" i="48"/>
  <c r="G479" i="48"/>
  <c r="G480" i="48"/>
  <c r="G481" i="48"/>
  <c r="G482" i="48"/>
  <c r="G483" i="48"/>
  <c r="G484" i="48"/>
  <c r="G485" i="48"/>
  <c r="G486" i="48"/>
  <c r="G487" i="48"/>
  <c r="G488" i="48"/>
  <c r="G489" i="48"/>
  <c r="G490" i="48"/>
  <c r="G491" i="48"/>
  <c r="G492" i="48"/>
  <c r="G493" i="48"/>
  <c r="G494" i="48"/>
  <c r="G495" i="48"/>
  <c r="G496" i="48"/>
  <c r="G497" i="48"/>
  <c r="G498" i="48"/>
  <c r="G499" i="48"/>
  <c r="G500" i="48"/>
  <c r="G501" i="48"/>
  <c r="G502" i="48"/>
  <c r="G503" i="48"/>
  <c r="G504" i="48"/>
  <c r="G505" i="48"/>
  <c r="G506" i="48"/>
  <c r="G507" i="48"/>
  <c r="G508" i="48"/>
  <c r="G509" i="48"/>
  <c r="G510" i="48"/>
  <c r="G511" i="48"/>
  <c r="G512" i="48"/>
  <c r="G513" i="48"/>
  <c r="G514" i="48"/>
  <c r="G515" i="48"/>
  <c r="G516" i="48"/>
  <c r="G517" i="48"/>
  <c r="G518" i="48"/>
  <c r="G519" i="48"/>
  <c r="G520" i="48"/>
  <c r="G521" i="48"/>
  <c r="G522" i="48"/>
  <c r="G523" i="48"/>
  <c r="G524" i="48"/>
  <c r="G525" i="48"/>
  <c r="G526" i="48"/>
  <c r="G527" i="48"/>
  <c r="G528" i="48"/>
  <c r="G529" i="48"/>
  <c r="G530" i="48"/>
  <c r="G531" i="48"/>
  <c r="G532" i="48"/>
  <c r="G533" i="48"/>
  <c r="G534" i="48"/>
  <c r="G535" i="48"/>
  <c r="G536" i="48"/>
  <c r="G537" i="48"/>
  <c r="G538" i="48"/>
  <c r="G539" i="48"/>
  <c r="G540" i="48"/>
  <c r="G541" i="48"/>
  <c r="G542" i="48"/>
  <c r="G543" i="48"/>
  <c r="G544" i="48"/>
  <c r="G545" i="48"/>
  <c r="G546" i="48"/>
  <c r="G547" i="48"/>
  <c r="G548" i="48"/>
  <c r="G549" i="48"/>
  <c r="G550" i="48"/>
  <c r="G551" i="48"/>
  <c r="G552" i="48"/>
  <c r="G553" i="48"/>
  <c r="G554" i="48"/>
  <c r="G555" i="48"/>
  <c r="G556" i="48"/>
  <c r="G557" i="48"/>
  <c r="G558" i="48"/>
  <c r="G559" i="48"/>
  <c r="G560" i="48"/>
  <c r="G561" i="48"/>
  <c r="G562" i="48"/>
  <c r="G563" i="48"/>
  <c r="G564" i="48"/>
  <c r="G565" i="48"/>
  <c r="G566" i="48"/>
  <c r="G567" i="48"/>
  <c r="G568" i="48"/>
  <c r="G569" i="48"/>
  <c r="G570" i="48"/>
  <c r="G571" i="48"/>
  <c r="G572" i="48"/>
  <c r="G573" i="48"/>
  <c r="G574" i="48"/>
  <c r="G575" i="48"/>
  <c r="G576" i="48"/>
  <c r="G577" i="48"/>
  <c r="G578" i="48"/>
  <c r="G579" i="48"/>
  <c r="G580" i="48"/>
  <c r="G581" i="48"/>
  <c r="G582" i="48"/>
  <c r="G583" i="48"/>
  <c r="G584" i="48"/>
  <c r="G585" i="48"/>
  <c r="G586" i="48"/>
  <c r="G587" i="48"/>
  <c r="G588" i="48"/>
  <c r="G2" i="48"/>
  <c r="D3" i="48"/>
  <c r="D4" i="48"/>
  <c r="D5" i="48"/>
  <c r="D6" i="48"/>
  <c r="D7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37" i="48"/>
  <c r="D38" i="48"/>
  <c r="D39" i="48"/>
  <c r="D40" i="48"/>
  <c r="D41" i="48"/>
  <c r="D42" i="48"/>
  <c r="D43" i="48"/>
  <c r="D44" i="48"/>
  <c r="D45" i="48"/>
  <c r="D46" i="48"/>
  <c r="D47" i="48"/>
  <c r="D48" i="48"/>
  <c r="D49" i="48"/>
  <c r="D50" i="48"/>
  <c r="D51" i="48"/>
  <c r="D52" i="48"/>
  <c r="D53" i="48"/>
  <c r="D54" i="48"/>
  <c r="D55" i="48"/>
  <c r="D56" i="48"/>
  <c r="D57" i="48"/>
  <c r="D58" i="48"/>
  <c r="D59" i="48"/>
  <c r="D60" i="48"/>
  <c r="D61" i="48"/>
  <c r="D62" i="48"/>
  <c r="D63" i="48"/>
  <c r="D64" i="48"/>
  <c r="D65" i="48"/>
  <c r="D66" i="48"/>
  <c r="D67" i="48"/>
  <c r="D68" i="48"/>
  <c r="D69" i="48"/>
  <c r="D70" i="48"/>
  <c r="D71" i="48"/>
  <c r="D72" i="48"/>
  <c r="D73" i="48"/>
  <c r="D74" i="48"/>
  <c r="D75" i="48"/>
  <c r="D76" i="48"/>
  <c r="D77" i="48"/>
  <c r="D78" i="48"/>
  <c r="D79" i="48"/>
  <c r="D80" i="48"/>
  <c r="D81" i="48"/>
  <c r="D82" i="48"/>
  <c r="D83" i="48"/>
  <c r="D84" i="48"/>
  <c r="D85" i="48"/>
  <c r="D86" i="48"/>
  <c r="D87" i="48"/>
  <c r="D88" i="48"/>
  <c r="D89" i="48"/>
  <c r="D90" i="48"/>
  <c r="D91" i="48"/>
  <c r="D92" i="48"/>
  <c r="D93" i="48"/>
  <c r="D94" i="48"/>
  <c r="D95" i="48"/>
  <c r="D96" i="48"/>
  <c r="D97" i="48"/>
  <c r="D98" i="48"/>
  <c r="D99" i="48"/>
  <c r="D100" i="48"/>
  <c r="D101" i="48"/>
  <c r="D102" i="48"/>
  <c r="D103" i="48"/>
  <c r="D104" i="48"/>
  <c r="D105" i="48"/>
  <c r="D106" i="48"/>
  <c r="D107" i="48"/>
  <c r="D108" i="48"/>
  <c r="D109" i="48"/>
  <c r="D110" i="48"/>
  <c r="D111" i="48"/>
  <c r="D112" i="48"/>
  <c r="D113" i="48"/>
  <c r="D114" i="48"/>
  <c r="D115" i="48"/>
  <c r="D116" i="48"/>
  <c r="D117" i="48"/>
  <c r="D118" i="48"/>
  <c r="D119" i="48"/>
  <c r="D120" i="48"/>
  <c r="D121" i="48"/>
  <c r="D122" i="48"/>
  <c r="D123" i="48"/>
  <c r="D124" i="48"/>
  <c r="D125" i="48"/>
  <c r="D126" i="48"/>
  <c r="D127" i="48"/>
  <c r="D128" i="48"/>
  <c r="D129" i="48"/>
  <c r="D130" i="48"/>
  <c r="D131" i="48"/>
  <c r="D132" i="48"/>
  <c r="D133" i="48"/>
  <c r="D134" i="48"/>
  <c r="D135" i="48"/>
  <c r="D136" i="48"/>
  <c r="D137" i="48"/>
  <c r="D138" i="48"/>
  <c r="D139" i="48"/>
  <c r="D140" i="48"/>
  <c r="D141" i="48"/>
  <c r="D142" i="48"/>
  <c r="D143" i="48"/>
  <c r="D144" i="48"/>
  <c r="D145" i="48"/>
  <c r="D146" i="48"/>
  <c r="D147" i="48"/>
  <c r="D148" i="48"/>
  <c r="D149" i="48"/>
  <c r="D150" i="48"/>
  <c r="D151" i="48"/>
  <c r="D152" i="48"/>
  <c r="D153" i="48"/>
  <c r="D154" i="48"/>
  <c r="D155" i="48"/>
  <c r="D156" i="48"/>
  <c r="D157" i="48"/>
  <c r="D158" i="48"/>
  <c r="D159" i="48"/>
  <c r="D160" i="48"/>
  <c r="D161" i="48"/>
  <c r="D162" i="48"/>
  <c r="D163" i="48"/>
  <c r="D164" i="48"/>
  <c r="D165" i="48"/>
  <c r="D166" i="48"/>
  <c r="D167" i="48"/>
  <c r="D168" i="48"/>
  <c r="D169" i="48"/>
  <c r="D589" i="48"/>
  <c r="D590" i="48"/>
  <c r="D591" i="48"/>
  <c r="D592" i="48"/>
  <c r="D593" i="48"/>
  <c r="D594" i="48"/>
  <c r="D595" i="48"/>
  <c r="D596" i="48"/>
  <c r="D597" i="48"/>
  <c r="D598" i="48"/>
  <c r="D599" i="48"/>
  <c r="D600" i="48"/>
  <c r="D601" i="48"/>
  <c r="D602" i="48"/>
  <c r="D603" i="48"/>
  <c r="D604" i="48"/>
  <c r="D605" i="48"/>
  <c r="D606" i="48"/>
  <c r="D607" i="48"/>
  <c r="D608" i="48"/>
  <c r="D609" i="48"/>
  <c r="D610" i="48"/>
  <c r="D611" i="48"/>
  <c r="D612" i="48"/>
  <c r="D613" i="48"/>
  <c r="D614" i="48"/>
  <c r="D615" i="48"/>
  <c r="D616" i="48"/>
  <c r="D617" i="48"/>
  <c r="D618" i="48"/>
  <c r="D619" i="48"/>
  <c r="D620" i="48"/>
  <c r="D621" i="48"/>
  <c r="D622" i="48"/>
  <c r="D623" i="48"/>
  <c r="D624" i="48"/>
  <c r="D625" i="48"/>
  <c r="D626" i="48"/>
  <c r="D627" i="48"/>
  <c r="D628" i="48"/>
  <c r="D629" i="48"/>
  <c r="D630" i="48"/>
  <c r="D631" i="48"/>
  <c r="D632" i="48"/>
  <c r="D633" i="48"/>
  <c r="D634" i="48"/>
  <c r="D635" i="48"/>
  <c r="D636" i="48"/>
  <c r="D637" i="48"/>
  <c r="D638" i="48"/>
  <c r="D639" i="48"/>
  <c r="D640" i="48"/>
  <c r="D641" i="48"/>
  <c r="D642" i="48"/>
  <c r="D643" i="48"/>
  <c r="D644" i="48"/>
  <c r="D645" i="48"/>
  <c r="D646" i="48"/>
  <c r="D647" i="48"/>
  <c r="D648" i="48"/>
  <c r="D649" i="48"/>
  <c r="D650" i="48"/>
  <c r="D651" i="48"/>
  <c r="D652" i="48"/>
  <c r="D653" i="48"/>
  <c r="D654" i="48"/>
  <c r="D655" i="48"/>
  <c r="D656" i="48"/>
  <c r="D657" i="48"/>
  <c r="D658" i="48"/>
  <c r="D659" i="48"/>
  <c r="D660" i="48"/>
  <c r="D661" i="48"/>
  <c r="D662" i="48"/>
  <c r="D663" i="48"/>
  <c r="D664" i="48"/>
  <c r="D665" i="48"/>
  <c r="D666" i="48"/>
  <c r="D667" i="48"/>
  <c r="D668" i="48"/>
  <c r="D669" i="48"/>
  <c r="D670" i="48"/>
  <c r="D671" i="48"/>
  <c r="D672" i="48"/>
  <c r="D673" i="48"/>
  <c r="D674" i="48"/>
  <c r="D675" i="48"/>
  <c r="D676" i="48"/>
  <c r="D677" i="48"/>
  <c r="D678" i="48"/>
  <c r="D679" i="48"/>
  <c r="D680" i="48"/>
  <c r="D681" i="48"/>
  <c r="D682" i="48"/>
  <c r="D683" i="48"/>
  <c r="D684" i="48"/>
  <c r="D685" i="48"/>
  <c r="D686" i="48"/>
  <c r="D687" i="48"/>
  <c r="D688" i="48"/>
  <c r="D689" i="48"/>
  <c r="D690" i="48"/>
  <c r="D691" i="48"/>
  <c r="D692" i="48"/>
  <c r="D693" i="48"/>
  <c r="D694" i="48"/>
  <c r="D695" i="48"/>
  <c r="D696" i="48"/>
  <c r="D697" i="48"/>
  <c r="D698" i="48"/>
  <c r="D699" i="48"/>
  <c r="D700" i="48"/>
  <c r="D701" i="48"/>
  <c r="D702" i="48"/>
  <c r="D170" i="48"/>
  <c r="D171" i="48"/>
  <c r="D172" i="48"/>
  <c r="D173" i="48"/>
  <c r="D174" i="48"/>
  <c r="D175" i="48"/>
  <c r="D176" i="48"/>
  <c r="D177" i="48"/>
  <c r="D178" i="48"/>
  <c r="D179" i="48"/>
  <c r="D180" i="48"/>
  <c r="D181" i="48"/>
  <c r="D182" i="48"/>
  <c r="D183" i="48"/>
  <c r="D184" i="48"/>
  <c r="D185" i="48"/>
  <c r="D186" i="48"/>
  <c r="D187" i="48"/>
  <c r="D188" i="48"/>
  <c r="D189" i="48"/>
  <c r="D190" i="48"/>
  <c r="D191" i="48"/>
  <c r="D192" i="48"/>
  <c r="D193" i="48"/>
  <c r="D194" i="48"/>
  <c r="D195" i="48"/>
  <c r="D196" i="48"/>
  <c r="D197" i="48"/>
  <c r="D198" i="48"/>
  <c r="D199" i="48"/>
  <c r="D200" i="48"/>
  <c r="D201" i="48"/>
  <c r="D202" i="48"/>
  <c r="D203" i="48"/>
  <c r="D204" i="48"/>
  <c r="D205" i="48"/>
  <c r="D206" i="48"/>
  <c r="D207" i="48"/>
  <c r="D208" i="48"/>
  <c r="D209" i="48"/>
  <c r="D210" i="48"/>
  <c r="D211" i="48"/>
  <c r="D212" i="48"/>
  <c r="D213" i="48"/>
  <c r="D214" i="48"/>
  <c r="D215" i="48"/>
  <c r="D216" i="48"/>
  <c r="D217" i="48"/>
  <c r="D218" i="48"/>
  <c r="D219" i="48"/>
  <c r="D220" i="48"/>
  <c r="D221" i="48"/>
  <c r="D222" i="48"/>
  <c r="D223" i="48"/>
  <c r="D224" i="48"/>
  <c r="D225" i="48"/>
  <c r="D226" i="48"/>
  <c r="D227" i="48"/>
  <c r="D228" i="48"/>
  <c r="D229" i="48"/>
  <c r="D230" i="48"/>
  <c r="D231" i="48"/>
  <c r="D232" i="48"/>
  <c r="D233" i="48"/>
  <c r="D234" i="48"/>
  <c r="D235" i="48"/>
  <c r="D236" i="48"/>
  <c r="D237" i="48"/>
  <c r="D238" i="48"/>
  <c r="D239" i="48"/>
  <c r="D240" i="48"/>
  <c r="D241" i="48"/>
  <c r="D242" i="48"/>
  <c r="D243" i="48"/>
  <c r="D244" i="48"/>
  <c r="D245" i="48"/>
  <c r="D246" i="48"/>
  <c r="D247" i="48"/>
  <c r="D248" i="48"/>
  <c r="D249" i="48"/>
  <c r="D250" i="48"/>
  <c r="D251" i="48"/>
  <c r="D252" i="48"/>
  <c r="D253" i="48"/>
  <c r="D254" i="48"/>
  <c r="D255" i="48"/>
  <c r="D256" i="48"/>
  <c r="D257" i="48"/>
  <c r="D258" i="48"/>
  <c r="D259" i="48"/>
  <c r="D260" i="48"/>
  <c r="D261" i="48"/>
  <c r="D262" i="48"/>
  <c r="D263" i="48"/>
  <c r="D264" i="48"/>
  <c r="D265" i="48"/>
  <c r="D266" i="48"/>
  <c r="D267" i="48"/>
  <c r="D268" i="48"/>
  <c r="D269" i="48"/>
  <c r="D270" i="48"/>
  <c r="D271" i="48"/>
  <c r="D272" i="48"/>
  <c r="D273" i="48"/>
  <c r="D274" i="48"/>
  <c r="D275" i="48"/>
  <c r="D276" i="48"/>
  <c r="D277" i="48"/>
  <c r="D278" i="48"/>
  <c r="D279" i="48"/>
  <c r="D280" i="48"/>
  <c r="D281" i="48"/>
  <c r="D282" i="48"/>
  <c r="D283" i="48"/>
  <c r="D284" i="48"/>
  <c r="D285" i="48"/>
  <c r="D286" i="48"/>
  <c r="D287" i="48"/>
  <c r="D288" i="48"/>
  <c r="D289" i="48"/>
  <c r="D290" i="48"/>
  <c r="D291" i="48"/>
  <c r="D292" i="48"/>
  <c r="D293" i="48"/>
  <c r="D294" i="48"/>
  <c r="D295" i="48"/>
  <c r="D296" i="48"/>
  <c r="D297" i="48"/>
  <c r="D298" i="48"/>
  <c r="D299" i="48"/>
  <c r="D300" i="48"/>
  <c r="D703" i="48"/>
  <c r="D704" i="48"/>
  <c r="D705" i="48"/>
  <c r="D706" i="48"/>
  <c r="D707" i="48"/>
  <c r="D708" i="48"/>
  <c r="D709" i="48"/>
  <c r="D710" i="48"/>
  <c r="D711" i="48"/>
  <c r="D712" i="48"/>
  <c r="D713" i="48"/>
  <c r="D714" i="48"/>
  <c r="D715" i="48"/>
  <c r="D716" i="48"/>
  <c r="D717" i="48"/>
  <c r="D718" i="48"/>
  <c r="D719" i="48"/>
  <c r="D720" i="48"/>
  <c r="D721" i="48"/>
  <c r="D722" i="48"/>
  <c r="D723" i="48"/>
  <c r="D724" i="48"/>
  <c r="D725" i="48"/>
  <c r="D726" i="48"/>
  <c r="D727" i="48"/>
  <c r="D728" i="48"/>
  <c r="D729" i="48"/>
  <c r="D730" i="48"/>
  <c r="D731" i="48"/>
  <c r="D732" i="48"/>
  <c r="D733" i="48"/>
  <c r="D734" i="48"/>
  <c r="D735" i="48"/>
  <c r="D736" i="48"/>
  <c r="D737" i="48"/>
  <c r="D738" i="48"/>
  <c r="D739" i="48"/>
  <c r="D740" i="48"/>
  <c r="D741" i="48"/>
  <c r="D742" i="48"/>
  <c r="D743" i="48"/>
  <c r="D744" i="48"/>
  <c r="D745" i="48"/>
  <c r="D746" i="48"/>
  <c r="D747" i="48"/>
  <c r="D748" i="48"/>
  <c r="D749" i="48"/>
  <c r="D750" i="48"/>
  <c r="D751" i="48"/>
  <c r="D752" i="48"/>
  <c r="D753" i="48"/>
  <c r="D754" i="48"/>
  <c r="D755" i="48"/>
  <c r="D756" i="48"/>
  <c r="D757" i="48"/>
  <c r="D758" i="48"/>
  <c r="D759" i="48"/>
  <c r="D760" i="48"/>
  <c r="D761" i="48"/>
  <c r="D762" i="48"/>
  <c r="D763" i="48"/>
  <c r="L28" i="48" s="1"/>
  <c r="D764" i="48"/>
  <c r="D765" i="48"/>
  <c r="D766" i="48"/>
  <c r="D767" i="48"/>
  <c r="D768" i="48"/>
  <c r="D769" i="48"/>
  <c r="D770" i="48"/>
  <c r="D771" i="48"/>
  <c r="D772" i="48"/>
  <c r="D773" i="48"/>
  <c r="D774" i="48"/>
  <c r="D775" i="48"/>
  <c r="D776" i="48"/>
  <c r="D777" i="48"/>
  <c r="D778" i="48"/>
  <c r="D779" i="48"/>
  <c r="D780" i="48"/>
  <c r="D781" i="48"/>
  <c r="D782" i="48"/>
  <c r="D783" i="48"/>
  <c r="D784" i="48"/>
  <c r="D785" i="48"/>
  <c r="D786" i="48"/>
  <c r="D787" i="48"/>
  <c r="M30" i="48" s="1"/>
  <c r="D788" i="48"/>
  <c r="D789" i="48"/>
  <c r="D790" i="48"/>
  <c r="D791" i="48"/>
  <c r="D792" i="48"/>
  <c r="D793" i="48"/>
  <c r="D794" i="48"/>
  <c r="D795" i="48"/>
  <c r="D796" i="48"/>
  <c r="D797" i="48"/>
  <c r="D798" i="48"/>
  <c r="D799" i="48"/>
  <c r="D800" i="48"/>
  <c r="D801" i="48"/>
  <c r="D802" i="48"/>
  <c r="D803" i="48"/>
  <c r="D804" i="48"/>
  <c r="D805" i="48"/>
  <c r="D806" i="48"/>
  <c r="D807" i="48"/>
  <c r="D808" i="48"/>
  <c r="D809" i="48"/>
  <c r="D810" i="48"/>
  <c r="D811" i="48"/>
  <c r="D812" i="48"/>
  <c r="D813" i="48"/>
  <c r="D814" i="48"/>
  <c r="D815" i="48"/>
  <c r="D816" i="48"/>
  <c r="D817" i="48"/>
  <c r="D818" i="48"/>
  <c r="D819" i="48"/>
  <c r="D820" i="48"/>
  <c r="D821" i="48"/>
  <c r="D822" i="48"/>
  <c r="D823" i="48"/>
  <c r="D824" i="48"/>
  <c r="D825" i="48"/>
  <c r="D826" i="48"/>
  <c r="D827" i="48"/>
  <c r="D828" i="48"/>
  <c r="D829" i="48"/>
  <c r="D830" i="48"/>
  <c r="D831" i="48"/>
  <c r="D832" i="48"/>
  <c r="D833" i="48"/>
  <c r="D834" i="48"/>
  <c r="D835" i="48"/>
  <c r="D836" i="48"/>
  <c r="D837" i="48"/>
  <c r="D838" i="48"/>
  <c r="D839" i="48"/>
  <c r="D840" i="48"/>
  <c r="D841" i="48"/>
  <c r="D842" i="48"/>
  <c r="D843" i="48"/>
  <c r="D844" i="48"/>
  <c r="D845" i="48"/>
  <c r="D846" i="48"/>
  <c r="D847" i="48"/>
  <c r="D848" i="48"/>
  <c r="D849" i="48"/>
  <c r="D850" i="48"/>
  <c r="D851" i="48"/>
  <c r="D852" i="48"/>
  <c r="D853" i="48"/>
  <c r="D854" i="48"/>
  <c r="D855" i="48"/>
  <c r="D856" i="48"/>
  <c r="D857" i="48"/>
  <c r="D858" i="48"/>
  <c r="D859" i="48"/>
  <c r="D860" i="48"/>
  <c r="D861" i="48"/>
  <c r="D862" i="48"/>
  <c r="D863" i="48"/>
  <c r="D864" i="48"/>
  <c r="D865" i="48"/>
  <c r="D866" i="48"/>
  <c r="D867" i="48"/>
  <c r="D868" i="48"/>
  <c r="D869" i="48"/>
  <c r="D870" i="48"/>
  <c r="D871" i="48"/>
  <c r="D872" i="48"/>
  <c r="D873" i="48"/>
  <c r="D874" i="48"/>
  <c r="D875" i="48"/>
  <c r="D876" i="48"/>
  <c r="D877" i="48"/>
  <c r="D878" i="48"/>
  <c r="D879" i="48"/>
  <c r="D880" i="48"/>
  <c r="D881" i="48"/>
  <c r="D882" i="48"/>
  <c r="D883" i="48"/>
  <c r="D884" i="48"/>
  <c r="D885" i="48"/>
  <c r="D886" i="48"/>
  <c r="D887" i="48"/>
  <c r="D888" i="48"/>
  <c r="D889" i="48"/>
  <c r="D890" i="48"/>
  <c r="D891" i="48"/>
  <c r="D892" i="48"/>
  <c r="D893" i="48"/>
  <c r="D894" i="48"/>
  <c r="D895" i="48"/>
  <c r="D896" i="48"/>
  <c r="D897" i="48"/>
  <c r="D898" i="48"/>
  <c r="D899" i="48"/>
  <c r="D900" i="48"/>
  <c r="D901" i="48"/>
  <c r="D902" i="48"/>
  <c r="D903" i="48"/>
  <c r="D301" i="48"/>
  <c r="D302" i="48"/>
  <c r="D303" i="48"/>
  <c r="D304" i="48"/>
  <c r="D305" i="48"/>
  <c r="D306" i="48"/>
  <c r="D307" i="48"/>
  <c r="D308" i="48"/>
  <c r="D309" i="48"/>
  <c r="D310" i="48"/>
  <c r="D311" i="48"/>
  <c r="D312" i="48"/>
  <c r="D313" i="48"/>
  <c r="D314" i="48"/>
  <c r="D315" i="48"/>
  <c r="D316" i="48"/>
  <c r="D317" i="48"/>
  <c r="D318" i="48"/>
  <c r="D319" i="48"/>
  <c r="D320" i="48"/>
  <c r="D321" i="48"/>
  <c r="D322" i="48"/>
  <c r="D323" i="48"/>
  <c r="D324" i="48"/>
  <c r="D325" i="48"/>
  <c r="D326" i="48"/>
  <c r="D327" i="48"/>
  <c r="D328" i="48"/>
  <c r="D329" i="48"/>
  <c r="D330" i="48"/>
  <c r="D331" i="48"/>
  <c r="D332" i="48"/>
  <c r="D333" i="48"/>
  <c r="D334" i="48"/>
  <c r="D335" i="48"/>
  <c r="D336" i="48"/>
  <c r="D337" i="48"/>
  <c r="D338" i="48"/>
  <c r="D339" i="48"/>
  <c r="D340" i="48"/>
  <c r="D341" i="48"/>
  <c r="D342" i="48"/>
  <c r="D343" i="48"/>
  <c r="D344" i="48"/>
  <c r="D345" i="48"/>
  <c r="D346" i="48"/>
  <c r="D347" i="48"/>
  <c r="D348" i="48"/>
  <c r="D349" i="48"/>
  <c r="D350" i="48"/>
  <c r="D351" i="48"/>
  <c r="D352" i="48"/>
  <c r="D353" i="48"/>
  <c r="D354" i="48"/>
  <c r="D355" i="48"/>
  <c r="D356" i="48"/>
  <c r="D357" i="48"/>
  <c r="D358" i="48"/>
  <c r="D359" i="48"/>
  <c r="D360" i="48"/>
  <c r="D361" i="48"/>
  <c r="D362" i="48"/>
  <c r="D363" i="48"/>
  <c r="D364" i="48"/>
  <c r="D365" i="48"/>
  <c r="D366" i="48"/>
  <c r="D367" i="48"/>
  <c r="D368" i="48"/>
  <c r="D369" i="48"/>
  <c r="D370" i="48"/>
  <c r="D371" i="48"/>
  <c r="D372" i="48"/>
  <c r="D373" i="48"/>
  <c r="D374" i="48"/>
  <c r="D375" i="48"/>
  <c r="D376" i="48"/>
  <c r="D377" i="48"/>
  <c r="D378" i="48"/>
  <c r="D379" i="48"/>
  <c r="D380" i="48"/>
  <c r="D381" i="48"/>
  <c r="D382" i="48"/>
  <c r="D383" i="48"/>
  <c r="D384" i="48"/>
  <c r="D385" i="48"/>
  <c r="D386" i="48"/>
  <c r="D387" i="48"/>
  <c r="D388" i="48"/>
  <c r="D389" i="48"/>
  <c r="D390" i="48"/>
  <c r="D391" i="48"/>
  <c r="D392" i="48"/>
  <c r="D393" i="48"/>
  <c r="D394" i="48"/>
  <c r="D395" i="48"/>
  <c r="D396" i="48"/>
  <c r="D397" i="48"/>
  <c r="D398" i="48"/>
  <c r="D399" i="48"/>
  <c r="D400" i="48"/>
  <c r="D401" i="48"/>
  <c r="D402" i="48"/>
  <c r="D403" i="48"/>
  <c r="D404" i="48"/>
  <c r="D405" i="48"/>
  <c r="D406" i="48"/>
  <c r="D407" i="48"/>
  <c r="D408" i="48"/>
  <c r="D409" i="48"/>
  <c r="D410" i="48"/>
  <c r="D411" i="48"/>
  <c r="D412" i="48"/>
  <c r="D413" i="48"/>
  <c r="D414" i="48"/>
  <c r="D415" i="48"/>
  <c r="D416" i="48"/>
  <c r="D417" i="48"/>
  <c r="D418" i="48"/>
  <c r="D419" i="48"/>
  <c r="D420" i="48"/>
  <c r="D421" i="48"/>
  <c r="D422" i="48"/>
  <c r="D423" i="48"/>
  <c r="D424" i="48"/>
  <c r="D425" i="48"/>
  <c r="D426" i="48"/>
  <c r="D427" i="48"/>
  <c r="D428" i="48"/>
  <c r="D429" i="48"/>
  <c r="D430" i="48"/>
  <c r="D431" i="48"/>
  <c r="D432" i="48"/>
  <c r="D433" i="48"/>
  <c r="D434" i="48"/>
  <c r="D435" i="48"/>
  <c r="D436" i="48"/>
  <c r="D437" i="48"/>
  <c r="D438" i="48"/>
  <c r="D439" i="48"/>
  <c r="D440" i="48"/>
  <c r="D441" i="48"/>
  <c r="D442" i="48"/>
  <c r="D443" i="48"/>
  <c r="D444" i="48"/>
  <c r="D445" i="48"/>
  <c r="D446" i="48"/>
  <c r="D447" i="48"/>
  <c r="D448" i="48"/>
  <c r="D449" i="48"/>
  <c r="D450" i="48"/>
  <c r="D451" i="48"/>
  <c r="D452" i="48"/>
  <c r="D453" i="48"/>
  <c r="D454" i="48"/>
  <c r="D455" i="48"/>
  <c r="D456" i="48"/>
  <c r="D457" i="48"/>
  <c r="D458" i="48"/>
  <c r="D459" i="48"/>
  <c r="D460" i="48"/>
  <c r="D461" i="48"/>
  <c r="D462" i="48"/>
  <c r="D463" i="48"/>
  <c r="D464" i="48"/>
  <c r="D465" i="48"/>
  <c r="D466" i="48"/>
  <c r="D467" i="48"/>
  <c r="D468" i="48"/>
  <c r="D469" i="48"/>
  <c r="D470" i="48"/>
  <c r="D471" i="48"/>
  <c r="D472" i="48"/>
  <c r="D473" i="48"/>
  <c r="D474" i="48"/>
  <c r="D475" i="48"/>
  <c r="D476" i="48"/>
  <c r="D477" i="48"/>
  <c r="D478" i="48"/>
  <c r="D479" i="48"/>
  <c r="D480" i="48"/>
  <c r="D481" i="48"/>
  <c r="D482" i="48"/>
  <c r="D483" i="48"/>
  <c r="D484" i="48"/>
  <c r="D485" i="48"/>
  <c r="D486" i="48"/>
  <c r="D487" i="48"/>
  <c r="D488" i="48"/>
  <c r="D489" i="48"/>
  <c r="D490" i="48"/>
  <c r="D491" i="48"/>
  <c r="D492" i="48"/>
  <c r="D493" i="48"/>
  <c r="D494" i="48"/>
  <c r="D495" i="48"/>
  <c r="D496" i="48"/>
  <c r="D497" i="48"/>
  <c r="D498" i="48"/>
  <c r="D499" i="48"/>
  <c r="D500" i="48"/>
  <c r="D501" i="48"/>
  <c r="D502" i="48"/>
  <c r="D503" i="48"/>
  <c r="D504" i="48"/>
  <c r="D505" i="48"/>
  <c r="D506" i="48"/>
  <c r="D507" i="48"/>
  <c r="D508" i="48"/>
  <c r="D509" i="48"/>
  <c r="D510" i="48"/>
  <c r="D511" i="48"/>
  <c r="D512" i="48"/>
  <c r="D513" i="48"/>
  <c r="D514" i="48"/>
  <c r="D515" i="48"/>
  <c r="D516" i="48"/>
  <c r="D517" i="48"/>
  <c r="D518" i="48"/>
  <c r="D519" i="48"/>
  <c r="D520" i="48"/>
  <c r="D521" i="48"/>
  <c r="D522" i="48"/>
  <c r="D523" i="48"/>
  <c r="D524" i="48"/>
  <c r="D525" i="48"/>
  <c r="D526" i="48"/>
  <c r="D527" i="48"/>
  <c r="D528" i="48"/>
  <c r="D529" i="48"/>
  <c r="D530" i="48"/>
  <c r="D531" i="48"/>
  <c r="D532" i="48"/>
  <c r="D533" i="48"/>
  <c r="D534" i="48"/>
  <c r="D535" i="48"/>
  <c r="D536" i="48"/>
  <c r="D537" i="48"/>
  <c r="D538" i="48"/>
  <c r="D539" i="48"/>
  <c r="D540" i="48"/>
  <c r="D541" i="48"/>
  <c r="D542" i="48"/>
  <c r="D543" i="48"/>
  <c r="D544" i="48"/>
  <c r="D545" i="48"/>
  <c r="D546" i="48"/>
  <c r="D547" i="48"/>
  <c r="D548" i="48"/>
  <c r="D549" i="48"/>
  <c r="D550" i="48"/>
  <c r="D551" i="48"/>
  <c r="D552" i="48"/>
  <c r="D553" i="48"/>
  <c r="D554" i="48"/>
  <c r="D555" i="48"/>
  <c r="D556" i="48"/>
  <c r="D557" i="48"/>
  <c r="D558" i="48"/>
  <c r="D559" i="48"/>
  <c r="D560" i="48"/>
  <c r="D561" i="48"/>
  <c r="D562" i="48"/>
  <c r="D563" i="48"/>
  <c r="D564" i="48"/>
  <c r="D565" i="48"/>
  <c r="D566" i="48"/>
  <c r="D567" i="48"/>
  <c r="D568" i="48"/>
  <c r="D569" i="48"/>
  <c r="D570" i="48"/>
  <c r="D571" i="48"/>
  <c r="D572" i="48"/>
  <c r="D573" i="48"/>
  <c r="D574" i="48"/>
  <c r="D575" i="48"/>
  <c r="D576" i="48"/>
  <c r="D577" i="48"/>
  <c r="D578" i="48"/>
  <c r="D579" i="48"/>
  <c r="D580" i="48"/>
  <c r="D581" i="48"/>
  <c r="D582" i="48"/>
  <c r="D583" i="48"/>
  <c r="D584" i="48"/>
  <c r="D585" i="48"/>
  <c r="D586" i="48"/>
  <c r="D587" i="48"/>
  <c r="D588" i="48"/>
  <c r="D2" i="48"/>
  <c r="K170" i="29"/>
  <c r="K90" i="29"/>
  <c r="K122" i="29"/>
  <c r="K114" i="29"/>
  <c r="K102" i="29"/>
  <c r="K58" i="29"/>
  <c r="K196" i="29"/>
  <c r="K115" i="29"/>
  <c r="K91" i="29"/>
  <c r="K147" i="29"/>
  <c r="K9" i="29"/>
  <c r="K61" i="29"/>
  <c r="K168" i="29"/>
  <c r="K65" i="29"/>
  <c r="K169" i="29"/>
  <c r="K53" i="29"/>
  <c r="K66" i="29"/>
  <c r="K67" i="29"/>
  <c r="K5" i="29"/>
  <c r="K4" i="29"/>
  <c r="K55" i="29"/>
  <c r="K68" i="29"/>
  <c r="K171" i="29"/>
  <c r="K69" i="29"/>
  <c r="K158" i="29"/>
  <c r="K144" i="29"/>
  <c r="K151" i="29"/>
  <c r="K153" i="29"/>
  <c r="K23" i="29"/>
  <c r="K162" i="29"/>
  <c r="K38" i="29"/>
  <c r="K70" i="29"/>
  <c r="K172" i="29"/>
  <c r="K154" i="29"/>
  <c r="K166" i="29"/>
  <c r="K138" i="29"/>
  <c r="K15" i="29"/>
  <c r="K173" i="29"/>
  <c r="K71" i="29"/>
  <c r="K73" i="29"/>
  <c r="K31" i="29"/>
  <c r="K74" i="29"/>
  <c r="K75" i="29"/>
  <c r="K60" i="29"/>
  <c r="K76" i="29"/>
  <c r="K77" i="29"/>
  <c r="K63" i="29"/>
  <c r="K78" i="29"/>
  <c r="K21" i="29"/>
  <c r="K30" i="29"/>
  <c r="K40" i="29"/>
  <c r="K79" i="29"/>
  <c r="K174" i="29"/>
  <c r="K36" i="29"/>
  <c r="K175" i="29"/>
  <c r="K28" i="29"/>
  <c r="K152" i="29"/>
  <c r="K80" i="29"/>
  <c r="K57" i="29"/>
  <c r="K44" i="29"/>
  <c r="K165" i="29"/>
  <c r="K64" i="29"/>
  <c r="K167" i="29"/>
  <c r="K81" i="29"/>
  <c r="K11" i="29"/>
  <c r="K54" i="29"/>
  <c r="K139" i="29"/>
  <c r="K141" i="29"/>
  <c r="K82" i="29"/>
  <c r="K34" i="29"/>
  <c r="K83" i="29"/>
  <c r="K84" i="29"/>
  <c r="K25" i="29"/>
  <c r="K85" i="29"/>
  <c r="K41" i="29"/>
  <c r="K176" i="29"/>
  <c r="K86" i="29"/>
  <c r="K177" i="29"/>
  <c r="K14" i="29"/>
  <c r="K178" i="29"/>
  <c r="K37" i="29"/>
  <c r="K47" i="29"/>
  <c r="K87" i="29"/>
  <c r="K163" i="29"/>
  <c r="K88" i="29"/>
  <c r="K42" i="29"/>
  <c r="K89" i="29"/>
  <c r="K179" i="29"/>
  <c r="K180" i="29"/>
  <c r="K92" i="29"/>
  <c r="K24" i="29"/>
  <c r="K8" i="29"/>
  <c r="K93" i="29"/>
  <c r="K94" i="29"/>
  <c r="K181" i="29"/>
  <c r="K95" i="29"/>
  <c r="K48" i="29"/>
  <c r="K16" i="29"/>
  <c r="K52" i="29"/>
  <c r="K96" i="29"/>
  <c r="K97" i="29"/>
  <c r="K182" i="29"/>
  <c r="K33" i="29"/>
  <c r="K183" i="29"/>
  <c r="K98" i="29"/>
  <c r="K99" i="29"/>
  <c r="K100" i="29"/>
  <c r="K161" i="29"/>
  <c r="K184" i="29"/>
  <c r="K22" i="29"/>
  <c r="K101" i="29"/>
  <c r="K185" i="29"/>
  <c r="K6" i="29"/>
  <c r="K148" i="29"/>
  <c r="K103" i="29"/>
  <c r="K104" i="29"/>
  <c r="K50" i="29"/>
  <c r="K186" i="29"/>
  <c r="K105" i="29"/>
  <c r="K187" i="29"/>
  <c r="K188" i="29"/>
  <c r="K189" i="29"/>
  <c r="K17" i="29"/>
  <c r="K106" i="29"/>
  <c r="K51" i="29"/>
  <c r="K107" i="29"/>
  <c r="K191" i="29"/>
  <c r="K157" i="29"/>
  <c r="K108" i="29"/>
  <c r="K109" i="29"/>
  <c r="K110" i="29"/>
  <c r="K111" i="29"/>
  <c r="K112" i="29"/>
  <c r="K113" i="29"/>
  <c r="K192" i="29"/>
  <c r="K193" i="29"/>
  <c r="K155" i="29"/>
  <c r="K194" i="29"/>
  <c r="K116" i="29"/>
  <c r="K195" i="29"/>
  <c r="K145" i="29"/>
  <c r="K156" i="29"/>
  <c r="K43" i="29"/>
  <c r="K117" i="29"/>
  <c r="K118" i="29"/>
  <c r="K119" i="29"/>
  <c r="K13" i="29"/>
  <c r="K120" i="29"/>
  <c r="K12" i="29"/>
  <c r="K39" i="29"/>
  <c r="K59" i="29"/>
  <c r="K142" i="29"/>
  <c r="K27" i="29"/>
  <c r="K46" i="29"/>
  <c r="K26" i="29"/>
  <c r="K19" i="29"/>
  <c r="K121" i="29"/>
  <c r="K123" i="29"/>
  <c r="K124" i="29"/>
  <c r="K125" i="29"/>
  <c r="K197" i="29"/>
  <c r="K150" i="29"/>
  <c r="K198" i="29"/>
  <c r="K143" i="29"/>
  <c r="K199" i="29"/>
  <c r="K140" i="29"/>
  <c r="K62" i="29"/>
  <c r="K35" i="29"/>
  <c r="K126" i="29"/>
  <c r="K127" i="29"/>
  <c r="K128" i="29"/>
  <c r="K7" i="29"/>
  <c r="K32" i="29"/>
  <c r="K164" i="29"/>
  <c r="K56" i="29"/>
  <c r="K29" i="29"/>
  <c r="K129" i="29"/>
  <c r="K130" i="29"/>
  <c r="K45" i="29"/>
  <c r="K200" i="29"/>
  <c r="K201" i="29"/>
  <c r="K202" i="29"/>
  <c r="K203" i="29"/>
  <c r="K204" i="29"/>
  <c r="K131" i="29"/>
  <c r="K132" i="29"/>
  <c r="K133" i="29"/>
  <c r="K205" i="29"/>
  <c r="K149" i="29"/>
  <c r="K18" i="29"/>
  <c r="K134" i="29"/>
  <c r="K206" i="29"/>
  <c r="K160" i="29"/>
  <c r="K49" i="29"/>
  <c r="K10" i="29"/>
  <c r="K135" i="29"/>
  <c r="K146" i="29"/>
  <c r="K136" i="29"/>
  <c r="K159" i="29"/>
  <c r="K207" i="29"/>
  <c r="K137" i="29"/>
  <c r="K20" i="29"/>
  <c r="K190" i="29"/>
  <c r="K72" i="29"/>
  <c r="P6" i="48"/>
  <c r="O6" i="48"/>
  <c r="M6" i="48"/>
  <c r="L6" i="48"/>
  <c r="E4" i="52" l="1"/>
  <c r="F47" i="52"/>
  <c r="M47" i="52" s="1"/>
  <c r="O34" i="48"/>
  <c r="O37" i="48"/>
  <c r="P22" i="48"/>
  <c r="O13" i="48"/>
  <c r="L37" i="48"/>
  <c r="L22" i="48"/>
  <c r="M12" i="48"/>
  <c r="M21" i="48"/>
  <c r="M36" i="48"/>
  <c r="L24" i="48"/>
  <c r="M8" i="48"/>
  <c r="P38" i="48"/>
  <c r="P33" i="48"/>
  <c r="O29" i="48"/>
  <c r="L27" i="48"/>
  <c r="M22" i="48"/>
  <c r="O20" i="48"/>
  <c r="O19" i="48"/>
  <c r="O15" i="48"/>
  <c r="L14" i="48"/>
  <c r="L33" i="48"/>
  <c r="M29" i="48"/>
  <c r="P24" i="48"/>
  <c r="P21" i="48"/>
  <c r="M20" i="48"/>
  <c r="M28" i="48"/>
  <c r="E26" i="52" s="1"/>
  <c r="M19" i="48"/>
  <c r="O39" i="48"/>
  <c r="M39" i="48"/>
  <c r="O26" i="48"/>
  <c r="O25" i="48"/>
  <c r="P23" i="48"/>
  <c r="L10" i="48"/>
  <c r="P11" i="48"/>
  <c r="O9" i="48"/>
  <c r="L26" i="48"/>
  <c r="L25" i="48"/>
  <c r="L23" i="48"/>
  <c r="L16" i="48"/>
  <c r="M11" i="48"/>
  <c r="M9" i="48"/>
  <c r="O7" i="48"/>
  <c r="O38" i="48"/>
  <c r="O36" i="48"/>
  <c r="O24" i="48"/>
  <c r="O17" i="48"/>
  <c r="P30" i="48"/>
  <c r="L21" i="48"/>
  <c r="E19" i="52" s="1"/>
  <c r="O10" i="48"/>
  <c r="O8" i="48"/>
  <c r="L7" i="48"/>
  <c r="L38" i="48"/>
  <c r="L36" i="48"/>
  <c r="P34" i="48"/>
  <c r="L31" i="48"/>
  <c r="M27" i="48"/>
  <c r="M26" i="48"/>
  <c r="O5" i="48"/>
  <c r="L13" i="48"/>
  <c r="P28" i="48"/>
  <c r="L20" i="48"/>
  <c r="M10" i="48"/>
  <c r="L34" i="48"/>
  <c r="P31" i="48"/>
  <c r="O18" i="48"/>
  <c r="P10" i="48"/>
  <c r="O27" i="48"/>
  <c r="L12" i="48"/>
  <c r="E10" i="52" s="1"/>
  <c r="L8" i="48"/>
  <c r="L35" i="48"/>
  <c r="P32" i="48"/>
  <c r="M38" i="48"/>
  <c r="M32" i="48"/>
  <c r="M31" i="48"/>
  <c r="P20" i="48"/>
  <c r="L30" i="48"/>
  <c r="E28" i="52" s="1"/>
  <c r="L15" i="48"/>
  <c r="O12" i="48"/>
  <c r="M16" i="48"/>
  <c r="P4" i="48"/>
  <c r="O16" i="48"/>
  <c r="P16" i="48"/>
  <c r="O4" i="48"/>
  <c r="L32" i="48"/>
  <c r="P13" i="48"/>
  <c r="O35" i="48"/>
  <c r="M18" i="48"/>
  <c r="L17" i="48"/>
  <c r="L5" i="48"/>
  <c r="P12" i="48"/>
  <c r="P8" i="48"/>
  <c r="L18" i="48"/>
  <c r="P14" i="48"/>
  <c r="O14" i="48"/>
  <c r="L11" i="48"/>
  <c r="M37" i="48"/>
  <c r="M17" i="48"/>
  <c r="M7" i="48"/>
  <c r="O33" i="48"/>
  <c r="O23" i="48"/>
  <c r="P39" i="48"/>
  <c r="P29" i="48"/>
  <c r="P19" i="48"/>
  <c r="P9" i="48"/>
  <c r="L39" i="48"/>
  <c r="L29" i="48"/>
  <c r="L19" i="48"/>
  <c r="E17" i="52" s="1"/>
  <c r="L9" i="48"/>
  <c r="M35" i="48"/>
  <c r="M25" i="48"/>
  <c r="M15" i="48"/>
  <c r="M5" i="48"/>
  <c r="O31" i="48"/>
  <c r="O21" i="48"/>
  <c r="O11" i="48"/>
  <c r="P37" i="48"/>
  <c r="P27" i="48"/>
  <c r="P17" i="48"/>
  <c r="P7" i="48"/>
  <c r="P18" i="48"/>
  <c r="M34" i="48"/>
  <c r="M24" i="48"/>
  <c r="M14" i="48"/>
  <c r="P36" i="48"/>
  <c r="P26" i="48"/>
  <c r="M33" i="48"/>
  <c r="M23" i="48"/>
  <c r="M13" i="48"/>
  <c r="P35" i="48"/>
  <c r="P25" i="48"/>
  <c r="P15" i="48"/>
  <c r="P5" i="48"/>
  <c r="O22" i="48"/>
  <c r="O32" i="48"/>
  <c r="E9" i="52" l="1"/>
  <c r="E6" i="52"/>
  <c r="E16" i="52"/>
  <c r="E3" i="52"/>
  <c r="E13" i="52"/>
  <c r="E18" i="52"/>
  <c r="E34" i="52"/>
  <c r="E23" i="52"/>
  <c r="E31" i="52"/>
  <c r="E35" i="52"/>
  <c r="E7" i="52"/>
  <c r="E30" i="52"/>
  <c r="E36" i="52"/>
  <c r="E24" i="52"/>
  <c r="E12" i="52"/>
  <c r="E11" i="52"/>
  <c r="E5" i="52"/>
  <c r="E27" i="52"/>
  <c r="E22" i="52"/>
  <c r="E8" i="52"/>
  <c r="E37" i="52"/>
  <c r="E15" i="52"/>
  <c r="E32" i="52"/>
  <c r="E29" i="52"/>
  <c r="E14" i="52"/>
  <c r="E25" i="52"/>
  <c r="E33" i="52"/>
  <c r="E21" i="52"/>
  <c r="E20" i="52"/>
  <c r="P40" i="48"/>
  <c r="C14" i="2" s="1"/>
  <c r="O40" i="48"/>
  <c r="C13" i="2" s="1"/>
  <c r="G25" i="2" l="1"/>
  <c r="H25" i="2" s="1"/>
  <c r="G26" i="2"/>
  <c r="H26" i="2" s="1"/>
  <c r="D14" i="2" l="1"/>
  <c r="D13" i="2"/>
  <c r="E14" i="2" l="1"/>
  <c r="F14" i="2" s="1"/>
  <c r="E13" i="2"/>
  <c r="F13" i="2" s="1"/>
  <c r="F20" i="2" l="1"/>
  <c r="E43" i="2" s="1"/>
  <c r="G20" i="2"/>
  <c r="F43" i="2" s="1"/>
  <c r="F32" i="2"/>
  <c r="F19" i="2"/>
  <c r="E33" i="2" s="1"/>
  <c r="E32" i="2"/>
  <c r="G19" i="2"/>
  <c r="F33" i="2" s="1"/>
  <c r="G14" i="2"/>
  <c r="G13" i="2"/>
  <c r="D19" i="2" l="1"/>
  <c r="C33" i="2" s="1"/>
  <c r="C32" i="2"/>
  <c r="C42" i="2" s="1"/>
  <c r="E19" i="2"/>
  <c r="D33" i="2" s="1"/>
  <c r="D20" i="2"/>
  <c r="C43" i="2" s="1"/>
  <c r="D32" i="2"/>
  <c r="D42" i="2" s="1"/>
  <c r="E20" i="2"/>
  <c r="D43" i="2" s="1"/>
  <c r="F41" i="2"/>
  <c r="F31" i="2"/>
  <c r="F34" i="2" s="1"/>
  <c r="E31" i="2"/>
  <c r="E34" i="2" s="1"/>
  <c r="E41" i="2"/>
  <c r="E42" i="2"/>
  <c r="F42" i="2"/>
  <c r="B45" i="2"/>
  <c r="B35" i="2"/>
  <c r="G23" i="2"/>
  <c r="H23" i="2" s="1"/>
  <c r="C6" i="8"/>
  <c r="G24" i="2"/>
  <c r="H24" i="2" s="1"/>
  <c r="E11" i="2"/>
  <c r="F11" i="2" s="1"/>
  <c r="E10" i="2"/>
  <c r="F10" i="2" s="1"/>
  <c r="E35" i="2" l="1"/>
  <c r="E36" i="2" s="1"/>
  <c r="F35" i="2"/>
  <c r="F36" i="2" s="1"/>
  <c r="F44" i="2"/>
  <c r="E44" i="2"/>
  <c r="C15" i="2"/>
  <c r="D15" i="2" s="1"/>
  <c r="E30" i="2" l="1"/>
  <c r="E25" i="2" s="1"/>
  <c r="F30" i="2"/>
  <c r="E26" i="2" s="1"/>
  <c r="E45" i="2"/>
  <c r="E46" i="2" s="1"/>
  <c r="F45" i="2"/>
  <c r="F46" i="2" s="1"/>
  <c r="G15" i="2"/>
  <c r="F40" i="2" l="1"/>
  <c r="F26" i="2" s="1"/>
  <c r="D26" i="2" s="1"/>
  <c r="E40" i="2"/>
  <c r="F25" i="2" s="1"/>
  <c r="D25" i="2" s="1"/>
  <c r="I811" i="48" l="1"/>
  <c r="I832" i="48"/>
  <c r="I812" i="48"/>
  <c r="I880" i="48"/>
  <c r="I780" i="48"/>
  <c r="I839" i="48"/>
  <c r="I818" i="48"/>
  <c r="I877" i="48"/>
  <c r="I777" i="48"/>
  <c r="I901" i="48"/>
  <c r="I801" i="48"/>
  <c r="I870" i="48"/>
  <c r="Q37" i="48" s="1"/>
  <c r="I829" i="48"/>
  <c r="I808" i="48"/>
  <c r="I867" i="48"/>
  <c r="I816" i="48"/>
  <c r="I875" i="48"/>
  <c r="I775" i="48"/>
  <c r="I884" i="48"/>
  <c r="I784" i="48"/>
  <c r="I891" i="48"/>
  <c r="I791" i="48"/>
  <c r="I860" i="48"/>
  <c r="I819" i="48"/>
  <c r="I898" i="48"/>
  <c r="I798" i="48"/>
  <c r="I857" i="48"/>
  <c r="I881" i="48"/>
  <c r="I781" i="48"/>
  <c r="I872" i="48"/>
  <c r="I850" i="48"/>
  <c r="I809" i="48"/>
  <c r="I888" i="48"/>
  <c r="I788" i="48"/>
  <c r="I847" i="48"/>
  <c r="I896" i="48"/>
  <c r="I796" i="48"/>
  <c r="I855" i="48"/>
  <c r="I864" i="48"/>
  <c r="I871" i="48"/>
  <c r="I792" i="48"/>
  <c r="I840" i="48"/>
  <c r="I899" i="48"/>
  <c r="I799" i="48"/>
  <c r="I861" i="48"/>
  <c r="I882" i="48"/>
  <c r="I830" i="48"/>
  <c r="I889" i="48"/>
  <c r="I789" i="48"/>
  <c r="I868" i="48"/>
  <c r="I827" i="48"/>
  <c r="I876" i="48"/>
  <c r="I776" i="48"/>
  <c r="I835" i="48"/>
  <c r="I844" i="48"/>
  <c r="I851" i="48"/>
  <c r="I802" i="48"/>
  <c r="I842" i="48"/>
  <c r="I820" i="48"/>
  <c r="I879" i="48"/>
  <c r="I779" i="48"/>
  <c r="I858" i="48"/>
  <c r="I831" i="48"/>
  <c r="I822" i="48"/>
  <c r="I862" i="48"/>
  <c r="I821" i="48"/>
  <c r="I772" i="48"/>
  <c r="I852" i="48"/>
  <c r="I800" i="48"/>
  <c r="I778" i="48"/>
  <c r="I856" i="48"/>
  <c r="I865" i="48"/>
  <c r="I824" i="48"/>
  <c r="I843" i="48"/>
  <c r="I782" i="48"/>
  <c r="I790" i="48"/>
  <c r="I846" i="48"/>
  <c r="I845" i="48"/>
  <c r="I814" i="48"/>
  <c r="I833" i="48"/>
  <c r="I836" i="48"/>
  <c r="I825" i="48"/>
  <c r="I804" i="48"/>
  <c r="I823" i="48"/>
  <c r="I841" i="48"/>
  <c r="I869" i="48"/>
  <c r="I897" i="48"/>
  <c r="I826" i="48"/>
  <c r="I815" i="48"/>
  <c r="I794" i="48"/>
  <c r="I813" i="48"/>
  <c r="I859" i="48"/>
  <c r="I887" i="48"/>
  <c r="I806" i="48"/>
  <c r="I805" i="48"/>
  <c r="I774" i="48"/>
  <c r="I903" i="48"/>
  <c r="I803" i="48"/>
  <c r="I849" i="48"/>
  <c r="I837" i="48"/>
  <c r="I786" i="48"/>
  <c r="I795" i="48"/>
  <c r="I893" i="48"/>
  <c r="I793" i="48"/>
  <c r="I878" i="48"/>
  <c r="I817" i="48"/>
  <c r="I785" i="48"/>
  <c r="I894" i="48"/>
  <c r="I883" i="48"/>
  <c r="I783" i="48"/>
  <c r="I900" i="48"/>
  <c r="I848" i="48"/>
  <c r="I807" i="48"/>
  <c r="I874" i="48"/>
  <c r="I873" i="48"/>
  <c r="I773" i="48"/>
  <c r="I892" i="48"/>
  <c r="I890" i="48"/>
  <c r="I838" i="48"/>
  <c r="I797" i="48"/>
  <c r="I886" i="48"/>
  <c r="I895" i="48"/>
  <c r="I854" i="48"/>
  <c r="I863" i="48"/>
  <c r="I902" i="48"/>
  <c r="I810" i="48"/>
  <c r="I828" i="48"/>
  <c r="I787" i="48"/>
  <c r="Q30" i="48" s="1"/>
  <c r="I866" i="48"/>
  <c r="I885" i="48"/>
  <c r="I834" i="48"/>
  <c r="I853" i="48"/>
  <c r="I633" i="48"/>
  <c r="I408" i="48"/>
  <c r="I308" i="48"/>
  <c r="I711" i="48"/>
  <c r="I209" i="48"/>
  <c r="I642" i="48"/>
  <c r="I280" i="48"/>
  <c r="I418" i="48"/>
  <c r="I568" i="48"/>
  <c r="I566" i="48"/>
  <c r="I290" i="48"/>
  <c r="I170" i="48"/>
  <c r="I673" i="48"/>
  <c r="I562" i="48"/>
  <c r="I469" i="48"/>
  <c r="I124" i="48"/>
  <c r="I24" i="48"/>
  <c r="I133" i="48"/>
  <c r="I33" i="48"/>
  <c r="I477" i="48"/>
  <c r="I377" i="48"/>
  <c r="I278" i="48"/>
  <c r="I178" i="48"/>
  <c r="I611" i="48"/>
  <c r="I92" i="48"/>
  <c r="I536" i="48"/>
  <c r="I436" i="48"/>
  <c r="I336" i="48"/>
  <c r="I739" i="48"/>
  <c r="I237" i="48"/>
  <c r="I670" i="48"/>
  <c r="I151" i="48"/>
  <c r="I51" i="48"/>
  <c r="I515" i="48"/>
  <c r="I415" i="48"/>
  <c r="I315" i="48"/>
  <c r="I718" i="48"/>
  <c r="I216" i="48"/>
  <c r="I649" i="48"/>
  <c r="I130" i="48"/>
  <c r="I30" i="48"/>
  <c r="I574" i="48"/>
  <c r="I474" i="48"/>
  <c r="I374" i="48"/>
  <c r="I275" i="48"/>
  <c r="I175" i="48"/>
  <c r="I608" i="48"/>
  <c r="I89" i="48"/>
  <c r="I398" i="48"/>
  <c r="I299" i="48"/>
  <c r="I199" i="48"/>
  <c r="I632" i="48"/>
  <c r="I210" i="48"/>
  <c r="I587" i="48"/>
  <c r="I732" i="48"/>
  <c r="I518" i="48"/>
  <c r="I556" i="48"/>
  <c r="I220" i="48"/>
  <c r="I579" i="48"/>
  <c r="I552" i="48"/>
  <c r="I752" i="48"/>
  <c r="I389" i="48"/>
  <c r="I114" i="48"/>
  <c r="I14" i="48"/>
  <c r="I123" i="48"/>
  <c r="I23" i="48"/>
  <c r="I467" i="48"/>
  <c r="I367" i="48"/>
  <c r="I770" i="48"/>
  <c r="I268" i="48"/>
  <c r="I701" i="48"/>
  <c r="I601" i="48"/>
  <c r="I82" i="48"/>
  <c r="I526" i="48"/>
  <c r="I426" i="48"/>
  <c r="I326" i="48"/>
  <c r="I729" i="48"/>
  <c r="I227" i="48"/>
  <c r="I660" i="48"/>
  <c r="I141" i="48"/>
  <c r="I41" i="48"/>
  <c r="I505" i="48"/>
  <c r="I405" i="48"/>
  <c r="I305" i="48"/>
  <c r="I708" i="48"/>
  <c r="I206" i="48"/>
  <c r="I639" i="48"/>
  <c r="I120" i="48"/>
  <c r="I20" i="48"/>
  <c r="I564" i="48"/>
  <c r="I464" i="48"/>
  <c r="I364" i="48"/>
  <c r="I767" i="48"/>
  <c r="I265" i="48"/>
  <c r="I698" i="48"/>
  <c r="I598" i="48"/>
  <c r="I79" i="48"/>
  <c r="I513" i="48"/>
  <c r="I413" i="48"/>
  <c r="I313" i="48"/>
  <c r="I716" i="48"/>
  <c r="I214" i="48"/>
  <c r="I647" i="48"/>
  <c r="I128" i="48"/>
  <c r="I28" i="48"/>
  <c r="I472" i="48"/>
  <c r="I372" i="48"/>
  <c r="I273" i="48"/>
  <c r="I173" i="48"/>
  <c r="I606" i="48"/>
  <c r="I87" i="48"/>
  <c r="I581" i="48"/>
  <c r="I481" i="48"/>
  <c r="I381" i="48"/>
  <c r="I282" i="48"/>
  <c r="I182" i="48"/>
  <c r="I615" i="48"/>
  <c r="I96" i="48"/>
  <c r="I388" i="48"/>
  <c r="I289" i="48"/>
  <c r="I189" i="48"/>
  <c r="I693" i="48"/>
  <c r="I577" i="48"/>
  <c r="I250" i="48"/>
  <c r="I438" i="48"/>
  <c r="I653" i="48"/>
  <c r="I519" i="48"/>
  <c r="I569" i="48"/>
  <c r="I270" i="48"/>
  <c r="I329" i="48"/>
  <c r="I623" i="48"/>
  <c r="I104" i="48"/>
  <c r="I4" i="48"/>
  <c r="I113" i="48"/>
  <c r="I13" i="48"/>
  <c r="I457" i="48"/>
  <c r="I357" i="48"/>
  <c r="I760" i="48"/>
  <c r="I258" i="48"/>
  <c r="I691" i="48"/>
  <c r="I591" i="48"/>
  <c r="I72" i="48"/>
  <c r="I516" i="48"/>
  <c r="I416" i="48"/>
  <c r="I316" i="48"/>
  <c r="I719" i="48"/>
  <c r="I217" i="48"/>
  <c r="I650" i="48"/>
  <c r="I131" i="48"/>
  <c r="I31" i="48"/>
  <c r="I495" i="48"/>
  <c r="I395" i="48"/>
  <c r="I296" i="48"/>
  <c r="I196" i="48"/>
  <c r="I629" i="48"/>
  <c r="I110" i="48"/>
  <c r="I10" i="48"/>
  <c r="I554" i="48"/>
  <c r="I454" i="48"/>
  <c r="I354" i="48"/>
  <c r="I757" i="48"/>
  <c r="I255" i="48"/>
  <c r="I688" i="48"/>
  <c r="I169" i="48"/>
  <c r="I378" i="48"/>
  <c r="I279" i="48"/>
  <c r="I179" i="48"/>
  <c r="I539" i="48"/>
  <c r="I567" i="48"/>
  <c r="I643" i="48"/>
  <c r="I2" i="48"/>
  <c r="I419" i="48"/>
  <c r="I479" i="48"/>
  <c r="I200" i="48"/>
  <c r="I613" i="48"/>
  <c r="I94" i="48"/>
  <c r="I622" i="48"/>
  <c r="I103" i="48"/>
  <c r="I3" i="48"/>
  <c r="I447" i="48"/>
  <c r="I347" i="48"/>
  <c r="I750" i="48"/>
  <c r="I248" i="48"/>
  <c r="I681" i="48"/>
  <c r="I162" i="48"/>
  <c r="I62" i="48"/>
  <c r="I506" i="48"/>
  <c r="I406" i="48"/>
  <c r="I306" i="48"/>
  <c r="I709" i="48"/>
  <c r="I207" i="48"/>
  <c r="I640" i="48"/>
  <c r="I121" i="48"/>
  <c r="I21" i="48"/>
  <c r="I585" i="48"/>
  <c r="I485" i="48"/>
  <c r="I385" i="48"/>
  <c r="I286" i="48"/>
  <c r="I186" i="48"/>
  <c r="I619" i="48"/>
  <c r="I100" i="48"/>
  <c r="I544" i="48"/>
  <c r="I444" i="48"/>
  <c r="I344" i="48"/>
  <c r="I747" i="48"/>
  <c r="I245" i="48"/>
  <c r="I678" i="48"/>
  <c r="I159" i="48"/>
  <c r="I59" i="48"/>
  <c r="I493" i="48"/>
  <c r="I393" i="48"/>
  <c r="I294" i="48"/>
  <c r="I194" i="48"/>
  <c r="I627" i="48"/>
  <c r="I108" i="48"/>
  <c r="I8" i="48"/>
  <c r="I452" i="48"/>
  <c r="I352" i="48"/>
  <c r="I755" i="48"/>
  <c r="I253" i="48"/>
  <c r="I686" i="48"/>
  <c r="I167" i="48"/>
  <c r="I67" i="48"/>
  <c r="I561" i="48"/>
  <c r="I461" i="48"/>
  <c r="I361" i="48"/>
  <c r="I764" i="48"/>
  <c r="I368" i="48"/>
  <c r="I771" i="48"/>
  <c r="I269" i="48"/>
  <c r="I702" i="48"/>
  <c r="I499" i="48"/>
  <c r="I557" i="48"/>
  <c r="I529" i="48"/>
  <c r="I339" i="48"/>
  <c r="I379" i="48"/>
  <c r="I548" i="48"/>
  <c r="I683" i="48"/>
  <c r="I558" i="48"/>
  <c r="I603" i="48"/>
  <c r="I84" i="48"/>
  <c r="I612" i="48"/>
  <c r="I93" i="48"/>
  <c r="I537" i="48"/>
  <c r="I437" i="48"/>
  <c r="I337" i="48"/>
  <c r="I740" i="48"/>
  <c r="I238" i="48"/>
  <c r="I671" i="48"/>
  <c r="I152" i="48"/>
  <c r="I52" i="48"/>
  <c r="I496" i="48"/>
  <c r="I396" i="48"/>
  <c r="I297" i="48"/>
  <c r="I197" i="48"/>
  <c r="I630" i="48"/>
  <c r="I111" i="48"/>
  <c r="I11" i="48"/>
  <c r="I575" i="48"/>
  <c r="I475" i="48"/>
  <c r="I375" i="48"/>
  <c r="I358" i="48"/>
  <c r="I761" i="48"/>
  <c r="I259" i="48"/>
  <c r="I692" i="48"/>
  <c r="I429" i="48"/>
  <c r="I578" i="48"/>
  <c r="I547" i="48"/>
  <c r="I509" i="48"/>
  <c r="I309" i="48"/>
  <c r="I712" i="48"/>
  <c r="I508" i="48"/>
  <c r="I593" i="48"/>
  <c r="I74" i="48"/>
  <c r="I602" i="48"/>
  <c r="I83" i="48"/>
  <c r="I527" i="48"/>
  <c r="I427" i="48"/>
  <c r="I327" i="48"/>
  <c r="I730" i="48"/>
  <c r="I228" i="48"/>
  <c r="I661" i="48"/>
  <c r="I142" i="48"/>
  <c r="I42" i="48"/>
  <c r="I486" i="48"/>
  <c r="I386" i="48"/>
  <c r="I287" i="48"/>
  <c r="I187" i="48"/>
  <c r="I620" i="48"/>
  <c r="I101" i="48"/>
  <c r="I565" i="48"/>
  <c r="I465" i="48"/>
  <c r="I365" i="48"/>
  <c r="I768" i="48"/>
  <c r="I266" i="48"/>
  <c r="I699" i="48"/>
  <c r="I599" i="48"/>
  <c r="I80" i="48"/>
  <c r="I524" i="48"/>
  <c r="I424" i="48"/>
  <c r="I324" i="48"/>
  <c r="I727" i="48"/>
  <c r="I225" i="48"/>
  <c r="I658" i="48"/>
  <c r="I139" i="48"/>
  <c r="I39" i="48"/>
  <c r="I573" i="48"/>
  <c r="I473" i="48"/>
  <c r="I373" i="48"/>
  <c r="I274" i="48"/>
  <c r="I174" i="48"/>
  <c r="I607" i="48"/>
  <c r="I88" i="48"/>
  <c r="I532" i="48"/>
  <c r="I432" i="48"/>
  <c r="I332" i="48"/>
  <c r="I735" i="48"/>
  <c r="I233" i="48"/>
  <c r="I666" i="48"/>
  <c r="I147" i="48"/>
  <c r="I47" i="48"/>
  <c r="I541" i="48"/>
  <c r="I441" i="48"/>
  <c r="I341" i="48"/>
  <c r="I744" i="48"/>
  <c r="I242" i="48"/>
  <c r="I675" i="48"/>
  <c r="I156" i="48"/>
  <c r="I56" i="48"/>
  <c r="I439" i="48"/>
  <c r="I538" i="48"/>
  <c r="I348" i="48"/>
  <c r="I751" i="48"/>
  <c r="I249" i="48"/>
  <c r="I682" i="48"/>
  <c r="I369" i="48"/>
  <c r="I528" i="48"/>
  <c r="I559" i="48"/>
  <c r="I449" i="48"/>
  <c r="I489" i="48"/>
  <c r="I588" i="48"/>
  <c r="I230" i="48"/>
  <c r="I428" i="48"/>
  <c r="I164" i="48"/>
  <c r="I64" i="48"/>
  <c r="I592" i="48"/>
  <c r="I73" i="48"/>
  <c r="I517" i="48"/>
  <c r="I417" i="48"/>
  <c r="I317" i="48"/>
  <c r="I720" i="48"/>
  <c r="I218" i="48"/>
  <c r="I651" i="48"/>
  <c r="I132" i="48"/>
  <c r="I32" i="48"/>
  <c r="I476" i="48"/>
  <c r="I376" i="48"/>
  <c r="I277" i="48"/>
  <c r="I177" i="48"/>
  <c r="I610" i="48"/>
  <c r="I91" i="48"/>
  <c r="I555" i="48"/>
  <c r="I455" i="48"/>
  <c r="I355" i="48"/>
  <c r="I300" i="48"/>
  <c r="I458" i="48"/>
  <c r="I328" i="48"/>
  <c r="I731" i="48"/>
  <c r="I229" i="48"/>
  <c r="I662" i="48"/>
  <c r="I478" i="48"/>
  <c r="I399" i="48"/>
  <c r="I586" i="48"/>
  <c r="I180" i="48"/>
  <c r="I448" i="48"/>
  <c r="I318" i="48"/>
  <c r="I721" i="48"/>
  <c r="I219" i="48"/>
  <c r="I652" i="48"/>
  <c r="I762" i="48"/>
  <c r="I468" i="48"/>
  <c r="I319" i="48"/>
  <c r="I576" i="48"/>
  <c r="I498" i="48"/>
  <c r="I190" i="48"/>
  <c r="I663" i="48"/>
  <c r="I134" i="48"/>
  <c r="I507" i="48"/>
  <c r="I621" i="48"/>
  <c r="I366" i="48"/>
  <c r="I257" i="48"/>
  <c r="I61" i="48"/>
  <c r="I445" i="48"/>
  <c r="I176" i="48"/>
  <c r="I90" i="48"/>
  <c r="I534" i="48"/>
  <c r="I334" i="48"/>
  <c r="I737" i="48"/>
  <c r="I668" i="48"/>
  <c r="I69" i="48"/>
  <c r="I543" i="48"/>
  <c r="I403" i="48"/>
  <c r="I726" i="48"/>
  <c r="I697" i="48"/>
  <c r="I148" i="48"/>
  <c r="I542" i="48"/>
  <c r="I402" i="48"/>
  <c r="I715" i="48"/>
  <c r="I183" i="48"/>
  <c r="I137" i="48"/>
  <c r="I7" i="48"/>
  <c r="I511" i="48"/>
  <c r="I371" i="48"/>
  <c r="I292" i="48"/>
  <c r="I695" i="48"/>
  <c r="I146" i="48"/>
  <c r="I26" i="48"/>
  <c r="I540" i="48"/>
  <c r="I440" i="48"/>
  <c r="I340" i="48"/>
  <c r="I743" i="48"/>
  <c r="I241" i="48"/>
  <c r="I674" i="48"/>
  <c r="I155" i="48"/>
  <c r="I55" i="48"/>
  <c r="I488" i="48"/>
  <c r="I459" i="48"/>
  <c r="I54" i="48"/>
  <c r="I497" i="48"/>
  <c r="I122" i="48"/>
  <c r="I356" i="48"/>
  <c r="I247" i="48"/>
  <c r="I435" i="48"/>
  <c r="I758" i="48"/>
  <c r="I689" i="48"/>
  <c r="I70" i="48"/>
  <c r="I514" i="48"/>
  <c r="I314" i="48"/>
  <c r="I717" i="48"/>
  <c r="I648" i="48"/>
  <c r="I49" i="48"/>
  <c r="I533" i="48"/>
  <c r="I383" i="48"/>
  <c r="I706" i="48"/>
  <c r="I687" i="48"/>
  <c r="I138" i="48"/>
  <c r="I522" i="48"/>
  <c r="I392" i="48"/>
  <c r="I705" i="48"/>
  <c r="I696" i="48"/>
  <c r="I127" i="48"/>
  <c r="I501" i="48"/>
  <c r="I351" i="48"/>
  <c r="I272" i="48"/>
  <c r="I685" i="48"/>
  <c r="I136" i="48"/>
  <c r="I16" i="48"/>
  <c r="I530" i="48"/>
  <c r="I430" i="48"/>
  <c r="I330" i="48"/>
  <c r="I733" i="48"/>
  <c r="I231" i="48"/>
  <c r="I664" i="48"/>
  <c r="I145" i="48"/>
  <c r="I45" i="48"/>
  <c r="I338" i="48"/>
  <c r="I722" i="48"/>
  <c r="I582" i="48"/>
  <c r="I44" i="48"/>
  <c r="I487" i="48"/>
  <c r="I710" i="48"/>
  <c r="I112" i="48"/>
  <c r="I346" i="48"/>
  <c r="I700" i="48"/>
  <c r="I425" i="48"/>
  <c r="I748" i="48"/>
  <c r="I679" i="48"/>
  <c r="I60" i="48"/>
  <c r="I504" i="48"/>
  <c r="I304" i="48"/>
  <c r="I707" i="48"/>
  <c r="I638" i="48"/>
  <c r="I29" i="48"/>
  <c r="I523" i="48"/>
  <c r="I363" i="48"/>
  <c r="I284" i="48"/>
  <c r="I677" i="48"/>
  <c r="I118" i="48"/>
  <c r="I512" i="48"/>
  <c r="I382" i="48"/>
  <c r="I293" i="48"/>
  <c r="I676" i="48"/>
  <c r="I117" i="48"/>
  <c r="I491" i="48"/>
  <c r="I331" i="48"/>
  <c r="I262" i="48"/>
  <c r="I665" i="48"/>
  <c r="I126" i="48"/>
  <c r="I6" i="48"/>
  <c r="I520" i="48"/>
  <c r="I420" i="48"/>
  <c r="I320" i="48"/>
  <c r="I723" i="48"/>
  <c r="I221" i="48"/>
  <c r="I654" i="48"/>
  <c r="I135" i="48"/>
  <c r="I35" i="48"/>
  <c r="I240" i="48"/>
  <c r="I572" i="48"/>
  <c r="I34" i="48"/>
  <c r="I407" i="48"/>
  <c r="I298" i="48"/>
  <c r="I102" i="48"/>
  <c r="I690" i="48"/>
  <c r="I345" i="48"/>
  <c r="I738" i="48"/>
  <c r="I669" i="48"/>
  <c r="I50" i="48"/>
  <c r="I494" i="48"/>
  <c r="I295" i="48"/>
  <c r="I628" i="48"/>
  <c r="I19" i="48"/>
  <c r="I503" i="48"/>
  <c r="I353" i="48"/>
  <c r="I264" i="48"/>
  <c r="I667" i="48"/>
  <c r="I98" i="48"/>
  <c r="I502" i="48"/>
  <c r="I362" i="48"/>
  <c r="I283" i="48"/>
  <c r="I656" i="48"/>
  <c r="I107" i="48"/>
  <c r="I471" i="48"/>
  <c r="I321" i="48"/>
  <c r="I252" i="48"/>
  <c r="I655" i="48"/>
  <c r="I116" i="48"/>
  <c r="I510" i="48"/>
  <c r="I410" i="48"/>
  <c r="I310" i="48"/>
  <c r="I713" i="48"/>
  <c r="I211" i="48"/>
  <c r="I644" i="48"/>
  <c r="I125" i="48"/>
  <c r="I25" i="48"/>
  <c r="I741" i="48"/>
  <c r="I359" i="48"/>
  <c r="I163" i="48"/>
  <c r="I397" i="48"/>
  <c r="I288" i="48"/>
  <c r="I22" i="48"/>
  <c r="I680" i="48"/>
  <c r="I335" i="48"/>
  <c r="I728" i="48"/>
  <c r="I659" i="48"/>
  <c r="I40" i="48"/>
  <c r="I484" i="48"/>
  <c r="I285" i="48"/>
  <c r="I618" i="48"/>
  <c r="I9" i="48"/>
  <c r="I483" i="48"/>
  <c r="I343" i="48"/>
  <c r="I254" i="48"/>
  <c r="I657" i="48"/>
  <c r="I78" i="48"/>
  <c r="I492" i="48"/>
  <c r="I342" i="48"/>
  <c r="I263" i="48"/>
  <c r="I646" i="48"/>
  <c r="I97" i="48"/>
  <c r="I451" i="48"/>
  <c r="I311" i="48"/>
  <c r="I232" i="48"/>
  <c r="I645" i="48"/>
  <c r="I106" i="48"/>
  <c r="I500" i="48"/>
  <c r="I400" i="48"/>
  <c r="I703" i="48"/>
  <c r="I201" i="48"/>
  <c r="I634" i="48"/>
  <c r="I115" i="48"/>
  <c r="I15" i="48"/>
  <c r="I239" i="48"/>
  <c r="I153" i="48"/>
  <c r="I387" i="48"/>
  <c r="I208" i="48"/>
  <c r="I12" i="48"/>
  <c r="I600" i="48"/>
  <c r="I325" i="48"/>
  <c r="I276" i="48"/>
  <c r="I609" i="48"/>
  <c r="I434" i="48"/>
  <c r="I235" i="48"/>
  <c r="I149" i="48"/>
  <c r="I463" i="48"/>
  <c r="I333" i="48"/>
  <c r="I244" i="48"/>
  <c r="I637" i="48"/>
  <c r="I68" i="48"/>
  <c r="I482" i="48"/>
  <c r="I322" i="48"/>
  <c r="I243" i="48"/>
  <c r="I636" i="48"/>
  <c r="I77" i="48"/>
  <c r="I431" i="48"/>
  <c r="I301" i="48"/>
  <c r="I754" i="48"/>
  <c r="I222" i="48"/>
  <c r="I635" i="48"/>
  <c r="I86" i="48"/>
  <c r="I490" i="48"/>
  <c r="I390" i="48"/>
  <c r="I291" i="48"/>
  <c r="I191" i="48"/>
  <c r="I624" i="48"/>
  <c r="I105" i="48"/>
  <c r="I5" i="48"/>
  <c r="I672" i="48"/>
  <c r="I143" i="48"/>
  <c r="I307" i="48"/>
  <c r="I198" i="48"/>
  <c r="I546" i="48"/>
  <c r="I769" i="48"/>
  <c r="I590" i="48"/>
  <c r="I256" i="48"/>
  <c r="I589" i="48"/>
  <c r="I414" i="48"/>
  <c r="I215" i="48"/>
  <c r="I129" i="48"/>
  <c r="I453" i="48"/>
  <c r="I323" i="48"/>
  <c r="I766" i="48"/>
  <c r="I234" i="48"/>
  <c r="I617" i="48"/>
  <c r="I58" i="48"/>
  <c r="I462" i="48"/>
  <c r="I312" i="48"/>
  <c r="I223" i="48"/>
  <c r="I626" i="48"/>
  <c r="I57" i="48"/>
  <c r="I571" i="48"/>
  <c r="I421" i="48"/>
  <c r="I734" i="48"/>
  <c r="I212" i="48"/>
  <c r="I625" i="48"/>
  <c r="I76" i="48"/>
  <c r="I580" i="48"/>
  <c r="I480" i="48"/>
  <c r="I380" i="48"/>
  <c r="I281" i="48"/>
  <c r="I181" i="48"/>
  <c r="I614" i="48"/>
  <c r="I95" i="48"/>
  <c r="I409" i="48"/>
  <c r="I63" i="48"/>
  <c r="I188" i="48"/>
  <c r="I466" i="48"/>
  <c r="I759" i="48"/>
  <c r="I161" i="48"/>
  <c r="I545" i="48"/>
  <c r="I246" i="48"/>
  <c r="I160" i="48"/>
  <c r="I404" i="48"/>
  <c r="I205" i="48"/>
  <c r="I119" i="48"/>
  <c r="I583" i="48"/>
  <c r="I443" i="48"/>
  <c r="I303" i="48"/>
  <c r="I756" i="48"/>
  <c r="I224" i="48"/>
  <c r="I597" i="48"/>
  <c r="I48" i="48"/>
  <c r="I442" i="48"/>
  <c r="I302" i="48"/>
  <c r="I765" i="48"/>
  <c r="I213" i="48"/>
  <c r="I616" i="48"/>
  <c r="I37" i="48"/>
  <c r="I551" i="48"/>
  <c r="I411" i="48"/>
  <c r="I724" i="48"/>
  <c r="I202" i="48"/>
  <c r="I605" i="48"/>
  <c r="I66" i="48"/>
  <c r="I570" i="48"/>
  <c r="I470" i="48"/>
  <c r="I370" i="48"/>
  <c r="I271" i="48"/>
  <c r="I171" i="48"/>
  <c r="I604" i="48"/>
  <c r="I85" i="48"/>
  <c r="I742" i="48"/>
  <c r="I349" i="48"/>
  <c r="I154" i="48"/>
  <c r="I53" i="48"/>
  <c r="I641" i="48"/>
  <c r="I456" i="48"/>
  <c r="I749" i="48"/>
  <c r="I81" i="48"/>
  <c r="I535" i="48"/>
  <c r="I236" i="48"/>
  <c r="I150" i="48"/>
  <c r="I394" i="48"/>
  <c r="I195" i="48"/>
  <c r="I109" i="48"/>
  <c r="I563" i="48"/>
  <c r="I433" i="48"/>
  <c r="I746" i="48"/>
  <c r="I204" i="48"/>
  <c r="I168" i="48"/>
  <c r="I38" i="48"/>
  <c r="I422" i="48"/>
  <c r="I745" i="48"/>
  <c r="I203" i="48"/>
  <c r="I596" i="48"/>
  <c r="I27" i="48"/>
  <c r="I531" i="48"/>
  <c r="I401" i="48"/>
  <c r="I714" i="48"/>
  <c r="I192" i="48"/>
  <c r="I595" i="48"/>
  <c r="I46" i="48"/>
  <c r="I560" i="48"/>
  <c r="I460" i="48"/>
  <c r="I360" i="48"/>
  <c r="I763" i="48"/>
  <c r="Q28" i="48" s="1"/>
  <c r="I261" i="48"/>
  <c r="I694" i="48"/>
  <c r="I594" i="48"/>
  <c r="I75" i="48"/>
  <c r="I260" i="48"/>
  <c r="I549" i="48"/>
  <c r="I144" i="48"/>
  <c r="I43" i="48"/>
  <c r="I631" i="48"/>
  <c r="I446" i="48"/>
  <c r="I267" i="48"/>
  <c r="I71" i="48"/>
  <c r="I525" i="48"/>
  <c r="I226" i="48"/>
  <c r="I140" i="48"/>
  <c r="I584" i="48"/>
  <c r="I384" i="48"/>
  <c r="I185" i="48"/>
  <c r="I99" i="48"/>
  <c r="I553" i="48"/>
  <c r="I423" i="48"/>
  <c r="I736" i="48"/>
  <c r="I184" i="48"/>
  <c r="I158" i="48"/>
  <c r="I18" i="48"/>
  <c r="I412" i="48"/>
  <c r="I725" i="48"/>
  <c r="I193" i="48"/>
  <c r="I157" i="48"/>
  <c r="I17" i="48"/>
  <c r="I521" i="48"/>
  <c r="I391" i="48"/>
  <c r="I704" i="48"/>
  <c r="I172" i="48"/>
  <c r="I166" i="48"/>
  <c r="I36" i="48"/>
  <c r="I550" i="48"/>
  <c r="I450" i="48"/>
  <c r="I350" i="48"/>
  <c r="I753" i="48"/>
  <c r="I251" i="48"/>
  <c r="I684" i="48"/>
  <c r="I165" i="48"/>
  <c r="I65" i="48"/>
  <c r="M4" i="48"/>
  <c r="L4" i="48"/>
  <c r="E2" i="52" s="1"/>
  <c r="E38" i="52" s="1"/>
  <c r="Q15" i="48" l="1"/>
  <c r="Q20" i="48"/>
  <c r="Q34" i="48"/>
  <c r="Q38" i="48"/>
  <c r="Q21" i="48"/>
  <c r="Q16" i="48"/>
  <c r="Q9" i="48"/>
  <c r="Q11" i="48"/>
  <c r="Q14" i="48"/>
  <c r="Q35" i="48"/>
  <c r="Q22" i="48"/>
  <c r="Q18" i="48"/>
  <c r="Q12" i="48"/>
  <c r="Q39" i="48"/>
  <c r="Q4" i="48"/>
  <c r="Q13" i="48"/>
  <c r="Q17" i="48"/>
  <c r="Q24" i="48"/>
  <c r="Q25" i="48"/>
  <c r="Q29" i="48"/>
  <c r="Q23" i="48"/>
  <c r="Q10" i="48"/>
  <c r="Q7" i="48"/>
  <c r="Q19" i="48"/>
  <c r="Q33" i="48"/>
  <c r="Q31" i="48"/>
  <c r="Q32" i="48"/>
  <c r="Q5" i="48"/>
  <c r="Q27" i="48"/>
  <c r="Q8" i="48"/>
  <c r="Q26" i="48"/>
  <c r="Q36" i="48"/>
  <c r="M40" i="48"/>
  <c r="C11" i="2" s="1"/>
  <c r="G11" i="2" s="1"/>
  <c r="L40" i="48"/>
  <c r="C10" i="2" s="1"/>
  <c r="G10" i="2" s="1"/>
  <c r="C12" i="2" l="1"/>
  <c r="D12" i="2" s="1"/>
  <c r="C41" i="2"/>
  <c r="C44" i="2" s="1"/>
  <c r="C45" i="2" s="1"/>
  <c r="C31" i="2"/>
  <c r="C34" i="2" s="1"/>
  <c r="C35" i="2" s="1"/>
  <c r="C36" i="2" s="1"/>
  <c r="C30" i="2" s="1"/>
  <c r="E23" i="2" s="1"/>
  <c r="D41" i="2"/>
  <c r="D44" i="2" s="1"/>
  <c r="D45" i="2" s="1"/>
  <c r="D31" i="2"/>
  <c r="D34" i="2" s="1"/>
  <c r="D35" i="2" s="1"/>
  <c r="D36" i="2" s="1"/>
  <c r="D30" i="2" s="1"/>
  <c r="E24" i="2" s="1"/>
  <c r="Q40" i="48"/>
  <c r="G12" i="2" l="1"/>
  <c r="D46" i="2"/>
  <c r="D40" i="2" s="1"/>
  <c r="F24" i="2" s="1"/>
  <c r="D24" i="2" s="1"/>
  <c r="F495" i="48" s="1"/>
  <c r="C46" i="2"/>
  <c r="C40" i="2" s="1"/>
  <c r="F23" i="2" s="1"/>
  <c r="D23" i="2" s="1"/>
  <c r="F403" i="48" l="1"/>
  <c r="F481" i="48"/>
  <c r="F503" i="48"/>
  <c r="F48" i="48"/>
  <c r="F490" i="48"/>
  <c r="F530" i="48"/>
  <c r="F181" i="48"/>
  <c r="F469" i="48"/>
  <c r="F105" i="48"/>
  <c r="F179" i="48"/>
  <c r="F558" i="48"/>
  <c r="F280" i="48"/>
  <c r="F249" i="48"/>
  <c r="F290" i="48"/>
  <c r="F581" i="48"/>
  <c r="F550" i="48"/>
  <c r="F63" i="48"/>
  <c r="F292" i="48"/>
  <c r="F591" i="48"/>
  <c r="F497" i="48"/>
  <c r="F67" i="48"/>
  <c r="F152" i="48"/>
  <c r="F282" i="48"/>
  <c r="F659" i="48"/>
  <c r="F569" i="48"/>
  <c r="F720" i="48"/>
  <c r="F391" i="48"/>
  <c r="F348" i="48"/>
  <c r="F287" i="48"/>
  <c r="F623" i="48"/>
  <c r="F596" i="48"/>
  <c r="F140" i="48"/>
  <c r="F417" i="48"/>
  <c r="F514" i="48"/>
  <c r="F380" i="48"/>
  <c r="F195" i="48"/>
  <c r="F83" i="48"/>
  <c r="F740" i="48"/>
  <c r="F394" i="48"/>
  <c r="F40" i="48"/>
  <c r="F17" i="48"/>
  <c r="F614" i="48"/>
  <c r="F761" i="48"/>
  <c r="F297" i="48"/>
  <c r="F338" i="48"/>
  <c r="F106" i="48"/>
  <c r="F501" i="48"/>
  <c r="F123" i="48"/>
  <c r="F180" i="48"/>
  <c r="F103" i="48"/>
  <c r="F299" i="48"/>
  <c r="F199" i="48"/>
  <c r="F622" i="48"/>
  <c r="F632" i="48"/>
  <c r="F660" i="48"/>
  <c r="F191" i="48"/>
  <c r="F93" i="48"/>
  <c r="F14" i="48"/>
  <c r="F73" i="48"/>
  <c r="F84" i="48"/>
  <c r="F104" i="48"/>
  <c r="F114" i="48"/>
  <c r="F741" i="48"/>
  <c r="F47" i="48"/>
  <c r="F537" i="48"/>
  <c r="F43" i="48"/>
  <c r="F64" i="48"/>
  <c r="F192" i="48"/>
  <c r="F133" i="48"/>
  <c r="F389" i="48"/>
  <c r="F189" i="48"/>
  <c r="F676" i="48"/>
  <c r="F112" i="48"/>
  <c r="F124" i="48"/>
  <c r="F226" i="48"/>
  <c r="F491" i="48"/>
  <c r="F557" i="48"/>
  <c r="F603" i="48"/>
  <c r="F708" i="48"/>
  <c r="F95" i="48"/>
  <c r="F721" i="48"/>
  <c r="F303" i="48"/>
  <c r="F540" i="48"/>
  <c r="F38" i="48"/>
  <c r="F3" i="48"/>
  <c r="F462" i="48"/>
  <c r="F253" i="48"/>
  <c r="F506" i="48"/>
  <c r="F505" i="48"/>
  <c r="F381" i="48"/>
  <c r="F32" i="48"/>
  <c r="F612" i="48"/>
  <c r="F686" i="48"/>
  <c r="F489" i="48"/>
  <c r="F46" i="48"/>
  <c r="F728" i="48"/>
  <c r="F170" i="48"/>
  <c r="F346" i="48"/>
  <c r="F416" i="48"/>
  <c r="F671" i="48"/>
  <c r="F358" i="48"/>
  <c r="F13" i="48"/>
  <c r="F504" i="48"/>
  <c r="F770" i="48"/>
  <c r="F143" i="48"/>
  <c r="F257" i="48"/>
  <c r="F96" i="48"/>
  <c r="F27" i="48"/>
  <c r="F362" i="48"/>
  <c r="F590" i="48"/>
  <c r="F239" i="48"/>
  <c r="F23" i="48"/>
  <c r="F91" i="48"/>
  <c r="F44" i="48"/>
  <c r="F399" i="48"/>
  <c r="F58" i="48"/>
  <c r="F207" i="48"/>
  <c r="F458" i="48"/>
  <c r="F755" i="48"/>
  <c r="F374" i="48"/>
  <c r="F126" i="48"/>
  <c r="F425" i="48"/>
  <c r="F390" i="48"/>
  <c r="F511" i="48"/>
  <c r="F442" i="48"/>
  <c r="F163" i="48"/>
  <c r="F202" i="48"/>
  <c r="F7" i="48"/>
  <c r="F295" i="48"/>
  <c r="F604" i="48"/>
  <c r="F219" i="48"/>
  <c r="F237" i="48"/>
  <c r="F751" i="48"/>
  <c r="F243" i="48"/>
  <c r="F438" i="48"/>
  <c r="F164" i="48"/>
  <c r="F34" i="48"/>
  <c r="F279" i="48"/>
  <c r="F89" i="48"/>
  <c r="F30" i="48"/>
  <c r="F370" i="48"/>
  <c r="F182" i="48"/>
  <c r="F21" i="48"/>
  <c r="F513" i="48"/>
  <c r="F637" i="48"/>
  <c r="F217" i="48"/>
  <c r="F20" i="48"/>
  <c r="F527" i="48"/>
  <c r="F194" i="48"/>
  <c r="F579" i="48"/>
  <c r="F138" i="48"/>
  <c r="F325" i="48"/>
  <c r="F151" i="48"/>
  <c r="F158" i="48"/>
  <c r="F628" i="48"/>
  <c r="F185" i="48"/>
  <c r="F509" i="48"/>
  <c r="F615" i="48"/>
  <c r="F448" i="48"/>
  <c r="F33" i="48"/>
  <c r="F77" i="48"/>
  <c r="F271" i="48"/>
  <c r="F407" i="48"/>
  <c r="F494" i="48"/>
  <c r="F25" i="48"/>
  <c r="F200" i="48"/>
  <c r="F649" i="48"/>
  <c r="F534" i="48"/>
  <c r="F204" i="48"/>
  <c r="F542" i="48"/>
  <c r="F393" i="48"/>
  <c r="F15" i="48"/>
  <c r="F521" i="48"/>
  <c r="F289" i="48"/>
  <c r="F583" i="48"/>
  <c r="F493" i="48"/>
  <c r="F703" i="48"/>
  <c r="F60" i="48"/>
  <c r="F291" i="48"/>
  <c r="F592" i="48"/>
  <c r="F520" i="48"/>
  <c r="F731" i="48"/>
  <c r="F401" i="48"/>
  <c r="F16" i="48"/>
  <c r="F704" i="48"/>
  <c r="F4" i="48"/>
  <c r="F208" i="48"/>
  <c r="F144" i="48"/>
  <c r="F562" i="48"/>
  <c r="F2" i="48"/>
  <c r="F259" i="48"/>
  <c r="F745" i="48"/>
  <c r="F336" i="48"/>
  <c r="F85" i="48"/>
  <c r="F474" i="48"/>
  <c r="F51" i="48"/>
  <c r="F288" i="48"/>
  <c r="F369" i="48"/>
  <c r="F548" i="48"/>
  <c r="F496" i="48"/>
  <c r="F661" i="48"/>
  <c r="F247" i="48"/>
  <c r="F238" i="48"/>
  <c r="F567" i="48"/>
  <c r="F379" i="48"/>
  <c r="F617" i="48"/>
  <c r="F352" i="48"/>
  <c r="F568" i="48"/>
  <c r="F313" i="48"/>
  <c r="F664" i="48"/>
  <c r="F19" i="48"/>
  <c r="F88" i="48"/>
  <c r="F538" i="48"/>
  <c r="F525" i="48"/>
  <c r="F167" i="48"/>
  <c r="F608" i="48"/>
  <c r="F452" i="48"/>
  <c r="F315" i="48"/>
  <c r="F212" i="48"/>
  <c r="F54" i="48"/>
  <c r="F231" i="48"/>
  <c r="F190" i="48"/>
  <c r="F153" i="48"/>
  <c r="F765" i="48"/>
  <c r="F175" i="48"/>
  <c r="F627" i="48"/>
  <c r="F415" i="48"/>
  <c r="F311" i="48"/>
  <c r="F378" i="48"/>
  <c r="F565" i="48"/>
  <c r="F310" i="48"/>
  <c r="F533" i="48"/>
  <c r="F404" i="48"/>
  <c r="F657" i="48"/>
  <c r="F480" i="48"/>
  <c r="F406" i="48"/>
  <c r="F224" i="48"/>
  <c r="F747" i="48"/>
  <c r="F229" i="48"/>
  <c r="F624" i="48"/>
  <c r="F113" i="48"/>
  <c r="F749" i="48"/>
  <c r="F24" i="48"/>
  <c r="F263" i="48"/>
  <c r="F148" i="48"/>
  <c r="F9" i="48"/>
  <c r="F576" i="48"/>
  <c r="F109" i="48"/>
  <c r="F198" i="48"/>
  <c r="F184" i="48"/>
  <c r="F405" i="48"/>
  <c r="F285" i="48"/>
  <c r="F601" i="48"/>
  <c r="F606" i="48"/>
  <c r="F597" i="48"/>
  <c r="F388" i="48"/>
  <c r="F478" i="48"/>
  <c r="F326" i="48"/>
  <c r="F94" i="48"/>
  <c r="F692" i="48"/>
  <c r="F301" i="48"/>
  <c r="F383" i="48"/>
  <c r="F305" i="48"/>
  <c r="F484" i="48"/>
  <c r="F368" i="48"/>
  <c r="F714" i="48"/>
  <c r="F638" i="48"/>
  <c r="F713" i="48"/>
  <c r="F433" i="48"/>
  <c r="F766" i="48"/>
  <c r="F284" i="48"/>
  <c r="F206" i="48"/>
  <c r="F294" i="48"/>
  <c r="F718" i="48"/>
  <c r="F486" i="48"/>
  <c r="F472" i="48"/>
  <c r="F760" i="48"/>
  <c r="F730" i="48"/>
  <c r="F593" i="48"/>
  <c r="F613" i="48"/>
  <c r="F366" i="48"/>
  <c r="F242" i="48"/>
  <c r="F354" i="48"/>
  <c r="F488" i="48"/>
  <c r="F584" i="48"/>
  <c r="F585" i="48"/>
  <c r="F560" i="48"/>
  <c r="F214" i="48"/>
  <c r="F602" i="48"/>
  <c r="F750" i="48"/>
  <c r="F333" i="48"/>
  <c r="F651" i="48"/>
  <c r="F61" i="48"/>
  <c r="F161" i="48"/>
  <c r="F275" i="48"/>
  <c r="F700" i="48"/>
  <c r="F99" i="48"/>
  <c r="F515" i="48"/>
  <c r="F115" i="48"/>
  <c r="F372" i="48"/>
  <c r="F131" i="48"/>
  <c r="F141" i="48"/>
  <c r="F160" i="48"/>
  <c r="F6" i="48"/>
  <c r="F344" i="48"/>
  <c r="F528" i="48"/>
  <c r="F410" i="48"/>
  <c r="F523" i="48"/>
  <c r="F519" i="48"/>
  <c r="F324" i="48"/>
  <c r="F744" i="48"/>
  <c r="F466" i="48"/>
  <c r="F683" i="48"/>
  <c r="F739" i="48"/>
  <c r="F150" i="48"/>
  <c r="F719" i="48"/>
  <c r="F477" i="48"/>
  <c r="F129" i="48"/>
  <c r="F630" i="48"/>
  <c r="F424" i="48"/>
  <c r="F302" i="48"/>
  <c r="F66" i="48"/>
  <c r="F165" i="48"/>
  <c r="F457" i="48"/>
  <c r="F236" i="48"/>
  <c r="F643" i="48"/>
  <c r="F655" i="48"/>
  <c r="F648" i="48"/>
  <c r="F92" i="48"/>
  <c r="F564" i="48"/>
  <c r="F543" i="48"/>
  <c r="F127" i="48"/>
  <c r="F695" i="48"/>
  <c r="F147" i="48"/>
  <c r="F535" i="48"/>
  <c r="F409" i="48"/>
  <c r="F421" i="48"/>
  <c r="F215" i="48"/>
  <c r="F430" i="48"/>
  <c r="F758" i="48"/>
  <c r="F476" i="48"/>
  <c r="F646" i="48"/>
  <c r="F656" i="48"/>
  <c r="F174" i="48"/>
  <c r="F157" i="48"/>
  <c r="F270" i="48"/>
  <c r="F706" i="48"/>
  <c r="F483" i="48"/>
  <c r="F120" i="48"/>
  <c r="F566" i="48"/>
  <c r="F384" i="48"/>
  <c r="F68" i="48"/>
  <c r="F634" i="48"/>
  <c r="F273" i="48"/>
  <c r="F707" i="48"/>
  <c r="F269" i="48"/>
  <c r="F12" i="48"/>
  <c r="F283" i="48"/>
  <c r="F679" i="48"/>
  <c r="F626" i="48"/>
  <c r="F732" i="48"/>
  <c r="F71" i="48"/>
  <c r="F475" i="48"/>
  <c r="F454" i="48"/>
  <c r="F353" i="48"/>
  <c r="F595" i="48"/>
  <c r="F559" i="48"/>
  <c r="F274" i="48"/>
  <c r="F767" i="48"/>
  <c r="F193" i="48"/>
  <c r="F230" i="48"/>
  <c r="F177" i="48"/>
  <c r="F756" i="48"/>
  <c r="F684" i="48"/>
  <c r="F510" i="48"/>
  <c r="F364" i="48"/>
  <c r="F640" i="48"/>
  <c r="F107" i="48"/>
  <c r="F355" i="48"/>
  <c r="F402" i="48"/>
  <c r="F587" i="48"/>
  <c r="F575" i="48"/>
  <c r="F223" i="48"/>
  <c r="F690" i="48"/>
  <c r="F363" i="48"/>
  <c r="F631" i="48"/>
  <c r="F835" i="48"/>
  <c r="F888" i="48"/>
  <c r="F878" i="48"/>
  <c r="F868" i="48"/>
  <c r="F836" i="48"/>
  <c r="F899" i="48"/>
  <c r="F779" i="48"/>
  <c r="F902" i="48"/>
  <c r="F877" i="48"/>
  <c r="F804" i="48"/>
  <c r="F784" i="48"/>
  <c r="F865" i="48"/>
  <c r="F831" i="48"/>
  <c r="F858" i="48"/>
  <c r="F803" i="48"/>
  <c r="F788" i="48"/>
  <c r="F778" i="48"/>
  <c r="F837" i="48"/>
  <c r="F840" i="48"/>
  <c r="F817" i="48"/>
  <c r="F838" i="48"/>
  <c r="F802" i="48"/>
  <c r="F777" i="48"/>
  <c r="F893" i="48"/>
  <c r="F873" i="48"/>
  <c r="F783" i="48"/>
  <c r="F813" i="48"/>
  <c r="F830" i="48"/>
  <c r="F797" i="48"/>
  <c r="F857" i="48"/>
  <c r="F847" i="48"/>
  <c r="F846" i="48"/>
  <c r="F795" i="48"/>
  <c r="F826" i="48"/>
  <c r="F807" i="48"/>
  <c r="F818" i="48"/>
  <c r="F886" i="48"/>
  <c r="F882" i="48"/>
  <c r="F800" i="48"/>
  <c r="F772" i="48"/>
  <c r="F811" i="48"/>
  <c r="F812" i="48"/>
  <c r="F798" i="48"/>
  <c r="F866" i="48"/>
  <c r="F856" i="48"/>
  <c r="F810" i="48"/>
  <c r="F780" i="48"/>
  <c r="F885" i="48"/>
  <c r="F890" i="48"/>
  <c r="F879" i="48"/>
  <c r="F786" i="48"/>
  <c r="F901" i="48"/>
  <c r="F792" i="48"/>
  <c r="F851" i="48"/>
  <c r="F809" i="48"/>
  <c r="F861" i="48"/>
  <c r="F862" i="48"/>
  <c r="F845" i="48"/>
  <c r="F799" i="48"/>
  <c r="F825" i="48"/>
  <c r="F815" i="48"/>
  <c r="F844" i="48"/>
  <c r="F889" i="48"/>
  <c r="F785" i="48"/>
  <c r="F816" i="48"/>
  <c r="F887" i="48"/>
  <c r="F821" i="48"/>
  <c r="F781" i="48"/>
  <c r="F881" i="48"/>
  <c r="F855" i="48"/>
  <c r="F842" i="48"/>
  <c r="F829" i="48"/>
  <c r="F867" i="48"/>
  <c r="F853" i="48"/>
  <c r="F880" i="48"/>
  <c r="F833" i="48"/>
  <c r="F834" i="48"/>
  <c r="F789" i="48"/>
  <c r="F875" i="48"/>
  <c r="F787" i="48"/>
  <c r="N30" i="48" s="1"/>
  <c r="F894" i="48"/>
  <c r="F828" i="48"/>
  <c r="F897" i="48"/>
  <c r="F850" i="48"/>
  <c r="F774" i="48"/>
  <c r="F892" i="48"/>
  <c r="F790" i="48"/>
  <c r="F791" i="48"/>
  <c r="F876" i="48"/>
  <c r="F852" i="48"/>
  <c r="F854" i="48"/>
  <c r="F832" i="48"/>
  <c r="F823" i="48"/>
  <c r="F824" i="48"/>
  <c r="F775" i="48"/>
  <c r="F896" i="48"/>
  <c r="F801" i="48"/>
  <c r="F883" i="48"/>
  <c r="F793" i="48"/>
  <c r="F773" i="48"/>
  <c r="F820" i="48"/>
  <c r="F870" i="48"/>
  <c r="N37" i="48" s="1"/>
  <c r="F776" i="48"/>
  <c r="F860" i="48"/>
  <c r="F843" i="48"/>
  <c r="F859" i="48"/>
  <c r="F822" i="48"/>
  <c r="F869" i="48"/>
  <c r="F814" i="48"/>
  <c r="F796" i="48"/>
  <c r="F839" i="48"/>
  <c r="F900" i="48"/>
  <c r="F782" i="48"/>
  <c r="F841" i="48"/>
  <c r="F819" i="48"/>
  <c r="F872" i="48"/>
  <c r="F806" i="48"/>
  <c r="F827" i="48"/>
  <c r="F891" i="48"/>
  <c r="F395" i="48"/>
  <c r="F265" i="48"/>
  <c r="F607" i="48"/>
  <c r="F62" i="48"/>
  <c r="F470" i="48"/>
  <c r="F459" i="48"/>
  <c r="F428" i="48"/>
  <c r="F485" i="48"/>
  <c r="F757" i="48"/>
  <c r="F264" i="48"/>
  <c r="F137" i="48"/>
  <c r="F76" i="48"/>
  <c r="F65" i="48"/>
  <c r="F81" i="48"/>
  <c r="F308" i="48"/>
  <c r="F375" i="48"/>
  <c r="F245" i="48"/>
  <c r="F254" i="48"/>
  <c r="F446" i="48"/>
  <c r="F620" i="48"/>
  <c r="F227" i="48"/>
  <c r="F508" i="48"/>
  <c r="F465" i="48"/>
  <c r="F434" i="48"/>
  <c r="F443" i="48"/>
  <c r="F705" i="48"/>
  <c r="F675" i="48"/>
  <c r="F145" i="48"/>
  <c r="F663" i="48"/>
  <c r="F74" i="48"/>
  <c r="F256" i="48"/>
  <c r="F727" i="48"/>
  <c r="F736" i="48"/>
  <c r="F531" i="48"/>
  <c r="F320" i="48"/>
  <c r="F419" i="48"/>
  <c r="F42" i="48"/>
  <c r="F52" i="48"/>
  <c r="F29" i="48"/>
  <c r="F582" i="48"/>
  <c r="F321" i="48"/>
  <c r="F211" i="48"/>
  <c r="F309" i="48"/>
  <c r="F78" i="48"/>
  <c r="F435" i="48"/>
  <c r="F524" i="48"/>
  <c r="F413" i="48"/>
  <c r="F173" i="48"/>
  <c r="F645" i="48"/>
  <c r="F337" i="48"/>
  <c r="F468" i="48"/>
  <c r="F216" i="48"/>
  <c r="F618" i="48"/>
  <c r="F552" i="48"/>
  <c r="F639" i="48"/>
  <c r="F188" i="48"/>
  <c r="F342" i="48"/>
  <c r="F281" i="48"/>
  <c r="F53" i="48"/>
  <c r="F5" i="48"/>
  <c r="F682" i="48"/>
  <c r="F635" i="48"/>
  <c r="F672" i="48"/>
  <c r="F625" i="48"/>
  <c r="F662" i="48"/>
  <c r="F171" i="48"/>
  <c r="F652" i="48"/>
  <c r="F116" i="48"/>
  <c r="F134" i="48"/>
  <c r="F696" i="48"/>
  <c r="F570" i="48"/>
  <c r="F258" i="48"/>
  <c r="F479" i="48"/>
  <c r="F296" i="48"/>
  <c r="F698" i="48"/>
  <c r="F426" i="48"/>
  <c r="F571" i="48"/>
  <c r="F360" i="48"/>
  <c r="F359" i="48"/>
  <c r="F328" i="48"/>
  <c r="F385" i="48"/>
  <c r="F255" i="48"/>
  <c r="F697" i="48"/>
  <c r="F367" i="48"/>
  <c r="F102" i="48"/>
  <c r="F178" i="48"/>
  <c r="F500" i="48"/>
  <c r="F711" i="48"/>
  <c r="F276" i="48"/>
  <c r="F678" i="48"/>
  <c r="F687" i="48"/>
  <c r="F551" i="48"/>
  <c r="F450" i="48"/>
  <c r="F539" i="48"/>
  <c r="F408" i="48"/>
  <c r="F365" i="48"/>
  <c r="F334" i="48"/>
  <c r="F343" i="48"/>
  <c r="F203" i="48"/>
  <c r="F156" i="48"/>
  <c r="F45" i="48"/>
  <c r="F298" i="48"/>
  <c r="F621" i="48"/>
  <c r="F689" i="48"/>
  <c r="F225" i="48"/>
  <c r="F234" i="48"/>
  <c r="F431" i="48"/>
  <c r="F723" i="48"/>
  <c r="F319" i="48"/>
  <c r="F41" i="48"/>
  <c r="F456" i="48"/>
  <c r="F347" i="48"/>
  <c r="F482" i="48"/>
  <c r="F724" i="48"/>
  <c r="F644" i="48"/>
  <c r="F712" i="48"/>
  <c r="F37" i="48"/>
  <c r="F335" i="48"/>
  <c r="F196" i="48"/>
  <c r="F598" i="48"/>
  <c r="F532" i="48"/>
  <c r="F471" i="48"/>
  <c r="F763" i="48"/>
  <c r="N28" i="48" s="1"/>
  <c r="F762" i="48"/>
  <c r="F128" i="48"/>
  <c r="F286" i="48"/>
  <c r="F688" i="48"/>
  <c r="F487" i="48"/>
  <c r="F536" i="48"/>
  <c r="F556" i="48"/>
  <c r="F277" i="48"/>
  <c r="F518" i="48"/>
  <c r="F209" i="48"/>
  <c r="F176" i="48"/>
  <c r="F159" i="48"/>
  <c r="F377" i="48"/>
  <c r="F451" i="48"/>
  <c r="F340" i="48"/>
  <c r="F439" i="48"/>
  <c r="F108" i="48"/>
  <c r="F768" i="48"/>
  <c r="F737" i="48"/>
  <c r="F746" i="48"/>
  <c r="F636" i="48"/>
  <c r="F56" i="48"/>
  <c r="F507" i="48"/>
  <c r="F11" i="48"/>
  <c r="F610" i="48"/>
  <c r="F589" i="48"/>
  <c r="F658" i="48"/>
  <c r="F667" i="48"/>
  <c r="F331" i="48"/>
  <c r="F221" i="48"/>
  <c r="F722" i="48"/>
  <c r="F545" i="48"/>
  <c r="F600" i="48"/>
  <c r="F554" i="48"/>
  <c r="F382" i="48"/>
  <c r="F222" i="48"/>
  <c r="F125" i="48"/>
  <c r="F210" i="48"/>
  <c r="F154" i="48"/>
  <c r="F738" i="48"/>
  <c r="F304" i="48"/>
  <c r="F716" i="48"/>
  <c r="F87" i="48"/>
  <c r="F357" i="48"/>
  <c r="F499" i="48"/>
  <c r="F168" i="48"/>
  <c r="F130" i="48"/>
  <c r="F278" i="48"/>
  <c r="F629" i="48"/>
  <c r="F79" i="48"/>
  <c r="F432" i="48"/>
  <c r="F371" i="48"/>
  <c r="F261" i="48"/>
  <c r="F260" i="48"/>
  <c r="F28" i="48"/>
  <c r="F186" i="48"/>
  <c r="F169" i="48"/>
  <c r="F356" i="48"/>
  <c r="F561" i="48"/>
  <c r="F670" i="48"/>
  <c r="F549" i="48"/>
  <c r="F418" i="48"/>
  <c r="F642" i="48"/>
  <c r="F609" i="48"/>
  <c r="F59" i="48"/>
  <c r="F512" i="48"/>
  <c r="F351" i="48"/>
  <c r="F743" i="48"/>
  <c r="F339" i="48"/>
  <c r="F8" i="48"/>
  <c r="F266" i="48"/>
  <c r="F235" i="48"/>
  <c r="F244" i="48"/>
  <c r="F117" i="48"/>
  <c r="F396" i="48"/>
  <c r="F142" i="48"/>
  <c r="F420" i="48"/>
  <c r="F387" i="48"/>
  <c r="F70" i="48"/>
  <c r="F139" i="48"/>
  <c r="F187" i="48"/>
  <c r="F734" i="48"/>
  <c r="F654" i="48"/>
  <c r="F220" i="48"/>
  <c r="F445" i="48"/>
  <c r="F544" i="48"/>
  <c r="F110" i="48"/>
  <c r="F641" i="48"/>
  <c r="F332" i="48"/>
  <c r="F272" i="48"/>
  <c r="F694" i="48"/>
  <c r="F693" i="48"/>
  <c r="F36" i="48"/>
  <c r="F619" i="48"/>
  <c r="F69" i="48"/>
  <c r="F522" i="48"/>
  <c r="F461" i="48"/>
  <c r="F460" i="48"/>
  <c r="F449" i="48"/>
  <c r="F318" i="48"/>
  <c r="F769" i="48"/>
  <c r="F90" i="48"/>
  <c r="F577" i="48"/>
  <c r="F412" i="48"/>
  <c r="F754" i="48"/>
  <c r="F241" i="48"/>
  <c r="F742" i="48"/>
  <c r="F268" i="48"/>
  <c r="F699" i="48"/>
  <c r="F668" i="48"/>
  <c r="F677" i="48"/>
  <c r="F376" i="48"/>
  <c r="F101" i="48"/>
  <c r="F680" i="48"/>
  <c r="F498" i="48"/>
  <c r="F386" i="48"/>
  <c r="F122" i="48"/>
  <c r="F39" i="48"/>
  <c r="F492" i="48"/>
  <c r="F232" i="48"/>
  <c r="F135" i="48"/>
  <c r="F653" i="48"/>
  <c r="F345" i="48"/>
  <c r="F414" i="48"/>
  <c r="F423" i="48"/>
  <c r="F183" i="48"/>
  <c r="F136" i="48"/>
  <c r="F397" i="48"/>
  <c r="F691" i="48"/>
  <c r="F771" i="48"/>
  <c r="F669" i="48"/>
  <c r="F205" i="48"/>
  <c r="F647" i="48"/>
  <c r="F709" i="48"/>
  <c r="F400" i="48"/>
  <c r="F300" i="48"/>
  <c r="F701" i="48"/>
  <c r="F307" i="48"/>
  <c r="F10" i="48"/>
  <c r="F573" i="48"/>
  <c r="F735" i="48"/>
  <c r="F172" i="48"/>
  <c r="F594" i="48"/>
  <c r="F327" i="48"/>
  <c r="F427" i="48"/>
  <c r="F100" i="48"/>
  <c r="F132" i="48"/>
  <c r="F422" i="48"/>
  <c r="F361" i="48"/>
  <c r="F350" i="48"/>
  <c r="F349" i="48"/>
  <c r="F118" i="48"/>
  <c r="F547" i="48"/>
  <c r="F681" i="48"/>
  <c r="F72" i="48"/>
  <c r="F312" i="48"/>
  <c r="F252" i="48"/>
  <c r="F674" i="48"/>
  <c r="F240" i="48"/>
  <c r="F197" i="48"/>
  <c r="F599" i="48"/>
  <c r="F149" i="48"/>
  <c r="F317" i="48"/>
  <c r="F541" i="48"/>
  <c r="F440" i="48"/>
  <c r="F529" i="48"/>
  <c r="F398" i="48"/>
  <c r="F31" i="48"/>
  <c r="F546" i="48"/>
  <c r="F437" i="48"/>
  <c r="F392" i="48"/>
  <c r="F665" i="48"/>
  <c r="F35" i="48"/>
  <c r="F218" i="48"/>
  <c r="F748" i="48"/>
  <c r="F314" i="48"/>
  <c r="F323" i="48"/>
  <c r="F616" i="48"/>
  <c r="F516" i="48"/>
  <c r="F710" i="48"/>
  <c r="F473" i="48"/>
  <c r="F233" i="48"/>
  <c r="F605" i="48"/>
  <c r="F75" i="48"/>
  <c r="F436" i="48"/>
  <c r="F316" i="48"/>
  <c r="F228" i="48"/>
  <c r="F563" i="48"/>
  <c r="F322" i="48"/>
  <c r="F764" i="48"/>
  <c r="F753" i="48"/>
  <c r="F752" i="48"/>
  <c r="F18" i="48"/>
  <c r="F22" i="48"/>
  <c r="F267" i="48"/>
  <c r="F553" i="48"/>
  <c r="F715" i="48"/>
  <c r="F685" i="48"/>
  <c r="F155" i="48"/>
  <c r="F673" i="48"/>
  <c r="F447" i="48"/>
  <c r="F80" i="48"/>
  <c r="F49" i="48"/>
  <c r="F759" i="48"/>
  <c r="F441" i="48"/>
  <c r="F330" i="48"/>
  <c r="F429" i="48"/>
  <c r="F98" i="48"/>
  <c r="F555" i="48"/>
  <c r="F650" i="48"/>
  <c r="F574" i="48"/>
  <c r="F293" i="48"/>
  <c r="F146" i="48"/>
  <c r="F467" i="48"/>
  <c r="F588" i="48"/>
  <c r="F246" i="48"/>
  <c r="F717" i="48"/>
  <c r="F726" i="48"/>
  <c r="F97" i="48"/>
  <c r="F580" i="48"/>
  <c r="F586" i="48"/>
  <c r="F578" i="48"/>
  <c r="F702" i="48"/>
  <c r="F50" i="48"/>
  <c r="F119" i="48"/>
  <c r="F572" i="48"/>
  <c r="F411" i="48"/>
  <c r="F201" i="48"/>
  <c r="F633" i="48"/>
  <c r="F162" i="48"/>
  <c r="F464" i="48"/>
  <c r="F373" i="48"/>
  <c r="F666" i="48"/>
  <c r="F86" i="48"/>
  <c r="F248" i="48"/>
  <c r="F121" i="48"/>
  <c r="F82" i="48"/>
  <c r="F729" i="48"/>
  <c r="F463" i="48"/>
  <c r="F725" i="48"/>
  <c r="F262" i="48"/>
  <c r="F251" i="48"/>
  <c r="F250" i="48"/>
  <c r="F26" i="48"/>
  <c r="F111" i="48"/>
  <c r="F444" i="48"/>
  <c r="F453" i="48"/>
  <c r="F213" i="48"/>
  <c r="F166" i="48"/>
  <c r="F55" i="48"/>
  <c r="F306" i="48"/>
  <c r="F526" i="48"/>
  <c r="F611" i="48"/>
  <c r="F517" i="48"/>
  <c r="F502" i="48"/>
  <c r="F341" i="48"/>
  <c r="F733" i="48"/>
  <c r="F329" i="48"/>
  <c r="F57" i="48"/>
  <c r="F455" i="48"/>
  <c r="F898" i="48"/>
  <c r="F863" i="48"/>
  <c r="F874" i="48"/>
  <c r="F794" i="48"/>
  <c r="F884" i="48"/>
  <c r="F808" i="48"/>
  <c r="F903" i="48"/>
  <c r="F871" i="48"/>
  <c r="F848" i="48"/>
  <c r="F895" i="48"/>
  <c r="F805" i="48"/>
  <c r="F849" i="48"/>
  <c r="F864" i="48"/>
  <c r="C78" i="52" l="1"/>
  <c r="D78" i="52" s="1"/>
  <c r="E78" i="52" s="1"/>
  <c r="C69" i="52"/>
  <c r="D69" i="52" s="1"/>
  <c r="E69" i="52" s="1"/>
  <c r="C71" i="52"/>
  <c r="D71" i="52" s="1"/>
  <c r="E71" i="52" s="1"/>
  <c r="N21" i="48"/>
  <c r="N20" i="48"/>
  <c r="N22" i="48"/>
  <c r="N10" i="48"/>
  <c r="N38" i="48"/>
  <c r="N27" i="48"/>
  <c r="N4" i="48"/>
  <c r="N26" i="48"/>
  <c r="N25" i="48"/>
  <c r="N33" i="48"/>
  <c r="N32" i="48"/>
  <c r="N7" i="48"/>
  <c r="N8" i="48"/>
  <c r="N13" i="48"/>
  <c r="N11" i="48"/>
  <c r="N36" i="48"/>
  <c r="N16" i="48"/>
  <c r="N19" i="48"/>
  <c r="N18" i="48"/>
  <c r="N34" i="48"/>
  <c r="N17" i="48"/>
  <c r="N29" i="48"/>
  <c r="N39" i="48"/>
  <c r="N31" i="48"/>
  <c r="N24" i="48"/>
  <c r="N15" i="48"/>
  <c r="N35" i="48"/>
  <c r="N14" i="48"/>
  <c r="N9" i="48"/>
  <c r="N23" i="48"/>
  <c r="N5" i="48"/>
  <c r="N12" i="48"/>
  <c r="B35" i="52"/>
  <c r="B26" i="52"/>
  <c r="B28" i="52"/>
  <c r="C60" i="52" l="1"/>
  <c r="D60" i="52" s="1"/>
  <c r="E60" i="52" s="1"/>
  <c r="C61" i="52"/>
  <c r="D61" i="52" s="1"/>
  <c r="E61" i="52" s="1"/>
  <c r="C65" i="52"/>
  <c r="D65" i="52" s="1"/>
  <c r="C57" i="52"/>
  <c r="D57" i="52" s="1"/>
  <c r="E57" i="52" s="1"/>
  <c r="C66" i="52"/>
  <c r="D66" i="52" s="1"/>
  <c r="E66" i="52" s="1"/>
  <c r="C62" i="52"/>
  <c r="C53" i="52"/>
  <c r="D53" i="52" s="1"/>
  <c r="E53" i="52" s="1"/>
  <c r="C77" i="52"/>
  <c r="D77" i="52" s="1"/>
  <c r="E77" i="52" s="1"/>
  <c r="C67" i="52"/>
  <c r="D67" i="52" s="1"/>
  <c r="E67" i="52" s="1"/>
  <c r="C72" i="52"/>
  <c r="D72" i="52" s="1"/>
  <c r="E72" i="52" s="1"/>
  <c r="C52" i="52"/>
  <c r="D52" i="52" s="1"/>
  <c r="E52" i="52" s="1"/>
  <c r="C45" i="52"/>
  <c r="D45" i="52" s="1"/>
  <c r="E45" i="52" s="1"/>
  <c r="C56" i="52"/>
  <c r="D56" i="52" s="1"/>
  <c r="E56" i="52" s="1"/>
  <c r="C74" i="52"/>
  <c r="D74" i="52" s="1"/>
  <c r="E74" i="52" s="1"/>
  <c r="C46" i="52"/>
  <c r="D46" i="52" s="1"/>
  <c r="E46" i="52" s="1"/>
  <c r="C80" i="52"/>
  <c r="D80" i="52" s="1"/>
  <c r="E80" i="52" s="1"/>
  <c r="C64" i="52"/>
  <c r="D64" i="52" s="1"/>
  <c r="E64" i="52" s="1"/>
  <c r="C70" i="52"/>
  <c r="D70" i="52" s="1"/>
  <c r="E70" i="52" s="1"/>
  <c r="C54" i="52"/>
  <c r="D54" i="52" s="1"/>
  <c r="E54" i="52" s="1"/>
  <c r="C68" i="52"/>
  <c r="D68" i="52" s="1"/>
  <c r="E68" i="52" s="1"/>
  <c r="C49" i="52"/>
  <c r="D49" i="52" s="1"/>
  <c r="E49" i="52" s="1"/>
  <c r="C79" i="52"/>
  <c r="D79" i="52" s="1"/>
  <c r="E79" i="52" s="1"/>
  <c r="C50" i="52"/>
  <c r="D50" i="52" s="1"/>
  <c r="E50" i="52" s="1"/>
  <c r="C55" i="52"/>
  <c r="D55" i="52" s="1"/>
  <c r="E55" i="52" s="1"/>
  <c r="C75" i="52"/>
  <c r="D75" i="52" s="1"/>
  <c r="E75" i="52" s="1"/>
  <c r="C48" i="52"/>
  <c r="D48" i="52" s="1"/>
  <c r="E48" i="52" s="1"/>
  <c r="C51" i="52"/>
  <c r="D51" i="52" s="1"/>
  <c r="E51" i="52" s="1"/>
  <c r="C58" i="52"/>
  <c r="D58" i="52" s="1"/>
  <c r="E58" i="52" s="1"/>
  <c r="C76" i="52"/>
  <c r="D76" i="52" s="1"/>
  <c r="E76" i="52" s="1"/>
  <c r="C59" i="52"/>
  <c r="D59" i="52" s="1"/>
  <c r="E59" i="52" s="1"/>
  <c r="C73" i="52"/>
  <c r="D73" i="52" s="1"/>
  <c r="E73" i="52" s="1"/>
  <c r="C63" i="52"/>
  <c r="D63" i="52" s="1"/>
  <c r="E63" i="52" s="1"/>
  <c r="B14" i="52"/>
  <c r="B7" i="52"/>
  <c r="B34" i="52"/>
  <c r="B31" i="52"/>
  <c r="B19" i="52"/>
  <c r="B18" i="52"/>
  <c r="B15" i="52"/>
  <c r="B8" i="52"/>
  <c r="B22" i="52"/>
  <c r="B21" i="52"/>
  <c r="B5" i="52"/>
  <c r="B12" i="52"/>
  <c r="B36" i="52"/>
  <c r="B23" i="52"/>
  <c r="B27" i="52"/>
  <c r="F69" i="52"/>
  <c r="M69" i="52" s="1"/>
  <c r="B17" i="52"/>
  <c r="B30" i="52"/>
  <c r="B37" i="52"/>
  <c r="B24" i="52"/>
  <c r="B33" i="52"/>
  <c r="B29" i="52"/>
  <c r="B25" i="52"/>
  <c r="B6" i="52"/>
  <c r="B20" i="52"/>
  <c r="B2" i="52"/>
  <c r="B13" i="52"/>
  <c r="B32" i="52"/>
  <c r="B10" i="52"/>
  <c r="B11" i="52"/>
  <c r="B3" i="52"/>
  <c r="B9" i="52"/>
  <c r="B16" i="52"/>
  <c r="F78" i="52"/>
  <c r="M78" i="52" s="1"/>
  <c r="N40" i="48"/>
  <c r="E65" i="52" l="1"/>
  <c r="F65" i="52" s="1"/>
  <c r="M65" i="52" s="1"/>
  <c r="F50" i="52"/>
  <c r="M50" i="52" s="1"/>
  <c r="C81" i="52"/>
  <c r="D62" i="52"/>
  <c r="E62" i="52" s="1"/>
  <c r="F72" i="52"/>
  <c r="M72" i="52" s="1"/>
  <c r="F52" i="52"/>
  <c r="M52" i="52" s="1"/>
  <c r="F55" i="52"/>
  <c r="M55" i="52" s="1"/>
  <c r="F60" i="52"/>
  <c r="M60" i="52" s="1"/>
  <c r="F75" i="52"/>
  <c r="M75" i="52" s="1"/>
  <c r="F70" i="52"/>
  <c r="M70" i="52" s="1"/>
  <c r="F71" i="52"/>
  <c r="M71" i="52" s="1"/>
  <c r="F45" i="52"/>
  <c r="F59" i="52"/>
  <c r="M59" i="52" s="1"/>
  <c r="F48" i="52"/>
  <c r="M48" i="52" s="1"/>
  <c r="F76" i="52"/>
  <c r="M76" i="52" s="1"/>
  <c r="F54" i="52"/>
  <c r="M54" i="52" s="1"/>
  <c r="F63" i="52"/>
  <c r="M63" i="52" s="1"/>
  <c r="F79" i="52"/>
  <c r="M79" i="52" s="1"/>
  <c r="F53" i="52"/>
  <c r="M53" i="52" s="1"/>
  <c r="F58" i="52"/>
  <c r="M58" i="52" s="1"/>
  <c r="F73" i="52"/>
  <c r="M73" i="52" s="1"/>
  <c r="B38" i="52"/>
  <c r="F66" i="52"/>
  <c r="M66" i="52" s="1"/>
  <c r="F61" i="52"/>
  <c r="M61" i="52" s="1"/>
  <c r="F74" i="52"/>
  <c r="M74" i="52" s="1"/>
  <c r="F56" i="52"/>
  <c r="M56" i="52" s="1"/>
  <c r="F49" i="52"/>
  <c r="M49" i="52" s="1"/>
  <c r="F67" i="52"/>
  <c r="M67" i="52" s="1"/>
  <c r="F77" i="52"/>
  <c r="M77" i="52" s="1"/>
  <c r="F57" i="52"/>
  <c r="M57" i="52" s="1"/>
  <c r="F62" i="52" l="1"/>
  <c r="M62" i="52" s="1"/>
  <c r="F80" i="52"/>
  <c r="M80" i="52" s="1"/>
  <c r="F68" i="52"/>
  <c r="M68" i="52" s="1"/>
  <c r="M45" i="52"/>
  <c r="F46" i="52"/>
  <c r="M46" i="52" s="1"/>
  <c r="F64" i="52"/>
  <c r="M64" i="52" s="1"/>
  <c r="E81" i="52"/>
  <c r="F51" i="52"/>
  <c r="M51" i="52" s="1"/>
  <c r="D81" i="52"/>
  <c r="M81" i="52" l="1"/>
  <c r="F81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tc={66153BB3-3F60-0043-8077-B32F796E4519}</author>
  </authors>
  <commentList>
    <comment ref="S4" authorId="0" shapeId="0" xr:uid="{66153BB3-3F60-0043-8077-B32F796E4519}">
      <text>
        <t>[Threaded comment]
Your version of Excel allows you to read this threaded comment; however, any edits to it will get removed if the file is opened in a newer version of Excel. Learn more: https://go.microsoft.com/fwlink/?linkid=870924
Comment:
    Although the monitoring period for VPAs 01-06 mentioned above is 22/02/2016 - 28/02/2018, the effective monitoring period start date being considered is 01/03/2016. This has been conservatively applied in accordance with the Para 4.3.1 of the COVID 19: INTERIM MEASURE v5, (21.12.2021) to limit the length of the monitoring period, being assessed remotely, to two years (from 01/03/2016 to 28/02/2018). Thus, VPAs 01-06 are claiming zero ERs for the period 22/02/2016 – 29/02/2016.</t>
      </text>
    </comment>
  </commentList>
</comments>
</file>

<file path=xl/sharedStrings.xml><?xml version="1.0" encoding="utf-8"?>
<sst xmlns="http://schemas.openxmlformats.org/spreadsheetml/2006/main" count="7251" uniqueCount="1612">
  <si>
    <t>Age Category</t>
  </si>
  <si>
    <t>Population Data</t>
  </si>
  <si>
    <t>Number of Stoves installed</t>
  </si>
  <si>
    <t>PoA</t>
  </si>
  <si>
    <t>1-2 years</t>
  </si>
  <si>
    <t>Total/Average</t>
  </si>
  <si>
    <t>Total</t>
  </si>
  <si>
    <t>Sampling Constants</t>
  </si>
  <si>
    <t>Level of sampling</t>
  </si>
  <si>
    <t>Confidence (%) (90 or 95)</t>
  </si>
  <si>
    <t>Margin of Error (%)</t>
  </si>
  <si>
    <t>Z value</t>
  </si>
  <si>
    <t>Quantity</t>
  </si>
  <si>
    <t>Date of Installation</t>
  </si>
  <si>
    <t>SALMA</t>
  </si>
  <si>
    <t>No</t>
  </si>
  <si>
    <t>Yes</t>
  </si>
  <si>
    <t xml:space="preserve"> </t>
  </si>
  <si>
    <t>Fatema Begum</t>
  </si>
  <si>
    <t>Saiful Islam</t>
  </si>
  <si>
    <t>Description</t>
  </si>
  <si>
    <t>Value</t>
  </si>
  <si>
    <t>fraction</t>
  </si>
  <si>
    <t>Parameters</t>
  </si>
  <si>
    <t>Units</t>
  </si>
  <si>
    <t>Reference</t>
  </si>
  <si>
    <t xml:space="preserve">Quantity of firewood consumed in baseline scenario during year y (tons per household per year) </t>
  </si>
  <si>
    <t>tonnes/ year</t>
  </si>
  <si>
    <t>Registered PoA-DD/VPA-DDs</t>
  </si>
  <si>
    <t xml:space="preserve">Efficiency of the baseline cookstove being replaced (fraction). A default value of 10% shall be used if the replaced cookstove is a three stone fire, or a conventional device without a grate or a chimney i.e. with no improved combustion air supply or flue gas ventilation    </t>
  </si>
  <si>
    <t>%</t>
  </si>
  <si>
    <t>Discount factor to account for efficiency loss of project cookstove per year of operation (Fraction).The default value for this parameter is 0.99 i.e. 1% efficiency loss/year</t>
  </si>
  <si>
    <t xml:space="preserve">Uncertainity Correction Factor </t>
  </si>
  <si>
    <t>Adjustment factor to account for uncertainty related to project cookstove efficiency test</t>
  </si>
  <si>
    <t xml:space="preserve">Fraction of biomass, used in year y for baseline scenario, which can be established as  non-renewable. The project proponents shall estimate project specific national/ regional value or apply the default fNRB value provided by the CDM Executive Board and endorsed by the host country DNA. </t>
  </si>
  <si>
    <t xml:space="preserve">% </t>
  </si>
  <si>
    <t>Leakage Adjustment Factor (LAF)</t>
  </si>
  <si>
    <t xml:space="preserve">Adjustment factor to account for leakage </t>
  </si>
  <si>
    <t>MD.FARUK HOSSAIN</t>
  </si>
  <si>
    <t>MD.WAHID</t>
  </si>
  <si>
    <t>MD.ABDUS SALAM</t>
  </si>
  <si>
    <t>DEBASISH BISWAS</t>
  </si>
  <si>
    <t>MD.FARHAD SHAIK</t>
  </si>
  <si>
    <t>MD. AMINUR RAHMAN</t>
  </si>
  <si>
    <t>Sohid</t>
  </si>
  <si>
    <t>Md. Mijanur Rahman</t>
  </si>
  <si>
    <t>Josna</t>
  </si>
  <si>
    <t>SAMSUL</t>
  </si>
  <si>
    <t>PARVIN</t>
  </si>
  <si>
    <t>Kulsum Begum</t>
  </si>
  <si>
    <t>Aklima Begum</t>
  </si>
  <si>
    <t>Md. Akram</t>
  </si>
  <si>
    <t>Mita</t>
  </si>
  <si>
    <t>Sahajan</t>
  </si>
  <si>
    <t>Jasmin</t>
  </si>
  <si>
    <t>RAFIQUL</t>
  </si>
  <si>
    <t>Jahanara Begum</t>
  </si>
  <si>
    <t>HALIMA</t>
  </si>
  <si>
    <t>MAKSUDA</t>
  </si>
  <si>
    <t>Nurjahan Begum</t>
  </si>
  <si>
    <t>Rofikul Islam</t>
  </si>
  <si>
    <t>Aklima Khatun</t>
  </si>
  <si>
    <t>Monirul Islam</t>
  </si>
  <si>
    <t>Alomgir</t>
  </si>
  <si>
    <t>Jesmin Begum</t>
  </si>
  <si>
    <t>Md. Abdur Razzak</t>
  </si>
  <si>
    <t>Nasrin</t>
  </si>
  <si>
    <t>Rokeya Begum</t>
  </si>
  <si>
    <t>Raihan</t>
  </si>
  <si>
    <t>Faruk</t>
  </si>
  <si>
    <t>Salma</t>
  </si>
  <si>
    <t>Rezia Begum</t>
  </si>
  <si>
    <t>Hasina Khatun</t>
  </si>
  <si>
    <t>Monowara Begum</t>
  </si>
  <si>
    <t>ISMAIL HOSSAIN</t>
  </si>
  <si>
    <t>Mostofa</t>
  </si>
  <si>
    <t>Faysal</t>
  </si>
  <si>
    <t>Morjina Begum</t>
  </si>
  <si>
    <t>Rokeya Khatun</t>
  </si>
  <si>
    <t>Rasheda Begum</t>
  </si>
  <si>
    <t>Nur Mohammad</t>
  </si>
  <si>
    <t>ABDUL HANNAN</t>
  </si>
  <si>
    <t>SHAHINUR</t>
  </si>
  <si>
    <t>Md. Manik</t>
  </si>
  <si>
    <t>Easmin Begum</t>
  </si>
  <si>
    <t>ALEYA BEGUM</t>
  </si>
  <si>
    <t>Amena Begum</t>
  </si>
  <si>
    <t>Jamal Molla</t>
  </si>
  <si>
    <t>ROHIMA BEGUM</t>
  </si>
  <si>
    <t>Najmul</t>
  </si>
  <si>
    <t>Nijam</t>
  </si>
  <si>
    <t>Rojena</t>
  </si>
  <si>
    <t>Masuma Begum</t>
  </si>
  <si>
    <t>Lima</t>
  </si>
  <si>
    <t>Asma Begum</t>
  </si>
  <si>
    <t>Mosiur Rahman</t>
  </si>
  <si>
    <t>Md. Abul Kalam Azad</t>
  </si>
  <si>
    <t>Nurnahar</t>
  </si>
  <si>
    <t>Md. Malek</t>
  </si>
  <si>
    <t>ABU HANIF</t>
  </si>
  <si>
    <t>MD.ABDUR RAZZAK</t>
  </si>
  <si>
    <t>Md. Shohidul Islam</t>
  </si>
  <si>
    <t>Renu Begum</t>
  </si>
  <si>
    <t>Sorifa Begum</t>
  </si>
  <si>
    <t>NASIMA BEGUM</t>
  </si>
  <si>
    <t>ABDUL MALEK</t>
  </si>
  <si>
    <t>GIYAS UDDIN</t>
  </si>
  <si>
    <t>ABDUL MANNAN</t>
  </si>
  <si>
    <t>Farida Begum</t>
  </si>
  <si>
    <t>Md. Abdus Salam</t>
  </si>
  <si>
    <t>Sathi Begum</t>
  </si>
  <si>
    <t>Ranu</t>
  </si>
  <si>
    <t>Asia Begum</t>
  </si>
  <si>
    <t>Taslima Akter</t>
  </si>
  <si>
    <t>Fulmia</t>
  </si>
  <si>
    <t>Masuda</t>
  </si>
  <si>
    <t>Yesmin Akter</t>
  </si>
  <si>
    <t>Md.Osman Goni</t>
  </si>
  <si>
    <t>Md.Abdus Salam</t>
  </si>
  <si>
    <t>FIROJA</t>
  </si>
  <si>
    <t>Shahana Begum</t>
  </si>
  <si>
    <t>Rita Rani</t>
  </si>
  <si>
    <t>Md. Shafiqul Islam</t>
  </si>
  <si>
    <t>HANNAN MIA</t>
  </si>
  <si>
    <t xml:space="preserve">Usage rate for project cookstoves in year y, based on adoption rate and drop off rate revealed by usage surveys (fraction) </t>
  </si>
  <si>
    <t xml:space="preserve">Usage of baseline cookstove during the year y (fraction) in project scenario </t>
  </si>
  <si>
    <t>y-1</t>
  </si>
  <si>
    <t>VPA 10</t>
  </si>
  <si>
    <t>VPA 11</t>
  </si>
  <si>
    <t>VPA 12</t>
  </si>
  <si>
    <t>VPA 13</t>
  </si>
  <si>
    <t>VPA 14</t>
  </si>
  <si>
    <t>VPA 15</t>
  </si>
  <si>
    <t>VPA 16</t>
  </si>
  <si>
    <t>VPA 17</t>
  </si>
  <si>
    <t>VPA 18</t>
  </si>
  <si>
    <t>VPA 19</t>
  </si>
  <si>
    <t>VPA 20</t>
  </si>
  <si>
    <t>VPA 21</t>
  </si>
  <si>
    <t>VPA 22</t>
  </si>
  <si>
    <t>VPA 23</t>
  </si>
  <si>
    <t>VPA 24</t>
  </si>
  <si>
    <t>VPA 25</t>
  </si>
  <si>
    <t>VPA 26</t>
  </si>
  <si>
    <t>VPA 27</t>
  </si>
  <si>
    <t>VPA 28</t>
  </si>
  <si>
    <t>VPA 29</t>
  </si>
  <si>
    <t>VPA 30</t>
  </si>
  <si>
    <t>VPA 31</t>
  </si>
  <si>
    <t>VPA 32</t>
  </si>
  <si>
    <t>VPA 33</t>
  </si>
  <si>
    <t>VPA 34</t>
  </si>
  <si>
    <t>VPA 35</t>
  </si>
  <si>
    <t>VPA 36</t>
  </si>
  <si>
    <t>VPA NUMBER</t>
  </si>
  <si>
    <t>MD. MONIRUL ISLAM</t>
  </si>
  <si>
    <t>MD. ABDUR RAHIM</t>
  </si>
  <si>
    <t>MD.ABUL</t>
  </si>
  <si>
    <t>MD.OSMAN GONI</t>
  </si>
  <si>
    <t>MD. SHAHIN ALOM</t>
  </si>
  <si>
    <t>MD.ABDUL JOLIL</t>
  </si>
  <si>
    <t>AMJAD HOSSEN</t>
  </si>
  <si>
    <t>BISWAJIT BISWAS</t>
  </si>
  <si>
    <t>MD.JAHIRUL ISLAM</t>
  </si>
  <si>
    <t>MD. SHAFIQUL ISLAM</t>
  </si>
  <si>
    <t>MD. KUTUB UDDIN</t>
  </si>
  <si>
    <t>MD.AZAHAR</t>
  </si>
  <si>
    <t>HAMIDA AKTER</t>
  </si>
  <si>
    <t>SULTANA</t>
  </si>
  <si>
    <t>ROMJAN ALI</t>
  </si>
  <si>
    <t>ISLAM</t>
  </si>
  <si>
    <t>MALEK</t>
  </si>
  <si>
    <t>MD. JAHIRUL ISLAM</t>
  </si>
  <si>
    <t>MD.ROFIKUL</t>
  </si>
  <si>
    <t>KULSUM.</t>
  </si>
  <si>
    <t>ASHRAFUL ISLAM</t>
  </si>
  <si>
    <t>MD.KADEMUL</t>
  </si>
  <si>
    <t>MD.MONIRUL ISLAM</t>
  </si>
  <si>
    <t>GOLJAR</t>
  </si>
  <si>
    <t>FIROJ</t>
  </si>
  <si>
    <t>MD ABDUL HAKIM</t>
  </si>
  <si>
    <t>MD.DELOAR HOSSEN</t>
  </si>
  <si>
    <t>TOHOMINA</t>
  </si>
  <si>
    <t>DELOAR</t>
  </si>
  <si>
    <t>MD.GOLAM MOSTOFA</t>
  </si>
  <si>
    <t>SONJOY</t>
  </si>
  <si>
    <t>SAHEB ALI</t>
  </si>
  <si>
    <t>JULEKHA</t>
  </si>
  <si>
    <t>NAJIRA</t>
  </si>
  <si>
    <t>RUNA BEGOM</t>
  </si>
  <si>
    <t>MD.RASEL</t>
  </si>
  <si>
    <t>MD.JOHIR</t>
  </si>
  <si>
    <t>MD.SHAFIQUL ISLAM</t>
  </si>
  <si>
    <t>MD.ABDUR RAHIM</t>
  </si>
  <si>
    <t>AISHA</t>
  </si>
  <si>
    <t>HASAN SHEIKH</t>
  </si>
  <si>
    <t>DIPTI RANI</t>
  </si>
  <si>
    <t>SAHINUR BEGUM</t>
  </si>
  <si>
    <t>MD. ALTAB HOSEN</t>
  </si>
  <si>
    <t>KAMAL SANA</t>
  </si>
  <si>
    <t>JOMIR HOSSEN</t>
  </si>
  <si>
    <t>AYESHA BEGUM</t>
  </si>
  <si>
    <t>SUJENA BEGUM</t>
  </si>
  <si>
    <t>MASUMA BEGUM</t>
  </si>
  <si>
    <t>MAJADA BEGUM</t>
  </si>
  <si>
    <t>FARUK HOWLADER</t>
  </si>
  <si>
    <t>RONJINA BEGUM</t>
  </si>
  <si>
    <t>MD.JAMAL HOSSAIN</t>
  </si>
  <si>
    <t>DALIM MIA</t>
  </si>
  <si>
    <t>BIMOL DAS</t>
  </si>
  <si>
    <t>NAZRUL MOLLA</t>
  </si>
  <si>
    <t>SHAMOLI BEGUM</t>
  </si>
  <si>
    <t>REZAUL KORIM</t>
  </si>
  <si>
    <t>MD.KUTUB UDDIN</t>
  </si>
  <si>
    <t>MD.BADSA MIA</t>
  </si>
  <si>
    <t>ESMAT ARA</t>
  </si>
  <si>
    <t>SATTAR HOSSAIN</t>
  </si>
  <si>
    <t>MD.ATAUR</t>
  </si>
  <si>
    <t>JAMILA KHATUN</t>
  </si>
  <si>
    <t>RENUARA</t>
  </si>
  <si>
    <t>MD.ZIA</t>
  </si>
  <si>
    <t>BIKASH SARKER</t>
  </si>
  <si>
    <t>SOKINA KHATUN</t>
  </si>
  <si>
    <t>MD.ZALAL</t>
  </si>
  <si>
    <t>NAZMUL HOSAIN</t>
  </si>
  <si>
    <t>MD.MEHEDI HASAN</t>
  </si>
  <si>
    <t>MD. ABDUL MANNAN</t>
  </si>
  <si>
    <t>MD.SUMON SHEIKH</t>
  </si>
  <si>
    <t>RAHANA KATUN</t>
  </si>
  <si>
    <t>ROJINA KHATUN</t>
  </si>
  <si>
    <t>MD. HASEN</t>
  </si>
  <si>
    <t>MD.MURAD MIA</t>
  </si>
  <si>
    <t>MD.MOSTAFIZUR RAHAMAN</t>
  </si>
  <si>
    <t>RATON BISWAS</t>
  </si>
  <si>
    <t>SREE.KIRONI RANI</t>
  </si>
  <si>
    <t>MST.NAZMA BEGUM</t>
  </si>
  <si>
    <t>MD. FORHAD HOSSEN</t>
  </si>
  <si>
    <t>RIMA BEGOM</t>
  </si>
  <si>
    <t>MD. RAYHAN ALI</t>
  </si>
  <si>
    <t>SAG-CNG-VOL-GOH-D-259</t>
  </si>
  <si>
    <t>BOS-THA-RAN-HOS-D-193</t>
  </si>
  <si>
    <t>DHS-NIL-SAD-TUP-D-536</t>
  </si>
  <si>
    <t>DUI-DIN-BOC-SAT-D-161</t>
  </si>
  <si>
    <t>MSS.SONAMAI</t>
  </si>
  <si>
    <t>GOU-NIL-SAD-CHA-D-346</t>
  </si>
  <si>
    <t>LAB-DIN-PAR-W07-D-738</t>
  </si>
  <si>
    <t>MMR-DIN-CHI-FOT-D-92</t>
  </si>
  <si>
    <t>SAM-THA-BAL-AMJ-D-413</t>
  </si>
  <si>
    <t>HOS-GAI-SUN-BAM-D-170</t>
  </si>
  <si>
    <t>JOM-SIR-SIR-BAG-D-199</t>
  </si>
  <si>
    <t>MD.LAL CHAN MIA</t>
  </si>
  <si>
    <t>MS3-HAB-BAN-PUB-D-57</t>
  </si>
  <si>
    <t>NIM-JOY-PAN-W08-D-195</t>
  </si>
  <si>
    <t>POR-SIR-SHA-KHU-D-23</t>
  </si>
  <si>
    <t>SHS-GAZ-GAS-GAC-D-544</t>
  </si>
  <si>
    <t>MFS-DHA-SAV-BAN-D-173</t>
  </si>
  <si>
    <t>KS3-LAK-RGT-CHA-D-0897</t>
  </si>
  <si>
    <t>MES-GOP-GOP-BOR-D-252</t>
  </si>
  <si>
    <t>OMA-FEN-DIG-DIG-D-35</t>
  </si>
  <si>
    <t>MYS-KUS-KHO-SOM-D-13</t>
  </si>
  <si>
    <t>PS2-NRL-KAL-PUR-D-1084</t>
  </si>
  <si>
    <t>TS4-NRL-KAL-ELI-D-119</t>
  </si>
  <si>
    <t>TUHINA BEGOM</t>
  </si>
  <si>
    <t>DE1-MEH-GAN-DAH-D-717</t>
  </si>
  <si>
    <t>MBE-MOU-SRI-BHU-D-305</t>
  </si>
  <si>
    <t>SAS-KUS-MIR-CHA-D-737</t>
  </si>
  <si>
    <t>MS1-FEN-CHH-RAD-D-128</t>
  </si>
  <si>
    <t>RAN-DIN-BOC-W02-D-13</t>
  </si>
  <si>
    <t>RAK-JHE-SHA-W05-D-67</t>
  </si>
  <si>
    <t>MLS-THA-HOR-VAT-D-483</t>
  </si>
  <si>
    <t>ASS-KIS(N)-KAR-DEH-D-2151</t>
  </si>
  <si>
    <t>ASA-NAO-POR-NIT-D-382</t>
  </si>
  <si>
    <t>MD. EBRAHIM HOSEN</t>
  </si>
  <si>
    <t>MA-KHU-DAC-BAN-D-936</t>
  </si>
  <si>
    <t>FOS-CTG(N)-SWA-HAR-D-03</t>
  </si>
  <si>
    <t>RAK-THA-SAD-RUH-D-66</t>
  </si>
  <si>
    <t>AKS1-FEN-SON-AMI-D-13</t>
  </si>
  <si>
    <t>IMS-NSG-SHI-DUL-D-116</t>
  </si>
  <si>
    <t>JS1-MAG-SHA-BUN-D-111</t>
  </si>
  <si>
    <t>SHA-LAL-HAT-VAL-D-202</t>
  </si>
  <si>
    <t>MD: ABDUS SOBHAN</t>
  </si>
  <si>
    <t>FHS-NAG-SHI-GAJ-D-88</t>
  </si>
  <si>
    <t>FAS1-COM(N)-MUR-PAH-D-34</t>
  </si>
  <si>
    <t>MAS3-GAI-SAD-W06-D-83</t>
  </si>
  <si>
    <t>LOS-GAI-SUN-SAP-D-14</t>
  </si>
  <si>
    <t>MAA-SHE-SRE-RAN-D-293</t>
  </si>
  <si>
    <t>Fahima</t>
  </si>
  <si>
    <t>BR-SAT-TAL-KHN-D-813</t>
  </si>
  <si>
    <t>JAS-SAT-DEB-KUL-D-982</t>
  </si>
  <si>
    <t>Khalur Rahaman</t>
  </si>
  <si>
    <t>NS-SYL(E)-JAI-CHA-D-449</t>
  </si>
  <si>
    <t>Md. Abdur Rahim</t>
  </si>
  <si>
    <t>SIM-COX-MOE-BAR-D-121</t>
  </si>
  <si>
    <t>MRE-MEH-MEH-KUT-D-851</t>
  </si>
  <si>
    <t>SHS-GAZ-GAS-W03-D-604</t>
  </si>
  <si>
    <t>AMI-COX-RAM-DAK-D-393</t>
  </si>
  <si>
    <t>MOSHENA BEGUM</t>
  </si>
  <si>
    <t>MOS-COM(N)-MAG-CHN-D-571</t>
  </si>
  <si>
    <t>MRS-GAZ-GAS-W24-D-179</t>
  </si>
  <si>
    <t>NAI-MAD-ZAN-JOY-D-1</t>
  </si>
  <si>
    <t>MRE1-GAZ-GAS-W42-D-385</t>
  </si>
  <si>
    <t>NS-DHA-SAV-DHM-D-678</t>
  </si>
  <si>
    <t>BIS-CTG(S)-BOA-SAR-D-10</t>
  </si>
  <si>
    <t>AS1-C0M(S)-LAK-WD-4-D-85</t>
  </si>
  <si>
    <t>KAN1-NAT-LAL-BIL-D-357</t>
  </si>
  <si>
    <t>BIS1-CTG(S)-PAT-CHA-D-95</t>
  </si>
  <si>
    <t>SHA-CTG(S)-SAT-KHA-D-31</t>
  </si>
  <si>
    <t>TS2-HAB-CHU-UBA-D-132</t>
  </si>
  <si>
    <t>BED-PAB-PAB-DOG-D-57</t>
  </si>
  <si>
    <t>KNO-BOG-SAR-KOR-D-195</t>
  </si>
  <si>
    <t>MD.INTAZ MONDOL</t>
  </si>
  <si>
    <t>PS-JES-MON-MON-D-56</t>
  </si>
  <si>
    <t>RS3-NRL-LOH-NOA-D-2799</t>
  </si>
  <si>
    <t>SBS-SHE-NAL-RAM-D-93</t>
  </si>
  <si>
    <t>SUB-GAI-GOB-HOR-D-374</t>
  </si>
  <si>
    <t>NEHAJ ALI</t>
  </si>
  <si>
    <t>SUB-GAI-GOB-HOR-D-378</t>
  </si>
  <si>
    <t>VVS-BOG-BOG-W20-D-31</t>
  </si>
  <si>
    <t>MA-KHU-DAC-BAN-D-1030</t>
  </si>
  <si>
    <t>SHS-NAR-NAS-W06-D-238</t>
  </si>
  <si>
    <t>MOS-COM(N)-BUR-BAR-D-73</t>
  </si>
  <si>
    <t>MST-GAI-SAP-BON-D-293</t>
  </si>
  <si>
    <t>PS-JES-MON-W05-D-87</t>
  </si>
  <si>
    <t>SBS-NET-MOH-TAT-D-51</t>
  </si>
  <si>
    <t>SS-CHA-FAR-ESP-D-357</t>
  </si>
  <si>
    <t>AKS-RAJ-MOH-MAU-D-74</t>
  </si>
  <si>
    <t>NT-HAB-BAH-BAH-D-509</t>
  </si>
  <si>
    <t>SS6-MUN-MUS-PON-2</t>
  </si>
  <si>
    <t>MA2-SAT-TAL-MAG-D-119</t>
  </si>
  <si>
    <t>MAS-SAT-TAL-TAL-D-390</t>
  </si>
  <si>
    <t>NIR-DIN-BRG-SUJ-D-448</t>
  </si>
  <si>
    <t>RS3-SAT-KAL-MOT-D-1584</t>
  </si>
  <si>
    <t>THA-BAG-FAK-BAH-D-344</t>
  </si>
  <si>
    <t>AME-BAG-MOR-MOR-D-467</t>
  </si>
  <si>
    <t>AOU-SHA-ZAN-NAO-D-2</t>
  </si>
  <si>
    <t>AS1-SAT-DEB-SOK-D-226</t>
  </si>
  <si>
    <t>MOS2-COM(N)-DAU-DAU-D-585</t>
  </si>
  <si>
    <t>SUMON VUYA</t>
  </si>
  <si>
    <t>RAS-KUS-DAU-BOY-D-793</t>
  </si>
  <si>
    <t>SAD-COX-KUT-LEM-D-75</t>
  </si>
  <si>
    <t>SOF-NIL-DIM-DIM-D-8</t>
  </si>
  <si>
    <t>ALF-NIL-DOM-SON-D-01</t>
  </si>
  <si>
    <t>AS2-RJB-RJB-W02-D-169</t>
  </si>
  <si>
    <t>MUN-FAR-BHA-W02-D-1438</t>
  </si>
  <si>
    <t>WAR-FAR-FAR-W02-D-86</t>
  </si>
  <si>
    <t>SIRINA BEGUM</t>
  </si>
  <si>
    <t>MIM-CNG-SHI-DAI-D-364</t>
  </si>
  <si>
    <t>RSA-PAN-SAD-DHA-D-854</t>
  </si>
  <si>
    <t>SS3-JES-KES-BID-D-555</t>
  </si>
  <si>
    <t>JAM-JES-SAR-BAG-D-11</t>
  </si>
  <si>
    <t>PGS-NIL-DOM-VOG-D-298</t>
  </si>
  <si>
    <t>AMI-COX-CHO-KHU-D-572</t>
  </si>
  <si>
    <t>ABD-PAB-CHA-NEM-D-42</t>
  </si>
  <si>
    <t>ANA1-BAG-MOR-BON-D-522</t>
  </si>
  <si>
    <t>SHIPRA SAHA</t>
  </si>
  <si>
    <t>GRA-BOG-ADM-KUN-D-14</t>
  </si>
  <si>
    <t>JS-LAK-RGT-CHG-D-366</t>
  </si>
  <si>
    <t>MIS-GAI-SAD-W5-D-09</t>
  </si>
  <si>
    <t>MD. SAIFUL ISLAM MOLLA</t>
  </si>
  <si>
    <t>RIY-PAB-ATG-MAJ-D-212</t>
  </si>
  <si>
    <t>RIY-PAB-ATG-MAJ-D-217</t>
  </si>
  <si>
    <t>RPH-SIR-SIR-W01-D-09</t>
  </si>
  <si>
    <t>SAA-PAB-PAB-HEM-D-416</t>
  </si>
  <si>
    <t>TS4-NRL-KAL-ELI-D-397</t>
  </si>
  <si>
    <t>VAI-SIR-SIR-RAT-D-446</t>
  </si>
  <si>
    <t>VAI-SIR-SIR-RAT-D-456</t>
  </si>
  <si>
    <t>SS3-JES-JHI-BAK-D-559</t>
  </si>
  <si>
    <t>SOV-THA-PIR-BAR-D-04</t>
  </si>
  <si>
    <t>MNE-COX-CHO-FAS-D-502</t>
  </si>
  <si>
    <t>MOS2-COM(N)-MOT-KAL-D-605</t>
  </si>
  <si>
    <t>AMS-BHO-CHA-DAK-D-2</t>
  </si>
  <si>
    <t>KAZI-BAG-RAM-UJA-D-714</t>
  </si>
  <si>
    <t>VVE-NET-BAR-ASM-D-504</t>
  </si>
  <si>
    <t>ALM-BAG-FAK-FAK-D-55</t>
  </si>
  <si>
    <t>MEH-RNG-RAN-KOD-D-126</t>
  </si>
  <si>
    <t>SS1-SAT-ASS-ASS-D-930</t>
  </si>
  <si>
    <t>VED-NIL-SAI-W02-D-1340</t>
  </si>
  <si>
    <t>AMI-JES-SAR-BAN-D-139</t>
  </si>
  <si>
    <t>BAS-FEN-RAM-RAM-D-42</t>
  </si>
  <si>
    <t>SAP-NIL-DIM-JHU-D-685</t>
  </si>
  <si>
    <t>EKS-SYL(E)-KAN-CHA-D-1253</t>
  </si>
  <si>
    <t>GMS-SAT-TAL-TAL-D-4</t>
  </si>
  <si>
    <t>SS-SYL(E)-BEA-LAW-D-688</t>
  </si>
  <si>
    <t>ZAS-MOU-BAR-BAR-D-3</t>
  </si>
  <si>
    <t>JS-SAT-KOL-HEL-D-589</t>
  </si>
  <si>
    <t>SHA-BRA-BRA-MAC-D-438</t>
  </si>
  <si>
    <t>RMS-NSG-RAY-ADI-D-22</t>
  </si>
  <si>
    <t>VS-CHA-HAZ-UGP-D-025</t>
  </si>
  <si>
    <t>MOSHARA BEGUM</t>
  </si>
  <si>
    <t>AS-MAG-SHA-DON-D-01315</t>
  </si>
  <si>
    <t>PS1-JES-KES-BID-D-175</t>
  </si>
  <si>
    <t>SAJ-JES-JES-W07-D-324</t>
  </si>
  <si>
    <t>SBH1-JES-KES-SAG-D-251</t>
  </si>
  <si>
    <t>SS1-JES-MON-CHA-D-110</t>
  </si>
  <si>
    <t>SS3-JES-KES-MON-D-299</t>
  </si>
  <si>
    <t>SS6-MAG-MAG-MOG-D-189</t>
  </si>
  <si>
    <t>BA-CHU-ALO-CHI-D-1069</t>
  </si>
  <si>
    <t>GRD-CNG-SAD-GOB-D-270</t>
  </si>
  <si>
    <t>HAF-CNG-SAD-W01-D-390</t>
  </si>
  <si>
    <t>MST.SAMOLI BEGUM</t>
  </si>
  <si>
    <t>MAS1-RAJ-PUT-BAN-D-5</t>
  </si>
  <si>
    <t>NUR-CNG-GAM-BOA-D-97</t>
  </si>
  <si>
    <t>RON-RAJ-BGM-NOR-D-1898</t>
  </si>
  <si>
    <t>SHA2-NAO-DHA-ALM-D-186</t>
  </si>
  <si>
    <t>SOMRA PAHAN</t>
  </si>
  <si>
    <t>SMK-CNG-SAD-RAN-D-74</t>
  </si>
  <si>
    <t>JKT-BRA-BRA-W09-D-367</t>
  </si>
  <si>
    <t>KSS-RAJ-MOH-BAG-D-39</t>
  </si>
  <si>
    <t>MMS-SYL(E)-ZOK-BOR-D-265</t>
  </si>
  <si>
    <t>ASA-NAO-POR-MUR-D-602</t>
  </si>
  <si>
    <t>MORIEOM BEGOM</t>
  </si>
  <si>
    <t>SS4-JES-JHI-NIR-D-457</t>
  </si>
  <si>
    <t>MHT-COM(S)-COM(S)-BEL-D-34</t>
  </si>
  <si>
    <t>MOH-CTG(N)-SWA-RAH-D-03</t>
  </si>
  <si>
    <t>MAR-BAN-BAN-W08-D25</t>
  </si>
  <si>
    <t>MAS-TAN(N)-GHA-ANE-D-94</t>
  </si>
  <si>
    <t>ROS-JAM-DEW-SAD-D-149</t>
  </si>
  <si>
    <t>RS3-SAT-KAL-KUS-D-1690</t>
  </si>
  <si>
    <t>APPAR GAZI</t>
  </si>
  <si>
    <t>AKS-RAJ-MOH-JAC-D-142</t>
  </si>
  <si>
    <t>JAN-BAG-RAM-UJA-D-180</t>
  </si>
  <si>
    <t>APO-BAG-CHI-SIB-D-897</t>
  </si>
  <si>
    <t>BUL-GAI-GOB-DOR-D-1540</t>
  </si>
  <si>
    <t>CHA1-BOG-KHA-PAI-D-19</t>
  </si>
  <si>
    <t>MON-BOG-GAB-KAG-D-478</t>
  </si>
  <si>
    <t>SREE.BIPULCHANDRO SAHA</t>
  </si>
  <si>
    <t>MON-BOG-GAB-KAG-D-480</t>
  </si>
  <si>
    <t>NAJ-PAB-PAB-DAP-D-114</t>
  </si>
  <si>
    <t>RIP-PAB-ATG-W03-D-331</t>
  </si>
  <si>
    <t>RS3-NRL-LOH-NOA-D-3050</t>
  </si>
  <si>
    <t>RS3-NRL-LOH-NOA-D-3089</t>
  </si>
  <si>
    <t>RS3-NRL-LOH-NOA-D-3148</t>
  </si>
  <si>
    <t>SOJ-COX-CHO-W02-D-898</t>
  </si>
  <si>
    <t>SS4-SAT-ASS-SOV-D-375</t>
  </si>
  <si>
    <t>APO-COX-CHO-DUL-D-35</t>
  </si>
  <si>
    <t>ABU-JES-JES-ISA-D-118</t>
  </si>
  <si>
    <t>MS1-SAT-DEB-PAR-D-936</t>
  </si>
  <si>
    <t>VS-CHA-HAI-UAD-D-0274</t>
  </si>
  <si>
    <t>PCS-CNG-SAD-W05-D-20</t>
  </si>
  <si>
    <t>KAS-RAJ-CHA-W05-D-352</t>
  </si>
  <si>
    <t>ASA-NAO-POR-MUR-D-618</t>
  </si>
  <si>
    <t>JAS-SAT-DEB-KUL-D-1603</t>
  </si>
  <si>
    <t>FIS-NIL-JAL-W06-D-216</t>
  </si>
  <si>
    <t>NES-JES-SAR-PUT-D-14</t>
  </si>
  <si>
    <t>MMS-BRA-KAS-BIN-D-26</t>
  </si>
  <si>
    <t>SBH1-JES-KES-W04-D-259</t>
  </si>
  <si>
    <t>RAF-CTG(N)-FAT-DAU-D-626</t>
  </si>
  <si>
    <t>SAS2-COM(N)-HOM-JOY-D-11</t>
  </si>
  <si>
    <t>DIS-SAT-TAL-TAL-D-102</t>
  </si>
  <si>
    <t>ZOS-SAT-KAL-BIS-D-83</t>
  </si>
  <si>
    <t>GRS-BSL-SAD-W01-D-434</t>
  </si>
  <si>
    <t>Md. Al-Mamun</t>
  </si>
  <si>
    <t>Md. Robiul</t>
  </si>
  <si>
    <t>Md. Mosharof</t>
  </si>
  <si>
    <t>Md. Osman Goni</t>
  </si>
  <si>
    <t>NSH-MOU-SRI-KAL-D-42</t>
  </si>
  <si>
    <t>RS-NRL-LOH-KAS-D-115</t>
  </si>
  <si>
    <t>Tazul Islam</t>
  </si>
  <si>
    <t>JES-NAO-MOA-HAT-D-237</t>
  </si>
  <si>
    <t>HAB-CTG(S)-LOH-POT-D-66</t>
  </si>
  <si>
    <t>MIM-CNG-SHI-DAI-D-408</t>
  </si>
  <si>
    <t>SIA-SHE-SRE-RAN-D-1248</t>
  </si>
  <si>
    <t>KKS-RJB-RJB-W01-D-32</t>
  </si>
  <si>
    <t>MAB-RAJ-PUT-KAF-168</t>
  </si>
  <si>
    <t>SS3-JES-KES-MON-D-612</t>
  </si>
  <si>
    <t>ALA1-CTG-(S)-SAT-KEW-D-19</t>
  </si>
  <si>
    <t>BA-MEH-MUJ-DAR-D-1113</t>
  </si>
  <si>
    <t>UZT-MUN-SRE-RAL-D-67</t>
  </si>
  <si>
    <t>MS3-HAB-BAN-PUB-D-157</t>
  </si>
  <si>
    <t>SAZ-NAT-SIN-SER-D-346</t>
  </si>
  <si>
    <t>SHS-KUS-BHE-W03-D-209</t>
  </si>
  <si>
    <t>MIS.MENOTI KHATUN</t>
  </si>
  <si>
    <t>LUT-CTG-MIR-WAH-D-221</t>
  </si>
  <si>
    <t>ABC-NRL-NRL-SHA-D-604</t>
  </si>
  <si>
    <t>AMI-BOG-DUP-ZIA-D-113</t>
  </si>
  <si>
    <t>HS1-MAD-SHI-BAN-D-37</t>
  </si>
  <si>
    <t>MAB-KHU-KOY-MOH-D-17</t>
  </si>
  <si>
    <t>MAR.1-PAB-ISH-PAK-D-486</t>
  </si>
  <si>
    <t>MOH-BOG-BOG-SHA-D-238</t>
  </si>
  <si>
    <t>NIS1-BOG-SHE-W08-D-07</t>
  </si>
  <si>
    <t>RS3-NRL-LOH-NOA-D-3269</t>
  </si>
  <si>
    <t>SHI-BOG-BOG-SHB-D-33</t>
  </si>
  <si>
    <t>MD.BOKUL MIA PK</t>
  </si>
  <si>
    <t>MD.LIAKAT ALI DAKUYA MONJU</t>
  </si>
  <si>
    <t>TIS-GAI-SUN-SRE-D-210</t>
  </si>
  <si>
    <t>NET-PAN-DEB-DEB-D-1183</t>
  </si>
  <si>
    <t>JAS-SAT-KAL-NAL-D-1638</t>
  </si>
  <si>
    <t>MAS-NET-NET-GAB-D-407</t>
  </si>
  <si>
    <t>REP-PAT-BAU-KON-D-47</t>
  </si>
  <si>
    <t>BAI-BAG-MOL-ATJ-D-314</t>
  </si>
  <si>
    <t>TAH-BAG-MOL-KOD-D-603</t>
  </si>
  <si>
    <t>MAH-RNG-RAN-SHA-D-31</t>
  </si>
  <si>
    <t>ASA-NAO-POR-MUR-D-653</t>
  </si>
  <si>
    <t>JE-BRA-KAS-DHA-D-58</t>
  </si>
  <si>
    <t>KS3-SAT-TAL-ISL-D-616</t>
  </si>
  <si>
    <t>SAS-NIL-DIM-KHA-D-856</t>
  </si>
  <si>
    <t>SHS-GAI-POL-MOH-D-83</t>
  </si>
  <si>
    <t>ZAS-RAN-MIT-CHA-D-354</t>
  </si>
  <si>
    <t>SANDHA SAHA</t>
  </si>
  <si>
    <t>MAR-KUS-KUS-W03-D-466</t>
  </si>
  <si>
    <t>AS1-HAB-HAB-SAI-D-98</t>
  </si>
  <si>
    <t>MYS-COX-SAD-ISL-D-038</t>
  </si>
  <si>
    <t>NEW-RNG-RNG-W08-D-308</t>
  </si>
  <si>
    <t>NEW-RNG-RNG-W08-D-315</t>
  </si>
  <si>
    <t>SRE-RAJ-GOD-W06-D-811</t>
  </si>
  <si>
    <t>Kawsar Miah</t>
  </si>
  <si>
    <t>BAS-MUN-TON-BAL-D-102</t>
  </si>
  <si>
    <t>BO2-KHU-KOY-BAG-D-1732</t>
  </si>
  <si>
    <t>Shumi</t>
  </si>
  <si>
    <t>KS-FEN-DAG-SHI-D-08</t>
  </si>
  <si>
    <t>Gias Miah</t>
  </si>
  <si>
    <t>KS-FEN-FEN-DOL-D-0156</t>
  </si>
  <si>
    <t>MBC1-GOP-GOP-PAI-D-355</t>
  </si>
  <si>
    <t>MDS-CHA-SHA-W3-D-002</t>
  </si>
  <si>
    <t>Mena Akther</t>
  </si>
  <si>
    <t>Mes-she-she-pou-w8-d-106</t>
  </si>
  <si>
    <t>MHT-NOA-CHA-MOH-D-244</t>
  </si>
  <si>
    <t>MOT-BOG-SAR-COR-D-06</t>
  </si>
  <si>
    <t>MS-FNE-DAG-JOY-D-0008</t>
  </si>
  <si>
    <t>NAB-BAG-MOR-PUT-D-685</t>
  </si>
  <si>
    <t>RAS-COM-DEB-DAM-D-164</t>
  </si>
  <si>
    <t>Farbin Akter</t>
  </si>
  <si>
    <t>RS-LAK-RAM-W8-D-0283</t>
  </si>
  <si>
    <t>SE-COM-MEG-SHI-D-124</t>
  </si>
  <si>
    <t>Md. Sentu Miah</t>
  </si>
  <si>
    <t>SS-FEN-CHA-RAD-D-01</t>
  </si>
  <si>
    <t>SUS-GAM-DAW-SAD-06-D118</t>
  </si>
  <si>
    <t>Parameter</t>
  </si>
  <si>
    <t>ER multiplier</t>
  </si>
  <si>
    <t>Sample Size  required</t>
  </si>
  <si>
    <t>Unit</t>
  </si>
  <si>
    <t>MD. MOMINUR ISLAM</t>
  </si>
  <si>
    <t>MD. SHAMIM BABU</t>
  </si>
  <si>
    <t>MD. AHSAN HABIB</t>
  </si>
  <si>
    <t>NOOR BAKT MIA</t>
  </si>
  <si>
    <t>MONASH KUMAR BAHADUR</t>
  </si>
  <si>
    <t>DEBASHISH BISWAS</t>
  </si>
  <si>
    <t>MD. SHAHADAT HOSSAIN</t>
  </si>
  <si>
    <t>Population Size</t>
  </si>
  <si>
    <t>number</t>
  </si>
  <si>
    <t>Sample Size</t>
  </si>
  <si>
    <t>Proportion for Up,y</t>
  </si>
  <si>
    <t>Standard error of proportion for Up,y</t>
  </si>
  <si>
    <t>Precision for Up,y</t>
  </si>
  <si>
    <t>Result for Up,y</t>
  </si>
  <si>
    <t xml:space="preserve"> --</t>
  </si>
  <si>
    <t>Proportion for non baseline stove usage (1-DFb,Stove,y)</t>
  </si>
  <si>
    <t>Standard error of proportion for non baseline stove usage</t>
  </si>
  <si>
    <t>Precision for non baseline stove usage</t>
  </si>
  <si>
    <t>Result for non baseline stove usage</t>
  </si>
  <si>
    <t>Efficiency of project cookstove (fraction) determined at the start of the project activity. In the situation where project stove efficiency is determined using WBT</t>
  </si>
  <si>
    <t>2-3 years</t>
  </si>
  <si>
    <t>Monitoring Session</t>
  </si>
  <si>
    <t>MS1</t>
  </si>
  <si>
    <t>3-4 years</t>
  </si>
  <si>
    <t>MS2</t>
  </si>
  <si>
    <t>MLS-NRL-NRL-KOL-D-331</t>
  </si>
  <si>
    <t>PM-NRL-LOH-SHA-D-665</t>
  </si>
  <si>
    <t>ABR-KHU-SAD-W25-D-1197</t>
  </si>
  <si>
    <t>ONE-KHU-DUM-DUM-D-413</t>
  </si>
  <si>
    <t>BKS-KHU-KOY-KOY-D-65</t>
  </si>
  <si>
    <t>KHODAJA</t>
  </si>
  <si>
    <t>Hazira Begum</t>
  </si>
  <si>
    <t>SAS1-SAT-KAL-VAR-D-313</t>
  </si>
  <si>
    <t>GM.Saju Ahmed</t>
  </si>
  <si>
    <t>TAS-JAM-MEL-FUL-D-89</t>
  </si>
  <si>
    <t>Eti Halder</t>
  </si>
  <si>
    <t>SHA-BAG-MOR-RAY-D-105</t>
  </si>
  <si>
    <t>Jarna Begum</t>
  </si>
  <si>
    <t xml:space="preserve">   </t>
  </si>
  <si>
    <t>MS-NRL-KAL-PER-D-46</t>
  </si>
  <si>
    <t>sobsra khatun</t>
  </si>
  <si>
    <t>AME-BAG-MOR-MOR-D-43</t>
  </si>
  <si>
    <t>Emran Hossain</t>
  </si>
  <si>
    <t>POLS-KHU-DAC-KOI-D-49</t>
  </si>
  <si>
    <t>Jabadha Bibi</t>
  </si>
  <si>
    <t>Shadat</t>
  </si>
  <si>
    <t>Rehena Akter</t>
  </si>
  <si>
    <t>NAB-BAG-MOR-PUT-D-1143</t>
  </si>
  <si>
    <t>SUS-KHU-DAC-SUT-D-193</t>
  </si>
  <si>
    <t>Morgina Begum</t>
  </si>
  <si>
    <t>AZS-JES-JES-NOA-D-414</t>
  </si>
  <si>
    <t>AMI-CTG(S)-BAS-POI-D-585</t>
  </si>
  <si>
    <t>ARK-RAJ-RAJ-W01-D-115</t>
  </si>
  <si>
    <t>MD.ZAFOR MESTER</t>
  </si>
  <si>
    <t>BBC-NOA-HAT-NIJ-D-742</t>
  </si>
  <si>
    <t>JJS-JES-JHI-GOD-D-01</t>
  </si>
  <si>
    <t>MIA-COX-KUT-DHU-D-148</t>
  </si>
  <si>
    <t>SAM-NIL-DIM-DIM-D-455</t>
  </si>
  <si>
    <t>SSS-NRL-NRL-AUR-D-237</t>
  </si>
  <si>
    <t>MLS-NRL-NRL-KOL-D-475</t>
  </si>
  <si>
    <t>SS5-NRL-NRL-SHE-D-167</t>
  </si>
  <si>
    <t>Monju Rani</t>
  </si>
  <si>
    <t>SAS-KUS-BHE-JUN-D-625</t>
  </si>
  <si>
    <t>AS-CHA-HAI-CHA-D-98</t>
  </si>
  <si>
    <t>MAG-KHU-DUM-MUG-D-19</t>
  </si>
  <si>
    <t>TPS1-JES-MON-HOR-D-129</t>
  </si>
  <si>
    <t>POL-NAO-MAN-KAL-D-08</t>
  </si>
  <si>
    <t>SHS-GAI-SUN-BEL-D-164</t>
  </si>
  <si>
    <t>ROMPA BEGUM</t>
  </si>
  <si>
    <t>VS-CHA-HAI-DAD-D-0161</t>
  </si>
  <si>
    <t>SHU-MAD-KAL-BAL-D-221</t>
  </si>
  <si>
    <t>SAJ-THA-SAD-MOH-D-325</t>
  </si>
  <si>
    <t>GOU-NIL-SAD-CHA-D-653</t>
  </si>
  <si>
    <t>SAL-BAG-RAM-PAY-D-438</t>
  </si>
  <si>
    <t>MLS-NRL-NRL-KOL-D-565</t>
  </si>
  <si>
    <t>HAS2-PAT-GAL-SAD-D-28</t>
  </si>
  <si>
    <t>Md.Al Mamun</t>
  </si>
  <si>
    <t>SS1-SAT-ASS-ASS-D-613</t>
  </si>
  <si>
    <t>KS3-LAK-RGT-CHA-D-962</t>
  </si>
  <si>
    <t>HS-LAK-SAD-W02-D-707</t>
  </si>
  <si>
    <t>Rahela Begum</t>
  </si>
  <si>
    <t>MS-SAT-TAL-KUM-D-79</t>
  </si>
  <si>
    <t>AS-COM(N)-TIT-NAR-D-1114</t>
  </si>
  <si>
    <t>NAB-BAG-MOR-PUT-D-972</t>
  </si>
  <si>
    <t>KAZ-BAG-MOR-BAR-D-186</t>
  </si>
  <si>
    <t>SOS-MUN-LOH-BOL-D-33</t>
  </si>
  <si>
    <t>HOS-GAI-SUN-SOR-D-135</t>
  </si>
  <si>
    <t>MAS-JAM-JAM-ROS-D-537</t>
  </si>
  <si>
    <t>JAS-MYM(N)-PUR-PUR-D-174</t>
  </si>
  <si>
    <t>BAB-BRA-SAR-PUK-D-124</t>
  </si>
  <si>
    <t>BR-SAT-TAL-KHN-D-1208</t>
  </si>
  <si>
    <t>Debasish Biswas</t>
  </si>
  <si>
    <t>SHAHORIA</t>
  </si>
  <si>
    <t>MUN-MAD-RAJ-PAI-D-1512</t>
  </si>
  <si>
    <t>NOS-COM(N)-BUR-MOK-D-464</t>
  </si>
  <si>
    <t>PS2-NRL-KAL-PUR-D-906</t>
  </si>
  <si>
    <t>SIY-CTG(N)-SWA-MUS-D-347</t>
  </si>
  <si>
    <t>Anisul Haq</t>
  </si>
  <si>
    <t>PS2-NRL-KAL-PUR-D-908</t>
  </si>
  <si>
    <t>MRS. NASEMA</t>
  </si>
  <si>
    <t>MLS-NRL-NRL-KAL-D-205</t>
  </si>
  <si>
    <t>BR-SAT-TAL-JAL-D-1324</t>
  </si>
  <si>
    <t>Minoti Das</t>
  </si>
  <si>
    <t>THE-JHE-JHE-W08-D-836</t>
  </si>
  <si>
    <t>SAD-BAG-MOR-WD-4-D-16</t>
  </si>
  <si>
    <t>BO2-KHU-KOY-MOH-D-1476</t>
  </si>
  <si>
    <t>Biswajit Biswas</t>
  </si>
  <si>
    <t>HAS2-PAT-GAL-SAD-D-52</t>
  </si>
  <si>
    <t>KHS-PAT-KAL-NIL-D-134</t>
  </si>
  <si>
    <t>HAS-PAT-RAN-MOU-D-60</t>
  </si>
  <si>
    <t>SHO-BAG-CHI-CHI-D-719</t>
  </si>
  <si>
    <t>SUM-BAG-RAM-BAS-D-37</t>
  </si>
  <si>
    <t>PS2-NRL-KAI-PUR-D-1303</t>
  </si>
  <si>
    <t>Jannatul Begum</t>
  </si>
  <si>
    <t>SUS-JAM-ISL-PAT-D-741</t>
  </si>
  <si>
    <t>RS1-NRL-LOH-LOH-D-1308</t>
  </si>
  <si>
    <t>RS1-RJB-RJB-W08-D-87</t>
  </si>
  <si>
    <t>ANN-BAG-BAG-W03-D-137</t>
  </si>
  <si>
    <t>RCF-COX-CHO-FAS-D-476</t>
  </si>
  <si>
    <t>RIP-SAT-KOL-SON-D-29</t>
  </si>
  <si>
    <t>RAJ-BAG-CHI-KOL-D-424</t>
  </si>
  <si>
    <t>KAK-BAG-MOL-KUL-D-311</t>
  </si>
  <si>
    <t>THA-BAG-FAK-BAH-D-236</t>
  </si>
  <si>
    <t>ALM-BAG-FAK-FAK-D-31</t>
  </si>
  <si>
    <t>AS-JES-OVA-SHR-D-104</t>
  </si>
  <si>
    <t>Roksana Begom</t>
  </si>
  <si>
    <t>GRA-CNG-GAM-RAH-D-310</t>
  </si>
  <si>
    <t>RST-CNG-NAC-NEZ-D-35</t>
  </si>
  <si>
    <t>CHO-CNG-GOD-W07-D-93</t>
  </si>
  <si>
    <t>SOF-NAT-BAG-BAG-D-31</t>
  </si>
  <si>
    <t>NAZ1-CNG-NAC-NEZ-D-115</t>
  </si>
  <si>
    <t>MISS.UJLAFA</t>
  </si>
  <si>
    <t>GRA-CNG-SHI-CHH-D-145</t>
  </si>
  <si>
    <t>MDS-SAT-TAL-JAL-D-143</t>
  </si>
  <si>
    <t>AGE-JES-JES-RAM-D-48</t>
  </si>
  <si>
    <t>FAS-SHA-DAM-DHA-D-636</t>
  </si>
  <si>
    <t>JKT-BRA-BRA-MAC-D-279</t>
  </si>
  <si>
    <t>ESH-BSL-SAD-CHO-D-276</t>
  </si>
  <si>
    <t>ANA1-BAG-MOR-BON-D-423</t>
  </si>
  <si>
    <t>Bulu Halder</t>
  </si>
  <si>
    <t>MAS-NET-NET-GAB-D-318</t>
  </si>
  <si>
    <t>NOV-FAR-BHA-CHA-D-66</t>
  </si>
  <si>
    <t>ZUS-MYM(N)-PUR-AGI-D-378</t>
  </si>
  <si>
    <t>Hanun akondo</t>
  </si>
  <si>
    <t>JIH-RNG-RAN-SAR-D-213</t>
  </si>
  <si>
    <t>KAS-MYM(N)-DUR-CAN-D-53</t>
  </si>
  <si>
    <t>JS-LAK-RGT-CHG-D-344</t>
  </si>
  <si>
    <t>FOR-JAM-DEW-CHU-D-064</t>
  </si>
  <si>
    <t>BS1-JES-JHI-JHI-D-540</t>
  </si>
  <si>
    <t>ERA-NAO-SAD-BAL-D-314</t>
  </si>
  <si>
    <t>BIS-NAO-SAD-DUB-D-100</t>
  </si>
  <si>
    <t>SHS2-RAJ-BAG-BAU-D-23</t>
  </si>
  <si>
    <t>MD.YUNUS MASTER</t>
  </si>
  <si>
    <t>Abdul Azit</t>
  </si>
  <si>
    <t>MDS-SAT-TAL-JAL-D-150</t>
  </si>
  <si>
    <t>HAE-BRA-KAS-KAS-D-35</t>
  </si>
  <si>
    <t>MRE-MEH-MEH-AMD-D-799</t>
  </si>
  <si>
    <t>MD. AKTAR ALI</t>
  </si>
  <si>
    <t>SUT-KHU-BAT-W09-D-433</t>
  </si>
  <si>
    <t>RUP-KHU-RUP-TSB-D-544</t>
  </si>
  <si>
    <t>JAS-SAT-SAT-ALI-D-1411</t>
  </si>
  <si>
    <t>SUS-JAM-ISL-PAT-D-784</t>
  </si>
  <si>
    <t>ONE-KHU-DUM-DUM-D-543</t>
  </si>
  <si>
    <t>RS3-SAT-KAL-VAR-D-1351</t>
  </si>
  <si>
    <t>APO-BAG-CHI-BRO-D-780</t>
  </si>
  <si>
    <t>MJF-SAT-KAL-NAL-D-180</t>
  </si>
  <si>
    <t>VED-SAT-KAL-TAR-D-97</t>
  </si>
  <si>
    <t>LKS-BSL-AGL-RNP-D-59</t>
  </si>
  <si>
    <t>SAJAHAN SARDER</t>
  </si>
  <si>
    <t>MOF-JES-JES-W01-D-86</t>
  </si>
  <si>
    <t>NAY-JOY-JOY-BHA-D-60</t>
  </si>
  <si>
    <t>SHA-PAB-ISH-PAK-D-321</t>
  </si>
  <si>
    <t>MOT1-JOY-KHE-W02-D-164</t>
  </si>
  <si>
    <t>SUS-MUN-MUS-MOH-D-164</t>
  </si>
  <si>
    <t>MD MUNNA MARDOR</t>
  </si>
  <si>
    <t>SHU-MAD-KAL-DAS-D-244</t>
  </si>
  <si>
    <t>RAS-DIN-SAD-UTR-D-437</t>
  </si>
  <si>
    <t>SS-COM(N)-MUR-KAM-D-89</t>
  </si>
  <si>
    <t>BPC-RAJ-DUR-NOW-D-26</t>
  </si>
  <si>
    <t>AMAZ UDDIN</t>
  </si>
  <si>
    <t>HAB-DIN-SAD-W06-D-124</t>
  </si>
  <si>
    <t>SAYA</t>
  </si>
  <si>
    <t>MOS1-KUS-DAU-MAT-D-276</t>
  </si>
  <si>
    <t>MAA-CNG-SHI-W04-D-71</t>
  </si>
  <si>
    <t>MOS1-KUS-DAU-PRA-D-290</t>
  </si>
  <si>
    <t>MINHAZ KAZI</t>
  </si>
  <si>
    <t>SUMA MONDOL</t>
  </si>
  <si>
    <t>AMS-CTG-SIT-KUM-D-32</t>
  </si>
  <si>
    <t>DIP-SHA-NAR-W02-D-298</t>
  </si>
  <si>
    <t>MIM-CNG-SHI-DAI-D-277</t>
  </si>
  <si>
    <t>PAV-NOA-SEN-BIJ-D-230</t>
  </si>
  <si>
    <t>SHA-JOY-PAN-BAG-D-379</t>
  </si>
  <si>
    <t>JPS-BSL-BNP-W04-D-436</t>
  </si>
  <si>
    <t>TUH-PAB-BER-MAS-D-45</t>
  </si>
  <si>
    <t>ALL-PAB-SUJ-W01-D-361</t>
  </si>
  <si>
    <t>SCG-JOY-KAL-W04-D-44</t>
  </si>
  <si>
    <t>AZS-JOY-PAN-KUS-D-50</t>
  </si>
  <si>
    <t>IST-JOY-JOY-MOH-D-597</t>
  </si>
  <si>
    <t>LKS-BSL-UZP-JOL-D-37</t>
  </si>
  <si>
    <t>MOT1-JOY-JOY-BOM-D-191</t>
  </si>
  <si>
    <t>HENA KHATUN</t>
  </si>
  <si>
    <t>MOJ-SIR-SIR-SHI-D-93</t>
  </si>
  <si>
    <t>MD.SAMSUZZAMAN</t>
  </si>
  <si>
    <t>SAN-SIR-ULL-BOR-D-375</t>
  </si>
  <si>
    <t>MD.AHSAN HABIB</t>
  </si>
  <si>
    <t>KAL-JES-JES-CHA-D-142</t>
  </si>
  <si>
    <t>AS-BSL-BAB-CHA-D-80</t>
  </si>
  <si>
    <t>SAK-DIN-PAR-CHA-D-327</t>
  </si>
  <si>
    <t>CHAMELI RANI MOHONTO</t>
  </si>
  <si>
    <t>NOS-CTG-MIR-DUR-D-12</t>
  </si>
  <si>
    <t>ARADULLAH</t>
  </si>
  <si>
    <t>NAS-CNG-GOD-W08-D-264</t>
  </si>
  <si>
    <t>TAM-NAO-SAP-GOA-D-418</t>
  </si>
  <si>
    <t>BDI-CHA-HAZ-W08-D-062</t>
  </si>
  <si>
    <t>SHU-KIS(N)-KAR-JAF-D-113</t>
  </si>
  <si>
    <t>RUS-RAN-MIT-MAS-D-298</t>
  </si>
  <si>
    <t>MST-GAI-SAP-BON-D-209</t>
  </si>
  <si>
    <t>FAN-KUR-ULI-GUN-D-551</t>
  </si>
  <si>
    <t>HAFEJ SHOHIDUL ISLAM</t>
  </si>
  <si>
    <t>JAM-CTG(S)-BAS-SAD-D-56</t>
  </si>
  <si>
    <t>SAPLA DEV</t>
  </si>
  <si>
    <t>VVE-RJB-RJB-W03-D-99</t>
  </si>
  <si>
    <t>TEP-KIS(S)-SAD-DAN-D-157</t>
  </si>
  <si>
    <t>EKU-BRA-NAS-CPT-D-56</t>
  </si>
  <si>
    <t>Mrs. Helena Begum</t>
  </si>
  <si>
    <t>RS1-NRL-NRL-AUR-D-1608</t>
  </si>
  <si>
    <t>JOK-JAM-ISL-CHP-D-770</t>
  </si>
  <si>
    <t>SHA-BAG-MON-SHO-D-932</t>
  </si>
  <si>
    <t>Md. Salim Mia</t>
  </si>
  <si>
    <t>SUS-SAT-KOL-W05-D-20</t>
  </si>
  <si>
    <t>2.Name of Surveyor / Agency</t>
  </si>
  <si>
    <t>3.Name of User/ Respondent</t>
  </si>
  <si>
    <t>4.Address of the User / Respondent</t>
  </si>
  <si>
    <t>5.Contact Details of User/Respondent (phone number)</t>
  </si>
  <si>
    <t>7.Is Bondhu Chula present in the household?</t>
  </si>
  <si>
    <t>8.If Yes, record the Bondhu Chula serial number</t>
  </si>
  <si>
    <t>9.Date of installation of Bondhu Chula</t>
  </si>
  <si>
    <t>10.Is the stove in good condition?</t>
  </si>
  <si>
    <t>11.Do you use Bondhu Chula for cooking?</t>
  </si>
  <si>
    <t>13.Does Bondhu Chula uses less fuel over Traditional Stove?</t>
  </si>
  <si>
    <t>14.Is there less smoke in your kitchen when cooking with Bondhu Chula compared to Traditional stove?</t>
  </si>
  <si>
    <t>15.Is there less soot on the utensils when you cook with Bondhu Chula?</t>
  </si>
  <si>
    <t>16.If you buy fuel, do you now spend less money on buying fuel after you started using Bondhu chula?</t>
  </si>
  <si>
    <t>17.If you collect fuel, do you spend less time collecting fuel after you started using Bondhu Chula?</t>
  </si>
  <si>
    <t>18.Are you happy with the performance of Bondhu Chula?</t>
  </si>
  <si>
    <t>19.Was this Bondhu Chula ever replaced due to defect/ Damage</t>
  </si>
  <si>
    <t>20.Any other comment/ feedback on the Bondhu Chula design/ usability</t>
  </si>
  <si>
    <t>21.Is any Traditional Stove present along with Bondhu Chula?</t>
  </si>
  <si>
    <t>22.If yes, do you use the Traditional Stove for cooking?</t>
  </si>
  <si>
    <t>yes</t>
  </si>
  <si>
    <t>ATIMKHANA MADRASA  ,CHORSIBRAMPUR</t>
  </si>
  <si>
    <t>SONABAJU  ,SOMAJ</t>
  </si>
  <si>
    <t>MODDHOPARA,MODDHOPARA</t>
  </si>
  <si>
    <t>POSCHIMPARA  ,JOYPURA</t>
  </si>
  <si>
    <t>MD. MANNAN HAWLADER</t>
  </si>
  <si>
    <t>UTTOR PARA  ,PITAVOJ</t>
  </si>
  <si>
    <t>SCHOOL PASE  ,SUJON SAHA</t>
  </si>
  <si>
    <t>Uttor Para  ,Jele Khali Char</t>
  </si>
  <si>
    <t>MD. TARIKUZZAMAN</t>
  </si>
  <si>
    <t>MUNSHIPARA ,MADDHOM KADMA</t>
  </si>
  <si>
    <t>MD, AHSAN HABIB</t>
  </si>
  <si>
    <t>PURBO PARA  ,KHIDRO DHAMA</t>
  </si>
  <si>
    <t>SATDORGA BAZAR  ,SATDORGA BAZAR</t>
  </si>
  <si>
    <t>JACKSON CHOWDHURY</t>
  </si>
  <si>
    <t>SWADESH KUMAR MOJUMDER</t>
  </si>
  <si>
    <t>BORMON PARA  ,CHANCHRA</t>
  </si>
  <si>
    <t>POSHCHIMPARA  ,TETULIA</t>
  </si>
  <si>
    <t>KH. MUSFIQUR RAHMAN</t>
  </si>
  <si>
    <t xml:space="preserve">KH.MUSFIQUR RAHMAN </t>
  </si>
  <si>
    <t>GUCCHO GRAM  ,SAIDKAKRA</t>
  </si>
  <si>
    <t>PRANAB KUMAR DAS</t>
  </si>
  <si>
    <t>HASINAR BARO BARI  ,SIKDAR PARA</t>
  </si>
  <si>
    <t>Pankaj Kumar Mohanto</t>
  </si>
  <si>
    <t>Hogla  ,Hogla</t>
  </si>
  <si>
    <t>MD. FORHAD SHAIK</t>
  </si>
  <si>
    <t>KHONDAKAR PARA  ,MURAR KHACA CHAINDA</t>
  </si>
  <si>
    <t>BISWAJITH BISWAS</t>
  </si>
  <si>
    <t>KOBORSTHAN PARA  ,SHIBPUR</t>
  </si>
  <si>
    <t>MORPARA  ,MONAHORPUR</t>
  </si>
  <si>
    <t>PANKAJ KUMAR MOHANTO</t>
  </si>
  <si>
    <t>NOTUN MANDAURA  ,NOTUN MANDAURA</t>
  </si>
  <si>
    <t>MONDOL PARA  ,BIR VABOSUR</t>
  </si>
  <si>
    <t>PURBO KULIA  ,KULIA</t>
  </si>
  <si>
    <t>PURBO PARA  ,TETULIA</t>
  </si>
  <si>
    <t>GHOSE PARA  ,JIALA</t>
  </si>
  <si>
    <t>CHANPARA  ,SABGRAM</t>
  </si>
  <si>
    <t>DOKKHIN PARA  ,BORO SHANTA</t>
  </si>
  <si>
    <t>BISWAJIT Adhikari</t>
  </si>
  <si>
    <t>DOKKIN PARA  ,KHILGATI</t>
  </si>
  <si>
    <t>LAKPUR  ,LAKPUR</t>
  </si>
  <si>
    <t>PORBOPARA  ,KORPAI</t>
  </si>
  <si>
    <t>POSCHIMPARA  ,HASLA</t>
  </si>
  <si>
    <t>MD. WAHID</t>
  </si>
  <si>
    <t>SOJNI HOLER PESONA  ,NOWDA PARA</t>
  </si>
  <si>
    <t>SORKER  ,RAYAR KANDI</t>
  </si>
  <si>
    <t>TALTOLI  ,TALTOLI</t>
  </si>
  <si>
    <t>VUIYA  ,DOULADI</t>
  </si>
  <si>
    <t>NIKARI PARA  ,JIWALA NOLTA</t>
  </si>
  <si>
    <t>FURBA PARHADABAD  ,DAWLATPUR</t>
  </si>
  <si>
    <t>HAZI AHMMOD ALI ROAD  ,MASUMPUR UTTAR</t>
  </si>
  <si>
    <t>MOSJIDER PASE  ,FOTEPUR</t>
  </si>
  <si>
    <t>SORJON  ,SORJON</t>
  </si>
  <si>
    <t>PURBOPARA  ,KHEJURIA</t>
  </si>
  <si>
    <t>ALAM PUR  ,ALAM PUR</t>
  </si>
  <si>
    <t>Rajpara  ,Purbadhala</t>
  </si>
  <si>
    <t>HAZI TOPAJJUL AHAMADAR BARI  ,PORBA SARAFVATA</t>
  </si>
  <si>
    <t>MIRZA PUR  ,MIRZA PUR</t>
  </si>
  <si>
    <t>MD.BACCHU MONDOL</t>
  </si>
  <si>
    <t>MODDO PARA  ,NURPUR</t>
  </si>
  <si>
    <t>MD.MOKTARUL HAQUE</t>
  </si>
  <si>
    <t>ROSIDER  ,ROSIDER</t>
  </si>
  <si>
    <t xml:space="preserve">MD.OSMAN GONI </t>
  </si>
  <si>
    <t>PURBO PARA  ,BALEYA DEGI</t>
  </si>
  <si>
    <t>MODUYEAR DAIL  ,MODUYEAR DAIL</t>
  </si>
  <si>
    <t>SHONOJITH KUMAR SHIL</t>
  </si>
  <si>
    <t>BAZAR SIDE  ,BAHERGAT</t>
  </si>
  <si>
    <t>KAHALPUR  ,ATJURI</t>
  </si>
  <si>
    <t>VARAKATA  ,BAROYKHALI</t>
  </si>
  <si>
    <t xml:space="preserve">SANKAR GOLDER </t>
  </si>
  <si>
    <t>BIDC BAZAR  ,BIDC BAZAR</t>
  </si>
  <si>
    <t>MD. AHSAN KABIR</t>
  </si>
  <si>
    <t>MAHARAJPUR  ,MAHARAJPUR</t>
  </si>
  <si>
    <t>NOTUN CHKIDAR BARI  ,BANCHANAGAR</t>
  </si>
  <si>
    <t>UPOR BOHOLABARY  ,UPOR BOHOLABARY</t>
  </si>
  <si>
    <t>MD.ARSHADUR RAHAMAN</t>
  </si>
  <si>
    <t>PASHCHIM NOAGAON  ,PASHCHIM NOAGAON</t>
  </si>
  <si>
    <t>MD.EMRAN HOSSAIN</t>
  </si>
  <si>
    <t>BASH HATTI  ,BASH HATTI</t>
  </si>
  <si>
    <t>BRACK  ,DHAKAIYA SOMAJ</t>
  </si>
  <si>
    <t>Kholipa Bari  ,Tamta</t>
  </si>
  <si>
    <t>RAILPARA  ,NISCINTOBARI</t>
  </si>
  <si>
    <t>UTTORPARA  ,KAGUIL</t>
  </si>
  <si>
    <t>NRIPEN MONDAL</t>
  </si>
  <si>
    <t>PURBOPARA  ,KAKANIA</t>
  </si>
  <si>
    <t>Dokkhin Para  ,Singgasolpur</t>
  </si>
  <si>
    <t>MD. FIROZ ALAM</t>
  </si>
  <si>
    <t>MASTERPARA ,MASTERPARA</t>
  </si>
  <si>
    <t>GUCSO GRAM  ,SON POCHA</t>
  </si>
  <si>
    <t>moddopara  ,kodomtola</t>
  </si>
  <si>
    <t>MONDOL PARA  ,KAZLA</t>
  </si>
  <si>
    <t>UTTOR PARA  ,MAGURALI</t>
  </si>
  <si>
    <t>SHAMIM HAIDER</t>
  </si>
  <si>
    <t>BALIDHRA  ,BALIDHRA</t>
  </si>
  <si>
    <t>H-368  ,Anandopara</t>
  </si>
  <si>
    <t>MD. SAMSUZZAMAN</t>
  </si>
  <si>
    <t>PURBO PARA  ,BALIA DANGA</t>
  </si>
  <si>
    <t>Bazar  ,Sheikhhati</t>
  </si>
  <si>
    <t>JOLMOLIA  ,JOLMOLIA</t>
  </si>
  <si>
    <t>MD. HARUN AHMAD</t>
  </si>
  <si>
    <t>KHROM KORI  ,KHROM KORI</t>
  </si>
  <si>
    <t>GM HADIUZZAMAN</t>
  </si>
  <si>
    <t>KUTI  ,KUTI</t>
  </si>
  <si>
    <t>STATION  ,STATION</t>
  </si>
  <si>
    <t>TILABDUL  ,TILABDUL</t>
  </si>
  <si>
    <t>MD.Jamal Hossain</t>
  </si>
  <si>
    <t>Purbopara  ,Singdoho</t>
  </si>
  <si>
    <t>CHENGKHALI  ,BITAGI</t>
  </si>
  <si>
    <t>Nadipara  ,Guthail</t>
  </si>
  <si>
    <t>GORIULI  ,VOMRADHA</t>
  </si>
  <si>
    <t>DOKKINPARA  ,AGDIYA</t>
  </si>
  <si>
    <t>DAKKHINPARA  ,BILDURIYA</t>
  </si>
  <si>
    <t>KALITOLA  ,BIRAMPUR</t>
  </si>
  <si>
    <t>MADRASHAR PORCIM  ,SAPAHER PARA</t>
  </si>
  <si>
    <t>POSCHIM DIARAPARA  ,NITPUR</t>
  </si>
  <si>
    <t>TAL PUKUR  ,SAPAHER PARA</t>
  </si>
  <si>
    <t>DOKHIN PARA  ,TEGHORI</t>
  </si>
  <si>
    <t>NODIRPAR  ,MAGURA DANGA</t>
  </si>
  <si>
    <t>Moddhopara  ,Puronkalna</t>
  </si>
  <si>
    <t>CANPUR  ,BANIACHONG</t>
  </si>
  <si>
    <t>1. Date of Survey</t>
  </si>
  <si>
    <t>FAYAR SARVICE ER SAMNE ,MOHOTPUR</t>
  </si>
  <si>
    <t>DOKKHEN PARA ,PAIKMARE</t>
  </si>
  <si>
    <t>GH HADIUZZAMAN</t>
  </si>
  <si>
    <t>DOKHINPARA ,UJANISAR</t>
  </si>
  <si>
    <t>Md.Abdus Sabur</t>
  </si>
  <si>
    <t>Parimal Kumar Biswas</t>
  </si>
  <si>
    <t>KHALSHI PARA ,FOTAY PUR</t>
  </si>
  <si>
    <t>UTTOR PARA ,DIGIR PAR</t>
  </si>
  <si>
    <t>SHEIK PARA ,ROHIMA BAD</t>
  </si>
  <si>
    <t>Dokhin Kalabogi ,Sutarkali</t>
  </si>
  <si>
    <t>BESIDE OF SCHOOL ,DDUNCHI GUDARBAZZAR</t>
  </si>
  <si>
    <t>MD.MANNAN HAWLADER</t>
  </si>
  <si>
    <t>MADHO PARA ,JOKA</t>
  </si>
  <si>
    <t>Md.Mehedi Hasan</t>
  </si>
  <si>
    <t>HIMADRI COLD NEYAE ,SUJALPUR</t>
  </si>
  <si>
    <t>TELIHAR ,TELIHAR</t>
  </si>
  <si>
    <t>MD MOMINUR ISLAM</t>
  </si>
  <si>
    <t>MODDOPARA ,PACHAPUKURIYA</t>
  </si>
  <si>
    <t>GUSSOGARAM BARI NO-48 ,PAR KHIDIRPUR</t>
  </si>
  <si>
    <t>Md.Tarikuzzaman</t>
  </si>
  <si>
    <t>KASIPUR ,KASIPUR</t>
  </si>
  <si>
    <t>Md .Mannan Hawlader</t>
  </si>
  <si>
    <t>Mdho para ,Vasanda</t>
  </si>
  <si>
    <t>Dhakinpara ,Rajapur</t>
  </si>
  <si>
    <t>HEDAYATPARA ,MIRKAMARI</t>
  </si>
  <si>
    <t>KASHIABARI ,KASHIABARI</t>
  </si>
  <si>
    <t>MD MANNAN HAWLADER</t>
  </si>
  <si>
    <t>ALIA MADDRASA ,KHANPUR</t>
  </si>
  <si>
    <t>DOKKHIN PARA ,SAIRAKHALI</t>
  </si>
  <si>
    <t>PORCHIMPARA ,BAROYKHALI</t>
  </si>
  <si>
    <t>TISTA GUSSU GRAM ,TISTA GUSSU GRAM</t>
  </si>
  <si>
    <t>MD. MAHFUZAR RAHMAN</t>
  </si>
  <si>
    <t>PURBOPARA ,HASANPUR</t>
  </si>
  <si>
    <t>JOGSA ,JOGSA</t>
  </si>
  <si>
    <t xml:space="preserve">Abdus Sabur </t>
  </si>
  <si>
    <t>HIGH SCHOOL PARA ,CHILAHATI</t>
  </si>
  <si>
    <t>PRAMANIKPARA ,CHADPURMOHES</t>
  </si>
  <si>
    <t>Moddhopara ,Vdrodanga</t>
  </si>
  <si>
    <t>Mulla Bari  ,Shib Nagar</t>
  </si>
  <si>
    <t xml:space="preserve">Md.Mehedi Hasan </t>
  </si>
  <si>
    <t>RAMNAGER ,SATOLE</t>
  </si>
  <si>
    <t>MD.SASUZZAMAN</t>
  </si>
  <si>
    <t>SIBPUR ,NOWPARA</t>
  </si>
  <si>
    <t>BABU PARA.BASA NO E 232. ,PAKSI</t>
  </si>
  <si>
    <t>WABDA MOR ,WABDA MOR</t>
  </si>
  <si>
    <t>BOLARBARI DIGA ,DIGA</t>
  </si>
  <si>
    <t>MURIA ,AVONGI</t>
  </si>
  <si>
    <t>MATER GRAM ,MATER GRAM</t>
  </si>
  <si>
    <t>MD.AHSAN KABIR</t>
  </si>
  <si>
    <t>SATTAR HOSSAINER BARI ,CHAR DARVESH</t>
  </si>
  <si>
    <t xml:space="preserve">Md.Osman Goni </t>
  </si>
  <si>
    <t>Purbopara ,Bomurdia</t>
  </si>
  <si>
    <t>OFFICE TILA ,OFFICE TILA</t>
  </si>
  <si>
    <t>Malo Para ,Jethua</t>
  </si>
  <si>
    <t>MD.MOSARROF HOSSAIN</t>
  </si>
  <si>
    <t>VUYAN BARI ,AHAMODPUR</t>
  </si>
  <si>
    <t>Dhokkin Para ,Doaira</t>
  </si>
  <si>
    <t>UTTOR PARA ,GANEKSAR</t>
  </si>
  <si>
    <t>FAKIR PARA ,KODALA MOSJIDAR PASA</t>
  </si>
  <si>
    <t>DAS BARI ,KOMLAPUR</t>
  </si>
  <si>
    <t>HORISOBAR PASHE ,LOKHIKOL</t>
  </si>
  <si>
    <t>MD. FARHAD SHAIK</t>
  </si>
  <si>
    <t>Morol Para ,Sajiara</t>
  </si>
  <si>
    <t>DHAKDHA ,GOPALPUR</t>
  </si>
  <si>
    <t>MD.SHAMIM BABU</t>
  </si>
  <si>
    <t>TELER PUMP R PURBO PASE ,GHORACHORA</t>
  </si>
  <si>
    <t>AMIT KUMAR BISWAS</t>
  </si>
  <si>
    <t>South Kohoma ,South Kohoma</t>
  </si>
  <si>
    <t>FARISA TEY DOKAN ,FARISA TEY DOKAN</t>
  </si>
  <si>
    <t>ANUJ KUMAR MAJUMDER</t>
  </si>
  <si>
    <t>AZOMULLAHRNOTUNBARI ,MUSAPUR</t>
  </si>
  <si>
    <t>SARKAR ,D NARANDIA</t>
  </si>
  <si>
    <t>Morol Para ,Baksia</t>
  </si>
  <si>
    <t>Swadesh Kumar Mojumder</t>
  </si>
  <si>
    <t>MAJ PARA ,HORISHPUR</t>
  </si>
  <si>
    <t>Dorbes Hat ,Dorbes Hat</t>
  </si>
  <si>
    <t>MARDOR BARI ,MOHAKHALI</t>
  </si>
  <si>
    <t>ADORSOPARA ,ADORSOPARA</t>
  </si>
  <si>
    <t>NEAR DHARMOPURBAZER ,DHARMOPUR</t>
  </si>
  <si>
    <t>MILON PARA ,UTTOR SONAKHULI</t>
  </si>
  <si>
    <t>Md. Mannan Hawlader</t>
  </si>
  <si>
    <t>Bazar ,Morelgonj</t>
  </si>
  <si>
    <t>Modho Para ,Kancon pur</t>
  </si>
  <si>
    <t>MONDIR PARA ,BORNI</t>
  </si>
  <si>
    <t>Resistri Officer Pase ,Purbo Narayanpur</t>
  </si>
  <si>
    <t>MURGIHATA ,ALTAPOL</t>
  </si>
  <si>
    <t>H SECTOR ,SIMULPARA</t>
  </si>
  <si>
    <t>Uttor Para ,Corlitama</t>
  </si>
  <si>
    <t>UTTORPARA ,BILDURYA</t>
  </si>
  <si>
    <t>RASUL PUR ,CARKHAGARIA</t>
  </si>
  <si>
    <t>Purbo Para ,Mohis Pura</t>
  </si>
  <si>
    <t>Sheikh Para ,Momrej Pur</t>
  </si>
  <si>
    <t>Moddho Para ,Bushtoly</t>
  </si>
  <si>
    <t>MADHO PARA ,TALIGATI</t>
  </si>
  <si>
    <t>Master Para ,Sonabaria</t>
  </si>
  <si>
    <t>POSEM RAMNOGAR ,POSEM RAMNOGAR</t>
  </si>
  <si>
    <t>SORDAR PARA ,KESORINAGOR</t>
  </si>
  <si>
    <t>POCIM PARA ,POROMANONDO PUR</t>
  </si>
  <si>
    <t>MD.SHAHIDUL SHEIKH</t>
  </si>
  <si>
    <t>NARIA ,NARIA</t>
  </si>
  <si>
    <t>MATHPARA ,MOHISHKUNDI</t>
  </si>
  <si>
    <t>bottola Mor ,Jhkira</t>
  </si>
  <si>
    <t>MODDHO PARA ,RANISHIMUL</t>
  </si>
  <si>
    <t>UTTOR PARA ,ROGHUNATH PUR</t>
  </si>
  <si>
    <t xml:space="preserve">Age category </t>
  </si>
  <si>
    <t xml:space="preserve">  </t>
  </si>
  <si>
    <t>Weekly</t>
  </si>
  <si>
    <t>Monthly</t>
  </si>
  <si>
    <t>12.If yes, how many times do you use the Bondhu Chula for cooking  ?</t>
  </si>
  <si>
    <t xml:space="preserve">6.Number of Members in the household </t>
  </si>
  <si>
    <t>Adults</t>
  </si>
  <si>
    <t>Children</t>
  </si>
  <si>
    <t>23.If yes, how many times do you use the Traditional Chula for cooking in a week or a month?</t>
  </si>
  <si>
    <t>23.If yes, how many times do you use the Traditional Stove for cooking in a week or a month?</t>
  </si>
  <si>
    <t>G.M Hadiuzzaman</t>
  </si>
  <si>
    <t>Md. Mannan Howlader</t>
  </si>
  <si>
    <t>Porchim Para Chapri</t>
  </si>
  <si>
    <t>Md. Abdus Sabur</t>
  </si>
  <si>
    <t>BONITPARA SUNDOR KHATA</t>
  </si>
  <si>
    <t>Md. Farhad Shaik</t>
  </si>
  <si>
    <t>Md. Rayhan Ali Biswas</t>
  </si>
  <si>
    <t>Boezuddin</t>
  </si>
  <si>
    <t>GOALMANDA KALIKAPUR</t>
  </si>
  <si>
    <t>Md. Mozaharul Islam</t>
  </si>
  <si>
    <t>Md. Shaidul Islam</t>
  </si>
  <si>
    <t>WESTPARA DHUIASER</t>
  </si>
  <si>
    <t>Md. Atikur Rahman</t>
  </si>
  <si>
    <t>Sukla</t>
  </si>
  <si>
    <t>MONDIR PARA GOBINDO NOGOR</t>
  </si>
  <si>
    <t>Ulobunia Perikhali</t>
  </si>
  <si>
    <t>Debashish Biswas</t>
  </si>
  <si>
    <t>Md. Jamil Hossain</t>
  </si>
  <si>
    <t xml:space="preserve">D.SAHABAJ GUSSU GRAM </t>
  </si>
  <si>
    <t>Mison Nehal Pur</t>
  </si>
  <si>
    <t>W-2 Samolibag</t>
  </si>
  <si>
    <t>HOIDING NO 32 , BLOCK # A 2 NO. BERADANGA</t>
  </si>
  <si>
    <t>1 No Cros Road Dasani</t>
  </si>
  <si>
    <t>Md. Tarikuzzaman</t>
  </si>
  <si>
    <t>DANOKHATE DANOKHATE</t>
  </si>
  <si>
    <t>PACHIM PARA KACHAIT</t>
  </si>
  <si>
    <t>Jhorna Akter</t>
  </si>
  <si>
    <t>Purbo Nichintropur</t>
  </si>
  <si>
    <t>Telaci Telaci</t>
  </si>
  <si>
    <t>Md. Arshad Kamal</t>
  </si>
  <si>
    <t>Ranjan Saha</t>
  </si>
  <si>
    <t>Saheda Begum</t>
  </si>
  <si>
    <t>Shaike Para Amradanga</t>
  </si>
  <si>
    <t>Ayesha Siddika</t>
  </si>
  <si>
    <t>Schooler Pase Mahmudpur</t>
  </si>
  <si>
    <t>Swadesh Majumder</t>
  </si>
  <si>
    <t>Monni Begum</t>
  </si>
  <si>
    <t>KOBOR STHANER PASSE BALIADANGA</t>
  </si>
  <si>
    <t>Mst. Tania Begum</t>
  </si>
  <si>
    <t>DIAKANDI NOBOGRAM</t>
  </si>
  <si>
    <t>Md. Mominur Islam</t>
  </si>
  <si>
    <t>UTTAR PARA KAMALLA</t>
  </si>
  <si>
    <t>Amit Kumar Biswas</t>
  </si>
  <si>
    <t>Md. Bacchu Mondal</t>
  </si>
  <si>
    <t>Akramul Hoque (H2)</t>
  </si>
  <si>
    <t>KUTHU HARA KUTHU HARA</t>
  </si>
  <si>
    <t>Shonjith Kumar Shil</t>
  </si>
  <si>
    <t>MEORBARI KUNDIHER</t>
  </si>
  <si>
    <t>Sohel Khan</t>
  </si>
  <si>
    <t>5-RASTA LOHALIA</t>
  </si>
  <si>
    <t>KAKON KAKON</t>
  </si>
  <si>
    <t>Mst. Najma Begum</t>
  </si>
  <si>
    <t>SHADER JOUNGLE SADERJOMOL</t>
  </si>
  <si>
    <t>Jackson Chowdhury</t>
  </si>
  <si>
    <t>Nahid</t>
  </si>
  <si>
    <t>NOYA HATE CHAPOR TALA</t>
  </si>
  <si>
    <t>Atiyar Rahman</t>
  </si>
  <si>
    <t>DOGASI 8 N0 WORD TUPAMARY</t>
  </si>
  <si>
    <t>MAJHIRDIA BALUGHAT</t>
  </si>
  <si>
    <t>Uday Bikash Chandra</t>
  </si>
  <si>
    <t>6 B BLAK</t>
  </si>
  <si>
    <t>Md. Mohsin Mia</t>
  </si>
  <si>
    <t>Sarada Begum</t>
  </si>
  <si>
    <t>SARKER BAZAR VUNBIR</t>
  </si>
  <si>
    <t>AMIN UDDIN SAWDAGOR BARI DHOKKIN KHUMA</t>
  </si>
  <si>
    <t>Md. Faruq Hossen</t>
  </si>
  <si>
    <t>Md. Atiyar Raham</t>
  </si>
  <si>
    <t>STND SHAILKUPA</t>
  </si>
  <si>
    <t>BORO BARI BORO BARI</t>
  </si>
  <si>
    <t>Md. Jamal Hossain</t>
  </si>
  <si>
    <t>KAMAR BARI SAPDHIR CHAR</t>
  </si>
  <si>
    <t>Md. Moja Karani</t>
  </si>
  <si>
    <t>SONALIRPAR D.MARUYADHA</t>
  </si>
  <si>
    <t>PURATON BANK ER PASE KULIA</t>
  </si>
  <si>
    <t>MOLLA BARE BAGIKANDI</t>
  </si>
  <si>
    <t>Rube Beagum (H1)</t>
  </si>
  <si>
    <t>PURBOPARA UTTOR LAKSHAM</t>
  </si>
  <si>
    <t>Md. Elias Kutubi</t>
  </si>
  <si>
    <t>AKHI AKTER</t>
  </si>
  <si>
    <t>MUSA COLONI ABBAS MEMBER BARI</t>
  </si>
  <si>
    <t>MAJARPARA RAMPURA</t>
  </si>
  <si>
    <t>Md. Ahsan Habib</t>
  </si>
  <si>
    <t>Shapla Begum</t>
  </si>
  <si>
    <t>AKASPARA SAKIDAR PARA</t>
  </si>
  <si>
    <t>KASARIPATTI SHADULLAPUR</t>
  </si>
  <si>
    <t>Md. Musharrof Hosen</t>
  </si>
  <si>
    <t>KAZI BARI JAKNI</t>
  </si>
  <si>
    <t>DUMURIA DUMURIA</t>
  </si>
  <si>
    <t>Parboti Das</t>
  </si>
  <si>
    <t>DAS PARA BAROI HATHI</t>
  </si>
  <si>
    <t>Mst. Tahamina Bagum</t>
  </si>
  <si>
    <t>KHA KANDI KHA KANDI</t>
  </si>
  <si>
    <t>Mst. Shirin Akter</t>
  </si>
  <si>
    <t>ROUSONABAG PANCHAGARH</t>
  </si>
  <si>
    <t>Firoja Akter</t>
  </si>
  <si>
    <t>BAK KUM PARA BAK KUM PARA</t>
  </si>
  <si>
    <t>Sheikh Md. Abu Tareq</t>
  </si>
  <si>
    <t>Mst. Romisa</t>
  </si>
  <si>
    <t>SOUTH NOWPARA NEAR MOSQUE</t>
  </si>
  <si>
    <t>Md. Badal Howlader</t>
  </si>
  <si>
    <t>Mohammad Sikder</t>
  </si>
  <si>
    <t>BARIR OPAR SHIKDER BARI DOKHIN AICA</t>
  </si>
  <si>
    <t>Md. Abu Kalam</t>
  </si>
  <si>
    <t>DANGA PARA,NIYAMOTHPUR SAYEDPUR</t>
  </si>
  <si>
    <t>DOKKHIN GRAMTOLA DOKKHIN GRAMTOLA</t>
  </si>
  <si>
    <t>UTTOR PARA CHINAIR</t>
  </si>
  <si>
    <t>DOKKHINPARA BASHBARIA</t>
  </si>
  <si>
    <t>Shahida Mojumder</t>
  </si>
  <si>
    <t>SARDARPARA KEDARPUR</t>
  </si>
  <si>
    <t>Sumon Miah</t>
  </si>
  <si>
    <t>TEA STALL PUNIYAUT</t>
  </si>
  <si>
    <t>MODDHOPARA RAJARDUMRA</t>
  </si>
  <si>
    <t>Sabina Yeasmin</t>
  </si>
  <si>
    <t>POSSIMPARA VUAPUR</t>
  </si>
  <si>
    <t>DOKHIN PARA RANSEN</t>
  </si>
  <si>
    <t>Usha Rani das</t>
  </si>
  <si>
    <t>PACHIM PARA MOTHBARI KHOLISANI</t>
  </si>
  <si>
    <t>Mst. Khurshida</t>
  </si>
  <si>
    <t>HAZIPARA ROSTOMPUR</t>
  </si>
  <si>
    <t>MODHU PARA CHABAGAN</t>
  </si>
  <si>
    <t>PURBOPARA HASHIMPUR</t>
  </si>
  <si>
    <t>Khairun Necha</t>
  </si>
  <si>
    <t>DIKKIN PARA BAROPOTA</t>
  </si>
  <si>
    <t>Md. Abdul Kuddus</t>
  </si>
  <si>
    <t>VATAMATHA VATAMATHA</t>
  </si>
  <si>
    <t>M/s Sultana aktar</t>
  </si>
  <si>
    <t>UTTOR PARA SEREPUR</t>
  </si>
  <si>
    <t>Budray Wora</t>
  </si>
  <si>
    <t>GUSCO GRIM BIL SHIKARI</t>
  </si>
  <si>
    <t>PRIYMARI SCHOOL DOKKINPARA KONDOPPUR</t>
  </si>
  <si>
    <t>Mst. Jonaki Khatun</t>
  </si>
  <si>
    <t>GHATPARA BIDDHARPUR</t>
  </si>
  <si>
    <t>Khyrun Begum</t>
  </si>
  <si>
    <t>DARDUNE KALAR PASSY KALEKAPUR</t>
  </si>
  <si>
    <t>Ranuka Begum</t>
  </si>
  <si>
    <t>UTTORPARA MAGRA</t>
  </si>
  <si>
    <t>Retu</t>
  </si>
  <si>
    <t>MODDHO PARA BRAMMONINAGAR</t>
  </si>
  <si>
    <t>BABU PARA DEBIGONJ</t>
  </si>
  <si>
    <t>SOUTH SIDE TAHIERPUR</t>
  </si>
  <si>
    <t>Chorpara Chorpara</t>
  </si>
  <si>
    <t>Gazi Para 2 No Koyra</t>
  </si>
  <si>
    <t>PURBO PARA RAYPARA</t>
  </si>
  <si>
    <t>JOIJAR PARA JOIJAR PARA</t>
  </si>
  <si>
    <t>JAHANA BEGOM</t>
  </si>
  <si>
    <t>Kazibary Bhadrovila</t>
  </si>
  <si>
    <t>MD.ARSHADUR RAHMAN</t>
  </si>
  <si>
    <t>DATTAPARA BANIACHONG</t>
  </si>
  <si>
    <t>Koypukureya Magurkale</t>
  </si>
  <si>
    <t>SANKAR GOLDER</t>
  </si>
  <si>
    <t>MD.AHSAN KABIN</t>
  </si>
  <si>
    <t>SURUTIR BAPER BARI CHAR SITA</t>
  </si>
  <si>
    <t>MD. JUBAYED HOSSAIN</t>
  </si>
  <si>
    <t>Rosnabad Rosnabad</t>
  </si>
  <si>
    <t>Baro Gat Kulia</t>
  </si>
  <si>
    <t xml:space="preserve">GETA RANI </t>
  </si>
  <si>
    <t>Gilatola Gilatola</t>
  </si>
  <si>
    <t>KHARI PARA KHARI PARA</t>
  </si>
  <si>
    <t>Mst. Jalakha Khatun</t>
  </si>
  <si>
    <t>HAPANIA HOTATPARA HAPANIA HOTATPARA</t>
  </si>
  <si>
    <t>C&amp;AMP;B GODAGARI</t>
  </si>
  <si>
    <t>BOKHAY NAGAR CHORMONAY</t>
  </si>
  <si>
    <t>Purbopara Rampura</t>
  </si>
  <si>
    <t>UTTAR PARA KRISHNA NAGOR</t>
  </si>
  <si>
    <t>Akandopara Guthail</t>
  </si>
  <si>
    <t>BISWAJIT ADHIKARI</t>
  </si>
  <si>
    <t>SLUAGE-GATE MISRIPARA</t>
  </si>
  <si>
    <t>Bachena Khatun</t>
  </si>
  <si>
    <t>MIAPARA MOTHURAPUR</t>
  </si>
  <si>
    <t>KUMAR PARA KUMAR PARA</t>
  </si>
  <si>
    <t>S.M.ABUL HASAN AL MASUD</t>
  </si>
  <si>
    <t>KALI MIAR BARI BALIUYA KANDI</t>
  </si>
  <si>
    <t>Rubina Khatun</t>
  </si>
  <si>
    <t>MALDERHAT MALDERHAT</t>
  </si>
  <si>
    <t>Mst. Shanta Khatun</t>
  </si>
  <si>
    <t>KHAR PARA KHAR PARA</t>
  </si>
  <si>
    <t>BOXI PARA BOXI PARA</t>
  </si>
  <si>
    <t>PODDAR PARA BOSIRBANIA</t>
  </si>
  <si>
    <t>IBRAHIM MEMBER BARI HARI HARPUR</t>
  </si>
  <si>
    <t>MD.RAYHAN ALI BISWAS</t>
  </si>
  <si>
    <t>MYPUR MYPUR</t>
  </si>
  <si>
    <t>NOWAPARA TOROFSADI</t>
  </si>
  <si>
    <t>MASTERPARA MASTERPARA</t>
  </si>
  <si>
    <t>DANGAPARA ETAPIR</t>
  </si>
  <si>
    <t>Mst. Shilpi Akter</t>
  </si>
  <si>
    <t>AMIRGONJ POUROSOVA</t>
  </si>
  <si>
    <t>MD.NAZIUR HOSEN</t>
  </si>
  <si>
    <t>SAIFULMASTER BARI BAMONDANGA</t>
  </si>
  <si>
    <t>GAS PARA HOSPITAL R PASE RUPNAY</t>
  </si>
  <si>
    <t>Surjo Begum</t>
  </si>
  <si>
    <t>POSHIM PARA CHOTOLIA</t>
  </si>
  <si>
    <t>HOME NO. 535 DHIRASRAM</t>
  </si>
  <si>
    <t>Zahera Begum</t>
  </si>
  <si>
    <t>KUDDUS KHOLIFAROAD MORKUN</t>
  </si>
  <si>
    <t xml:space="preserve">Md.Zamal Hossain </t>
  </si>
  <si>
    <t>139/40,37 AMBAGAN FIRMGATE</t>
  </si>
  <si>
    <t>SIKANDOR PARA MONJO FOKIR ER BARI</t>
  </si>
  <si>
    <t>Mst.Soniya</t>
  </si>
  <si>
    <t>DHANBANGA ROSAI TALA</t>
  </si>
  <si>
    <t>MST.RONIZA KHATUN</t>
  </si>
  <si>
    <t>POSSIMPARA DIPCHOR</t>
  </si>
  <si>
    <t>HATIBARI DIGHIRPAR</t>
  </si>
  <si>
    <t>CAMP ER PASE SHITOL PUR</t>
  </si>
  <si>
    <t>JAHANGIR ALOM (H2)</t>
  </si>
  <si>
    <t>DIMLA DIMLA</t>
  </si>
  <si>
    <t>DHONI PARA SONARAI</t>
  </si>
  <si>
    <t>1 NO SARAK GHOHALCHAMOT</t>
  </si>
  <si>
    <t>AROTY PAL</t>
  </si>
  <si>
    <t>PAUL PARA BAUSHOLA</t>
  </si>
  <si>
    <t>PARIMAL KUMAR BISWAS</t>
  </si>
  <si>
    <t>GONG PARA TANGRA</t>
  </si>
  <si>
    <t>MST.HAFIZA</t>
  </si>
  <si>
    <t>GUSSOGARAM BARI NO-53 PAR KHIDIRPUR</t>
  </si>
  <si>
    <t>DHOKINPARA JAYPUR</t>
  </si>
  <si>
    <t>NIKIR PARA BALIADANGA</t>
  </si>
  <si>
    <t>RAMPUR DOSHAL RAMPUR DOSHAL</t>
  </si>
  <si>
    <t>SIDDIKIA JAME MOSJIDER PASE ASSASHUNI</t>
  </si>
  <si>
    <t>MISTRI PARA JAGLA</t>
  </si>
  <si>
    <t>KAGOS KUTA KAGOS KUTA</t>
  </si>
  <si>
    <t>MOHANOGOR MOHANOGOR</t>
  </si>
  <si>
    <t>MODDHO PARA JALGAO</t>
  </si>
  <si>
    <t>SHINGHOMARA SHINGHOMARA</t>
  </si>
  <si>
    <t>HALKAKARA 2 NO:WARD</t>
  </si>
  <si>
    <t>UTTAR PARA AROLA</t>
  </si>
  <si>
    <t>PERBOTI</t>
  </si>
  <si>
    <t>DAKKHINPARA GANGARAMPUR</t>
  </si>
  <si>
    <t>MODDHOPARA ARPARA</t>
  </si>
  <si>
    <t>MOLLA TARI KAJIR HAT</t>
  </si>
  <si>
    <t>MST.ASHA  AKTER</t>
  </si>
  <si>
    <t>JOLONGGI JOLONGGI</t>
  </si>
  <si>
    <t>Sabita Roy</t>
  </si>
  <si>
    <t>DOKKIN PARA SAHAPARA</t>
  </si>
  <si>
    <t>MIDDLA PARA BANDAPATLI</t>
  </si>
  <si>
    <t>SAMPUR SAMPUR</t>
  </si>
  <si>
    <t>NODIRPAR GOYABARI</t>
  </si>
  <si>
    <t>MARIA SANITARIR PASHA ALENGIPARA</t>
  </si>
  <si>
    <t>MD.KUTUB UDDIN -DSM</t>
  </si>
  <si>
    <t>Chinki Chakma</t>
  </si>
  <si>
    <t>WOARD .7 SANTINAGOR</t>
  </si>
  <si>
    <t>RUZI AKTER</t>
  </si>
  <si>
    <t>KHUDAI BARI ISLAMBAD</t>
  </si>
  <si>
    <t>MD.SETAFUL  ISLAM</t>
  </si>
  <si>
    <t>TETUL TOLAR MORE,CHAR DOKAN MONNA PARA</t>
  </si>
  <si>
    <t>Chand Pjur Chand Pur</t>
  </si>
  <si>
    <t xml:space="preserve">URMILE BOIRAGI </t>
  </si>
  <si>
    <t>BOIRAGERCHOK BAMIA BOIRAGERCHOK</t>
  </si>
  <si>
    <t>Mithi</t>
  </si>
  <si>
    <t>Modhopara Bahergram</t>
  </si>
  <si>
    <t>Md.Forhad Sheik</t>
  </si>
  <si>
    <t>Atika Begum</t>
  </si>
  <si>
    <t>Gollamary Road Gollamary</t>
  </si>
  <si>
    <t>Parvez Halder</t>
  </si>
  <si>
    <t>Kholshe Dumureya</t>
  </si>
  <si>
    <t>Dolkola Hat Koylashgong</t>
  </si>
  <si>
    <t>S.M. Abul Hasan Al Masud</t>
  </si>
  <si>
    <t>WORD 8 BANDHA KHALI</t>
  </si>
  <si>
    <t>Komola Begom</t>
  </si>
  <si>
    <t>Modhopara Ghobra</t>
  </si>
  <si>
    <t>Md.Musharrof Hosen</t>
  </si>
  <si>
    <t>Md.Alim Uddin</t>
  </si>
  <si>
    <t>NO UTTOR BOGULA MOLLA PARA</t>
  </si>
  <si>
    <t>Md.Kutub uddin-DSM</t>
  </si>
  <si>
    <t>Md.Mubarok Hosen</t>
  </si>
  <si>
    <t>AKON BARI MOJOM PUR</t>
  </si>
  <si>
    <t>Md,Abdus Sabur</t>
  </si>
  <si>
    <t>Nirob (H2)</t>
  </si>
  <si>
    <t>BABRIJHAR PURBO CHAPRA</t>
  </si>
  <si>
    <t>Md.Mannan Hawlader</t>
  </si>
  <si>
    <t>Md.Jamal Hossain</t>
  </si>
  <si>
    <t>Md.Moktarul Haque</t>
  </si>
  <si>
    <t>MOLLA BARI NOYAPARA</t>
  </si>
  <si>
    <t>Mrs- Nurani Begum</t>
  </si>
  <si>
    <t>Purbapara Sangua</t>
  </si>
  <si>
    <t>Nikari Para Prosad Pur</t>
  </si>
  <si>
    <t>Mst.Asma Bagum</t>
  </si>
  <si>
    <t>WEAST PARA KRIESNO PUR</t>
  </si>
  <si>
    <t>POSCHIMPARA HASLA</t>
  </si>
  <si>
    <t>Sobiron Nessa</t>
  </si>
  <si>
    <t>Gazi para Gobra</t>
  </si>
  <si>
    <t>Kha Bari Kaji kanda</t>
  </si>
  <si>
    <t>Somita Mondol</t>
  </si>
  <si>
    <t>dumuria chitalmari</t>
  </si>
  <si>
    <t>Jannatul Ferdaus</t>
  </si>
  <si>
    <t>UTTAR GHUNIA UTTAR GHUNIA</t>
  </si>
  <si>
    <t>Uttor Para Cingori</t>
  </si>
  <si>
    <t>Lema</t>
  </si>
  <si>
    <t>Bismilla hotel Fokirhat</t>
  </si>
  <si>
    <t>Md.Harun Ahmad</t>
  </si>
  <si>
    <t>PURBO PARA PARABARIA</t>
  </si>
  <si>
    <t>STRESONPARA NEJAMPUR</t>
  </si>
  <si>
    <t>MALO PARA CHANDRA</t>
  </si>
  <si>
    <t>Md.Ahsan Kabir</t>
  </si>
  <si>
    <t>Md.Arshad Kamal</t>
  </si>
  <si>
    <t>Suvna Rani</t>
  </si>
  <si>
    <t>HORE JON KOLONI RALLAENA OPAR SNTAHAR</t>
  </si>
  <si>
    <t>Hashimpur Amirpur</t>
  </si>
  <si>
    <t>Kobita Pal</t>
  </si>
  <si>
    <t>Pita  vog Pita  vog</t>
  </si>
  <si>
    <t>Md.Bacchu Mondol</t>
  </si>
  <si>
    <t>PALI PALI</t>
  </si>
  <si>
    <t>Md.Mostakim Sagar</t>
  </si>
  <si>
    <t>Mst.Sabina Yesmin</t>
  </si>
  <si>
    <t>KABIRAJ PARA MALYGRAM</t>
  </si>
  <si>
    <t>Anuj Kumar Majumder</t>
  </si>
  <si>
    <t>Sherena Begum</t>
  </si>
  <si>
    <t>DKHIN KAZIR PARA KUMIRA</t>
  </si>
  <si>
    <t>Balayat Uallah</t>
  </si>
  <si>
    <t>NO MOKINABAZ</t>
  </si>
  <si>
    <t>Md.Abdur Razzak</t>
  </si>
  <si>
    <t>Md.Abdul Bari</t>
  </si>
  <si>
    <t>EDRAKPUR BODLAGARI</t>
  </si>
  <si>
    <t>Md.Mostafizur Rahaman</t>
  </si>
  <si>
    <t>Banu Akter</t>
  </si>
  <si>
    <t>GOSAHAR ALOKDIHI</t>
  </si>
  <si>
    <t>Sanker Golder</t>
  </si>
  <si>
    <t>MODDHOPARA KAMARJURI</t>
  </si>
  <si>
    <t>Nripen Mondol (DSM)</t>
  </si>
  <si>
    <t>PORBUPARA VENNABARI</t>
  </si>
  <si>
    <t>SALAMER BARI CHAR SETA</t>
  </si>
  <si>
    <t>Rubban begum</t>
  </si>
  <si>
    <t>MODDHOPARA NOWAGRAM</t>
  </si>
  <si>
    <t>Biswajit Adhakari</t>
  </si>
  <si>
    <t>Rupali Mondal</t>
  </si>
  <si>
    <t>MAJARPARA NITTANANDONPUR</t>
  </si>
  <si>
    <t>Nur Bakt Mia</t>
  </si>
  <si>
    <t>Sanjida Akter Reya</t>
  </si>
  <si>
    <t>AKAPUR SEBTABGONJ POURO</t>
  </si>
  <si>
    <t>Mst. Jannatul Ferdus</t>
  </si>
  <si>
    <t>PATAL JAL BOULAI</t>
  </si>
  <si>
    <t>Polasi Bain</t>
  </si>
  <si>
    <t>PURBO KHEJURIA KHEJURIA</t>
  </si>
  <si>
    <t>Ayesa Begum</t>
  </si>
  <si>
    <t>ALADERBARI KACIAPAR</t>
  </si>
  <si>
    <t>Leakat Ali</t>
  </si>
  <si>
    <t>AHMMADPUR AHMMADPUR</t>
  </si>
  <si>
    <t>Dakkhinpara Mothurapur</t>
  </si>
  <si>
    <t>Mowlana Iliaz Molla</t>
  </si>
  <si>
    <t>POSSIM PARA BUNAGATI</t>
  </si>
  <si>
    <t>Aktarul Biswas</t>
  </si>
  <si>
    <t>NIKARI PARA MASIARA</t>
  </si>
  <si>
    <t>Sumoti Basor</t>
  </si>
  <si>
    <t>Posshim Para Joy Kha</t>
  </si>
  <si>
    <t>Mst. Puspo</t>
  </si>
  <si>
    <t>CHARKHAMAR CHARKHAMAR</t>
  </si>
  <si>
    <t>Lily Khatun</t>
  </si>
  <si>
    <t>GOSPARA NAGCHOCA</t>
  </si>
  <si>
    <t>Md.Arshadur Rahman</t>
  </si>
  <si>
    <t>JAMALPUR JAMALPUR</t>
  </si>
  <si>
    <t>Md.Kawsar Ali DSM</t>
  </si>
  <si>
    <t>Swadesh Mojumder</t>
  </si>
  <si>
    <t>Amona  Begum</t>
  </si>
  <si>
    <t>Purbopara Hakoba</t>
  </si>
  <si>
    <t>NODIR PAR HAKOBA</t>
  </si>
  <si>
    <t>Md.Mominur Islam</t>
  </si>
  <si>
    <t>DALKA PARA DALKA PARA</t>
  </si>
  <si>
    <t>Rasma Begum</t>
  </si>
  <si>
    <t>CHOR KASIPUR CHOR KASIPUR</t>
  </si>
  <si>
    <t>Younush Ali</t>
  </si>
  <si>
    <t>PILER MATH SOKHIPUR</t>
  </si>
  <si>
    <t>Md.Jahirul Islam</t>
  </si>
  <si>
    <t>AKBAR ALI SIKDER PARA AKBAR ALI SIKDER PARA</t>
  </si>
  <si>
    <t>Rumpa Kaji</t>
  </si>
  <si>
    <t>SUNAKANDA LOKHIKOL</t>
  </si>
  <si>
    <t>Most.Monura Begum</t>
  </si>
  <si>
    <t>PURBO PARA MOHISA MURA</t>
  </si>
  <si>
    <t>Md.Ahsan Habib</t>
  </si>
  <si>
    <t>NISI PARA SHAMPUR</t>
  </si>
  <si>
    <t>Mst. Shirin Begum</t>
  </si>
  <si>
    <t>TELOSCHYANIPARA TELOS</t>
  </si>
  <si>
    <t>JORA AMTOLA JARIA</t>
  </si>
  <si>
    <t>Shamim Haider</t>
  </si>
  <si>
    <t>Piyara</t>
  </si>
  <si>
    <t>NOYABAZAR LOXMIPRASAD</t>
  </si>
  <si>
    <t>BANGALINAGOR BANGALINAGOR</t>
  </si>
  <si>
    <t>Mita Begum</t>
  </si>
  <si>
    <t>KHANPARA SHREEFOLA</t>
  </si>
  <si>
    <t>KOBOR STHANER DOKKIN PASSE SHANKORPUR</t>
  </si>
  <si>
    <t>Md.Samsuzzaman</t>
  </si>
  <si>
    <t>Mst.Monjura Bagum</t>
  </si>
  <si>
    <t>NOYA PARA NOYA PARA</t>
  </si>
  <si>
    <t>DARGAPARA DARGAPARA</t>
  </si>
  <si>
    <t>Samala Khatun</t>
  </si>
  <si>
    <t>BAZARPARA GOKULPARAI</t>
  </si>
  <si>
    <t>AYASINSAHEBERBARI DOLOIPARA</t>
  </si>
  <si>
    <t xml:space="preserve">Sumi </t>
  </si>
  <si>
    <t>HAFEZ GONA BANDARBAN</t>
  </si>
  <si>
    <t>PURBOPARA SANKORPUR</t>
  </si>
  <si>
    <t>KHAMARPARA DORBOSTO</t>
  </si>
  <si>
    <t>Sriza Das</t>
  </si>
  <si>
    <t>FACTORY ER PASE NALUA</t>
  </si>
  <si>
    <t>Sheikh Md.Abu Tareq</t>
  </si>
  <si>
    <t>Maloti Datta</t>
  </si>
  <si>
    <t>DUTTAPARA KAGUIL</t>
  </si>
  <si>
    <t>Momina</t>
  </si>
  <si>
    <t>MADRASAR SAMNA,REL LAINE AR PASE BIDHIRPUR</t>
  </si>
  <si>
    <t>KOWNIYA WD-1</t>
  </si>
  <si>
    <t>Md.Mohsin Mia</t>
  </si>
  <si>
    <t>Dipali Malakar</t>
  </si>
  <si>
    <t>SIRAJ NAGAR SIRAJ NAGAR</t>
  </si>
  <si>
    <t>MODDO BAJAR BALEYA DEGI</t>
  </si>
  <si>
    <t>Rinu Rani</t>
  </si>
  <si>
    <t>HAJI PARA JONAR KEWCIA</t>
  </si>
  <si>
    <t>WITH MADRASA RARIKHAL</t>
  </si>
  <si>
    <t>Shohena Begum</t>
  </si>
  <si>
    <t>MOSTOFA SODDARER BARI UTTOR BASHBARIA</t>
  </si>
  <si>
    <t>Mst.Nafia Bagum</t>
  </si>
  <si>
    <t>RAJAR CHAR POLLI SISU KILINIK CHOYTA MOLLA KANDI</t>
  </si>
  <si>
    <t>MEDILE KANOKDIA KANOKDIA</t>
  </si>
  <si>
    <t>Sfali</t>
  </si>
  <si>
    <t>KODALIA KODILIA</t>
  </si>
  <si>
    <t>Md Rayan Ali Biswas</t>
  </si>
  <si>
    <t>RAKTO KAYA MOR RAKTO KAYA</t>
  </si>
  <si>
    <t>Arsa Akter</t>
  </si>
  <si>
    <t>WOARD .8 KALINDIPUR</t>
  </si>
  <si>
    <t>Md.Musfiqur Rahman</t>
  </si>
  <si>
    <t>sherpur sadar Chalkpathok</t>
  </si>
  <si>
    <t>Kaliapara Shahrasti</t>
  </si>
  <si>
    <t>S.M Abul Hasan Al Masud</t>
  </si>
  <si>
    <t>Bepari Bari Mohammedpur</t>
  </si>
  <si>
    <t>Mrs- Sefali Begum</t>
  </si>
  <si>
    <t>Dalbari 06 No Pourashava</t>
  </si>
  <si>
    <t>Moni Para Kabil Pur</t>
  </si>
  <si>
    <r>
      <t>Morzina B</t>
    </r>
    <r>
      <rPr>
        <b/>
        <sz val="11"/>
        <rFont val="Calibri"/>
        <family val="2"/>
        <scheme val="minor"/>
      </rPr>
      <t>egom</t>
    </r>
  </si>
  <si>
    <t>Extent Of baseline use (%)</t>
  </si>
  <si>
    <t>MAJ PARA  KAJIPUR</t>
  </si>
  <si>
    <t xml:space="preserve">Extent Of baseline use </t>
  </si>
  <si>
    <t>VPA 01</t>
  </si>
  <si>
    <t>VPA 03</t>
  </si>
  <si>
    <t>VPA 02</t>
  </si>
  <si>
    <t>VPA 04</t>
  </si>
  <si>
    <t>VPA 05</t>
  </si>
  <si>
    <t>VPA 06</t>
  </si>
  <si>
    <t>VPA 07</t>
  </si>
  <si>
    <t>VPA 08</t>
  </si>
  <si>
    <t>VPA 09</t>
  </si>
  <si>
    <t>Crediting period start date of the specific-case VPA</t>
  </si>
  <si>
    <t>Monitoring Session 1 (MS1)</t>
  </si>
  <si>
    <t>Monitoring Session 2 (MS2)</t>
  </si>
  <si>
    <r>
      <t>Estimated U</t>
    </r>
    <r>
      <rPr>
        <b/>
        <vertAlign val="subscript"/>
        <sz val="10"/>
        <color theme="1"/>
        <rFont val="Calibri"/>
        <family val="2"/>
        <scheme val="minor"/>
      </rPr>
      <t xml:space="preserve">P,y </t>
    </r>
    <r>
      <rPr>
        <b/>
        <sz val="10"/>
        <color theme="1"/>
        <rFont val="Calibri (Body)"/>
      </rPr>
      <t>(p)</t>
    </r>
  </si>
  <si>
    <r>
      <t>U</t>
    </r>
    <r>
      <rPr>
        <vertAlign val="subscript"/>
        <sz val="10"/>
        <color theme="1"/>
        <rFont val="Calibri"/>
        <family val="2"/>
      </rPr>
      <t>P,y</t>
    </r>
  </si>
  <si>
    <r>
      <t>DF</t>
    </r>
    <r>
      <rPr>
        <vertAlign val="subscript"/>
        <sz val="10"/>
        <color theme="1"/>
        <rFont val="Calibri"/>
        <family val="2"/>
      </rPr>
      <t>b,Stove,y</t>
    </r>
  </si>
  <si>
    <r>
      <t>U</t>
    </r>
    <r>
      <rPr>
        <b/>
        <vertAlign val="subscript"/>
        <sz val="10"/>
        <color theme="1"/>
        <rFont val="Calibri"/>
        <family val="2"/>
        <scheme val="minor"/>
      </rPr>
      <t>P,y</t>
    </r>
  </si>
  <si>
    <r>
      <t>DF</t>
    </r>
    <r>
      <rPr>
        <b/>
        <vertAlign val="subscript"/>
        <sz val="10"/>
        <color theme="1"/>
        <rFont val="Calibri"/>
        <family val="2"/>
        <scheme val="minor"/>
      </rPr>
      <t>b,Stove,y</t>
    </r>
  </si>
  <si>
    <r>
      <t>η</t>
    </r>
    <r>
      <rPr>
        <b/>
        <vertAlign val="subscript"/>
        <sz val="10"/>
        <color theme="1"/>
        <rFont val="Calibri"/>
        <family val="2"/>
        <scheme val="minor"/>
      </rPr>
      <t>p,y</t>
    </r>
  </si>
  <si>
    <r>
      <t>P</t>
    </r>
    <r>
      <rPr>
        <b/>
        <vertAlign val="subscript"/>
        <sz val="10"/>
        <color theme="1"/>
        <rFont val="Calibri"/>
        <family val="2"/>
      </rPr>
      <t>y</t>
    </r>
  </si>
  <si>
    <r>
      <t>U</t>
    </r>
    <r>
      <rPr>
        <b/>
        <vertAlign val="subscript"/>
        <sz val="10"/>
        <color theme="1"/>
        <rFont val="Calibri"/>
        <family val="2"/>
      </rPr>
      <t>P,y</t>
    </r>
  </si>
  <si>
    <r>
      <t>DF</t>
    </r>
    <r>
      <rPr>
        <b/>
        <vertAlign val="subscript"/>
        <sz val="10"/>
        <color theme="1"/>
        <rFont val="Calibri"/>
        <family val="2"/>
      </rPr>
      <t>b,Stove,y</t>
    </r>
  </si>
  <si>
    <t>Reference number of the specific-case VPA included in the PoA as of the end of this monitoring period</t>
  </si>
  <si>
    <t>Stove Year (MS1)</t>
  </si>
  <si>
    <t>Stove Year (MS2)</t>
  </si>
  <si>
    <t>ERs (MS1)</t>
  </si>
  <si>
    <t>ERs (MS2)</t>
  </si>
  <si>
    <r>
      <t>SD</t>
    </r>
    <r>
      <rPr>
        <b/>
        <vertAlign val="superscript"/>
        <sz val="10"/>
        <color theme="1"/>
        <rFont val="Arial"/>
        <family val="2"/>
      </rPr>
      <t>2</t>
    </r>
  </si>
  <si>
    <r>
      <t>V</t>
    </r>
    <r>
      <rPr>
        <b/>
        <vertAlign val="sub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= (SD/p)</t>
    </r>
    <r>
      <rPr>
        <b/>
        <vertAlign val="superscript"/>
        <sz val="10"/>
        <color theme="1"/>
        <rFont val="Arial"/>
        <family val="2"/>
      </rPr>
      <t>2</t>
    </r>
  </si>
  <si>
    <r>
      <t>B</t>
    </r>
    <r>
      <rPr>
        <vertAlign val="subscript"/>
        <sz val="12"/>
        <color theme="1"/>
        <rFont val="Calibri (Body)"/>
      </rPr>
      <t>b,y</t>
    </r>
  </si>
  <si>
    <r>
      <t>η</t>
    </r>
    <r>
      <rPr>
        <vertAlign val="subscript"/>
        <sz val="12"/>
        <color theme="1"/>
        <rFont val="Calibri (Body)"/>
      </rPr>
      <t>b</t>
    </r>
  </si>
  <si>
    <r>
      <t>DF</t>
    </r>
    <r>
      <rPr>
        <vertAlign val="subscript"/>
        <sz val="12"/>
        <color theme="1"/>
        <rFont val="Calibri (Body)"/>
      </rPr>
      <t>η</t>
    </r>
  </si>
  <si>
    <r>
      <t>f</t>
    </r>
    <r>
      <rPr>
        <vertAlign val="subscript"/>
        <sz val="12"/>
        <color theme="1"/>
        <rFont val="Calibri (Body)"/>
      </rPr>
      <t>NRB,b,y</t>
    </r>
  </si>
  <si>
    <r>
      <t>EF</t>
    </r>
    <r>
      <rPr>
        <vertAlign val="subscript"/>
        <sz val="12"/>
        <color theme="1"/>
        <rFont val="Calibri (Body)"/>
      </rPr>
      <t>b,fuel,CO2</t>
    </r>
  </si>
  <si>
    <r>
      <t>CO2 emission factor of firewood that is substituted or reduced. (Default value for woodfuel 1.747 tCO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 xml:space="preserve">/ton of wood) </t>
    </r>
  </si>
  <si>
    <r>
      <t>tCO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>e/ton of wood</t>
    </r>
  </si>
  <si>
    <r>
      <t>EF</t>
    </r>
    <r>
      <rPr>
        <vertAlign val="subscript"/>
        <sz val="12"/>
        <color theme="1"/>
        <rFont val="Calibri (Body)"/>
      </rPr>
      <t xml:space="preserve">b,fuel,non_CO2  </t>
    </r>
  </si>
  <si>
    <r>
      <t>η</t>
    </r>
    <r>
      <rPr>
        <vertAlign val="subscript"/>
        <sz val="12"/>
        <color theme="1"/>
        <rFont val="Calibri (Body)"/>
      </rPr>
      <t xml:space="preserve">p </t>
    </r>
  </si>
  <si>
    <t>Monitoring Session #1</t>
  </si>
  <si>
    <t>PoA Title</t>
  </si>
  <si>
    <t>Host Country</t>
  </si>
  <si>
    <t>Bangladesh</t>
  </si>
  <si>
    <t>The PoA involves distribution of biomass based improved cookstoves (“ICS”) to households / SMEs in Bangladesh</t>
  </si>
  <si>
    <t>Meth (code / name / version / date of approval)</t>
  </si>
  <si>
    <t>Version of the workbook</t>
  </si>
  <si>
    <t>Sign off date</t>
  </si>
  <si>
    <t>For queries on Calculator, contact the following:</t>
  </si>
  <si>
    <t>Name (First/Middle/Last)</t>
  </si>
  <si>
    <t>Rohit Lohia</t>
  </si>
  <si>
    <t>Organization</t>
  </si>
  <si>
    <t>Climate Secure India Private Limited</t>
  </si>
  <si>
    <t xml:space="preserve">email: </t>
  </si>
  <si>
    <t>rohit.lohia@climate-secure.com</t>
  </si>
  <si>
    <t>GHG Emission Reduction through use of Bondhu Chula (Improved Cook Stoves) in Bangladesh</t>
  </si>
  <si>
    <t>GS 3112</t>
  </si>
  <si>
    <t>PoA ID</t>
  </si>
  <si>
    <t>VPAs covered in this Monitoring Period</t>
  </si>
  <si>
    <t>VPA 01-36</t>
  </si>
  <si>
    <t>The Gold Standard Simplified Methodology for Efficient Cookstoves, Version 1.0, dated February 2013</t>
  </si>
  <si>
    <t># of stoves</t>
  </si>
  <si>
    <t>ERs</t>
  </si>
  <si>
    <t>Monitoring Session #2</t>
  </si>
  <si>
    <t>Age Category (MS1)</t>
  </si>
  <si>
    <t>Age Category (MS2)</t>
  </si>
  <si>
    <t>Dates of each monitoring session</t>
  </si>
  <si>
    <t>MS#</t>
  </si>
  <si>
    <t>End date</t>
  </si>
  <si>
    <t>Monitoring Frequency</t>
  </si>
  <si>
    <t>Annual</t>
  </si>
  <si>
    <t>VPA</t>
  </si>
  <si>
    <t>Number of Stoves</t>
  </si>
  <si>
    <t>Specific-case VPA reference number</t>
  </si>
  <si>
    <t>GHG emission reductions or net GHG removals by sinks</t>
  </si>
  <si>
    <t>Up to 31/12/2012</t>
  </si>
  <si>
    <t>From 01/01/2013</t>
  </si>
  <si>
    <t>Total amount</t>
  </si>
  <si>
    <t xml:space="preserve">tCO2e </t>
  </si>
  <si>
    <r>
      <t>Emission Reductions 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</t>
    </r>
  </si>
  <si>
    <r>
      <t>(tCO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e) achieved in the monitoring period</t>
    </r>
  </si>
  <si>
    <t>Ex Ante estimates for the current monitoring period</t>
  </si>
  <si>
    <t>ex ante ERs as per Section A.4.4 of the registered VPA-DD</t>
  </si>
  <si>
    <t>Ex-ante ERs Vs Ex-post ERs Comaprison</t>
  </si>
  <si>
    <r>
      <t>(tCO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e)</t>
    </r>
  </si>
  <si>
    <t xml:space="preserve">Actual values achieved during this monitoring period  </t>
  </si>
  <si>
    <t>TANBIR / ROBIUL ALAM</t>
  </si>
  <si>
    <t>MD.BULET / Beauty Begum</t>
  </si>
  <si>
    <t>MD.FARID / SAKIB</t>
  </si>
  <si>
    <t>IMRAN HOSEN / MST. SUFIYA BEGUM</t>
  </si>
  <si>
    <t>Gafor Meredha / Pervin (wife)</t>
  </si>
  <si>
    <t xml:space="preserve">Kalam Morol / Saiful </t>
  </si>
  <si>
    <t>MD NAYON MIA / LILI</t>
  </si>
  <si>
    <t>MAJEDA BEGUM / SORBANU</t>
  </si>
  <si>
    <t xml:space="preserve">SHAHIN SHEK / MRS.SONIA AKTER </t>
  </si>
  <si>
    <t>MD.KHORSADE ALI / LOVELY</t>
  </si>
  <si>
    <t>MD ARIF HOSEN/JPMELA</t>
  </si>
  <si>
    <t>KORIM / SABNUR</t>
  </si>
  <si>
    <t xml:space="preserve">Naran Nondi / Josna Nondi </t>
  </si>
  <si>
    <t>MD EKRAM ALI PK / SHANUARA</t>
  </si>
  <si>
    <t>SHOHAG SANA / KHOLILUR RAHOMAN</t>
  </si>
  <si>
    <t>SOWPON KUMAR SHAHA / SUNITA</t>
  </si>
  <si>
    <t>MD JAMAL / HAMIDA AKTER</t>
  </si>
  <si>
    <t>Ab Hoq / Lipi (wife)</t>
  </si>
  <si>
    <t>SUKER / RINA BEGUM</t>
  </si>
  <si>
    <t xml:space="preserve">Ajjad / Sheikh Hasina </t>
  </si>
  <si>
    <t>Md.Eanai Shakh / Rupa</t>
  </si>
  <si>
    <t>JAKIR HOWLADER / SEULY (SISTER)</t>
  </si>
  <si>
    <t>Akkas Alli / Robiul (Son)</t>
  </si>
  <si>
    <t>MD JALAL UDDIN / MABIA KHATUN</t>
  </si>
  <si>
    <t>ACHERUDDIN / NURJAHAN</t>
  </si>
  <si>
    <t xml:space="preserve">Suvas adhikari / Srabonti </t>
  </si>
  <si>
    <t xml:space="preserve">MD.MONIRUZZAMAN / Md. Billal Hossen </t>
  </si>
  <si>
    <t>TARIKUL ISLAM/HASINA BEGUM</t>
  </si>
  <si>
    <t xml:space="preserve">KHADIJA / Rokea </t>
  </si>
  <si>
    <t xml:space="preserve">Amjat Hossen / Abeda Khatun </t>
  </si>
  <si>
    <t>DR NAZIMUDDIN PK/RUMA KHATUN</t>
  </si>
  <si>
    <t xml:space="preserve">DULU / LIPI </t>
  </si>
  <si>
    <t>Nayem Sheikh / Nasima Bagum</t>
  </si>
  <si>
    <t>Ronjit Bala / Sela Bala (Sister)</t>
  </si>
  <si>
    <t>SADA MIA / BILKIS</t>
  </si>
  <si>
    <t>Mr. Razkumar/SHILA</t>
  </si>
  <si>
    <t>ARIF HOSSAIN / Nargis</t>
  </si>
  <si>
    <t>Amir Ali / Rina (Sister)</t>
  </si>
  <si>
    <t>MD. ISLAM HOSEN / BEAUTY</t>
  </si>
  <si>
    <t>MD TAREK SARDAR / Mita</t>
  </si>
  <si>
    <t>AFJAL HOSSAIN/SHAHIDA</t>
  </si>
  <si>
    <t>AIYB ALI/ JAHED</t>
  </si>
  <si>
    <t>IAKBAL HOSEN/Halima Begum</t>
  </si>
  <si>
    <t>AMAN ULLA/ ALTAZ BEGUM</t>
  </si>
  <si>
    <t>LAYLI BEGUM/ Izzat Ali</t>
  </si>
  <si>
    <t>HAFIJUR BISWAS/Moslima</t>
  </si>
  <si>
    <t>MOSTOFA MOLLAH/Sume</t>
  </si>
  <si>
    <t>MUSLEM/FARIDA</t>
  </si>
  <si>
    <t>RAFIQUL/Joytunnesa</t>
  </si>
  <si>
    <t>SUKOMOL/ POLY RANI</t>
  </si>
  <si>
    <t>SIDDIKATUN NESA/ Sarmin</t>
  </si>
  <si>
    <t>MD.ZAHANGIR ALOM/ NAJNIN BEGUM</t>
  </si>
  <si>
    <t>Mahedi/SALMA</t>
  </si>
  <si>
    <t>Boloram Moholdar / Chanchola</t>
  </si>
  <si>
    <t>MST.NILUFA BEGUM/SALEHA</t>
  </si>
  <si>
    <t>MD.BELAL/ JESMIN AKTER</t>
  </si>
  <si>
    <t>NIRONJON PAL/Gita</t>
  </si>
  <si>
    <t>MD MUKUL HOSEN/Molina</t>
  </si>
  <si>
    <t xml:space="preserve">Milon / Shahanara Begum </t>
  </si>
  <si>
    <t>Shomvu Charon  Mondol/ SAROSOTI</t>
  </si>
  <si>
    <t>Mrs. Runa Begam / Resma</t>
  </si>
  <si>
    <t>MD.GOLAM MOSTAFA /Samia</t>
  </si>
  <si>
    <t>MAHIDUR RAHMAN/NAZMA</t>
  </si>
  <si>
    <t>RABIUL/ IBRAHIM</t>
  </si>
  <si>
    <t>MOSHIUR RAHMAN BELAL / RIMA AKTER</t>
  </si>
  <si>
    <t>AMIR HOSSAIN/Mena</t>
  </si>
  <si>
    <t>SOHAG/ SATHI BEGUM</t>
  </si>
  <si>
    <t>NORENDU RAI/Maloti Rani</t>
  </si>
  <si>
    <t>JAHIRUL ALOM/IRFAN</t>
  </si>
  <si>
    <t>SOTON BISWAS / SUMA BEGUM</t>
  </si>
  <si>
    <t>SURENDRO NATH GHOSE/Akhi</t>
  </si>
  <si>
    <t>SHADIEA/ROFIQ</t>
  </si>
  <si>
    <t>BELLAL MOLLA/ SALEHA BEGUM</t>
  </si>
  <si>
    <t>MD.BABLU PK/ JORINA</t>
  </si>
  <si>
    <t>SAIFUL ISLAM/Rokeya Begum</t>
  </si>
  <si>
    <t>JUBAIR AHAMMAD / SIMA AKTER</t>
  </si>
  <si>
    <t>MD.SOTKA PK./NURUNNAHAR BEGUM</t>
  </si>
  <si>
    <t>MD. EDULLAH DAKTAR/MERINA</t>
  </si>
  <si>
    <t>MIR ABDUL MOZID/Fatema</t>
  </si>
  <si>
    <t>BIPUL KUMER/Pollob Kumar</t>
  </si>
  <si>
    <t>Md.Nur Islam / Mrs. Joba</t>
  </si>
  <si>
    <t>MD. BITU MIA / MRS. SAJEDA</t>
  </si>
  <si>
    <t>RANOJIT CHOWDHORI/ KRISHNA</t>
  </si>
  <si>
    <t>Md. Kausar / Mrs.Morzina Begum</t>
  </si>
  <si>
    <t>Actual Start date (VPA01-06)</t>
  </si>
  <si>
    <t>Effective Start date (VPA01-06)</t>
  </si>
  <si>
    <t>Actual Start date (VPA07-36)</t>
  </si>
  <si>
    <r>
      <t>Non CO2 emission factor of firewood that is substituted or reduced. (Default value for wood fuel 0.533 tCO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 xml:space="preserve">/ton of wood)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</si>
</sst>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[$-409]d\-mmm\-yyyy;@"/>
    <numFmt numFmtId="167" formatCode="[$-409]d\-mmm\-yy;@"/>
    <numFmt numFmtId="168" formatCode="d\-mmm\-yy;@"/>
    <numFmt numFmtId="169" formatCode="0.000"/>
    <numFmt numFmtId="170" formatCode="0.0000"/>
    <numFmt numFmtId="171" formatCode="0.0"/>
    <numFmt numFmtId="172" formatCode="_ * #,##0_ ;_ * \-#,##0_ ;_ * &quot;-&quot;??_ ;_ @_ 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 (Body)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b/>
      <vertAlign val="subscript"/>
      <sz val="10"/>
      <color theme="1"/>
      <name val="Calibri"/>
      <family val="2"/>
      <scheme val="minor"/>
    </font>
    <font>
      <b/>
      <sz val="10"/>
      <color theme="1"/>
      <name val="Calibri (Body)"/>
    </font>
    <font>
      <vertAlign val="subscript"/>
      <sz val="10"/>
      <color theme="1"/>
      <name val="Calibri"/>
      <family val="2"/>
    </font>
    <font>
      <b/>
      <vertAlign val="subscript"/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1"/>
      <color theme="1"/>
      <name val="Calibri (Body)"/>
    </font>
    <font>
      <sz val="12"/>
      <color theme="1"/>
      <name val="Calibri (Body)"/>
    </font>
    <font>
      <vertAlign val="subscript"/>
      <sz val="12"/>
      <color theme="1"/>
      <name val="Calibri (Body)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vertAlign val="subscript"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theme="9" tint="-0.249977111117893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9" fontId="7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1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2" borderId="7" applyNumberFormat="0" applyAlignment="0" applyProtection="0"/>
    <xf numFmtId="0" fontId="12" fillId="3" borderId="9" applyNumberFormat="0" applyFon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42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297">
    <xf numFmtId="0" fontId="0" fillId="0" borderId="0" xfId="0"/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0" xfId="74" applyFont="1" applyAlignment="1">
      <alignment horizontal="center" vertical="center"/>
    </xf>
    <xf numFmtId="0" fontId="28" fillId="0" borderId="1" xfId="74" applyFont="1" applyFill="1" applyBorder="1" applyAlignment="1">
      <alignment horizontal="center" vertical="center"/>
    </xf>
    <xf numFmtId="0" fontId="4" fillId="0" borderId="0" xfId="74" applyFont="1" applyFill="1" applyAlignment="1">
      <alignment horizontal="center" vertical="center"/>
    </xf>
    <xf numFmtId="0" fontId="28" fillId="0" borderId="1" xfId="74" applyFont="1" applyFill="1" applyBorder="1" applyAlignment="1">
      <alignment horizontal="center" vertical="center" wrapText="1"/>
    </xf>
    <xf numFmtId="167" fontId="28" fillId="0" borderId="1" xfId="74" applyNumberFormat="1" applyFont="1" applyFill="1" applyBorder="1" applyAlignment="1">
      <alignment horizontal="center" vertical="center"/>
    </xf>
    <xf numFmtId="0" fontId="22" fillId="0" borderId="1" xfId="74" applyFont="1" applyFill="1" applyBorder="1" applyAlignment="1">
      <alignment horizontal="center" vertical="center"/>
    </xf>
    <xf numFmtId="0" fontId="20" fillId="0" borderId="1" xfId="74" applyFont="1" applyFill="1" applyBorder="1" applyAlignment="1">
      <alignment horizontal="center" vertical="center"/>
    </xf>
    <xf numFmtId="168" fontId="22" fillId="0" borderId="1" xfId="74" applyNumberFormat="1" applyFont="1" applyFill="1" applyBorder="1" applyAlignment="1">
      <alignment horizontal="center" vertical="center" wrapText="1"/>
    </xf>
    <xf numFmtId="0" fontId="20" fillId="0" borderId="1" xfId="76" applyFont="1" applyFill="1" applyBorder="1" applyAlignment="1">
      <alignment horizontal="center" vertical="center"/>
    </xf>
    <xf numFmtId="0" fontId="22" fillId="0" borderId="1" xfId="76" applyFont="1" applyFill="1" applyBorder="1" applyAlignment="1">
      <alignment horizontal="center" vertical="center"/>
    </xf>
    <xf numFmtId="0" fontId="28" fillId="0" borderId="5" xfId="74" applyFont="1" applyFill="1" applyBorder="1" applyAlignment="1">
      <alignment horizontal="center" vertical="center"/>
    </xf>
    <xf numFmtId="0" fontId="20" fillId="0" borderId="1" xfId="77" applyFont="1" applyFill="1" applyBorder="1" applyAlignment="1">
      <alignment horizontal="center" vertical="center"/>
    </xf>
    <xf numFmtId="14" fontId="28" fillId="0" borderId="1" xfId="74" applyNumberFormat="1" applyFont="1" applyFill="1" applyBorder="1" applyAlignment="1">
      <alignment horizontal="center" vertical="center"/>
    </xf>
    <xf numFmtId="167" fontId="22" fillId="0" borderId="1" xfId="76" applyNumberFormat="1" applyFont="1" applyFill="1" applyBorder="1" applyAlignment="1">
      <alignment horizontal="center" vertical="center"/>
    </xf>
    <xf numFmtId="168" fontId="22" fillId="0" borderId="1" xfId="76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74" applyFont="1" applyAlignment="1">
      <alignment horizontal="center" vertical="center" wrapText="1"/>
    </xf>
    <xf numFmtId="14" fontId="13" fillId="0" borderId="1" xfId="72" applyNumberFormat="1" applyFont="1" applyBorder="1" applyAlignment="1">
      <alignment horizontal="center" vertical="top" wrapText="1"/>
    </xf>
    <xf numFmtId="0" fontId="19" fillId="0" borderId="1" xfId="76" applyFont="1" applyFill="1" applyBorder="1" applyAlignment="1">
      <alignment horizontal="center" vertical="center"/>
    </xf>
    <xf numFmtId="0" fontId="22" fillId="0" borderId="1" xfId="36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0" borderId="1" xfId="2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/>
    <xf numFmtId="0" fontId="13" fillId="0" borderId="1" xfId="0" applyNumberFormat="1" applyFont="1" applyBorder="1" applyAlignment="1">
      <alignment horizontal="center"/>
    </xf>
    <xf numFmtId="169" fontId="13" fillId="0" borderId="1" xfId="0" applyNumberFormat="1" applyFont="1" applyBorder="1" applyAlignment="1">
      <alignment horizontal="center"/>
    </xf>
    <xf numFmtId="10" fontId="13" fillId="0" borderId="1" xfId="10" applyNumberFormat="1" applyFont="1" applyBorder="1" applyAlignment="1">
      <alignment horizontal="center"/>
    </xf>
    <xf numFmtId="169" fontId="13" fillId="0" borderId="1" xfId="10" applyNumberFormat="1" applyFont="1" applyBorder="1" applyAlignment="1">
      <alignment horizontal="center"/>
    </xf>
    <xf numFmtId="169" fontId="13" fillId="0" borderId="0" xfId="0" applyNumberFormat="1" applyFont="1" applyBorder="1" applyAlignment="1">
      <alignment horizontal="center"/>
    </xf>
    <xf numFmtId="9" fontId="13" fillId="0" borderId="0" xfId="10" applyFont="1" applyBorder="1" applyAlignment="1">
      <alignment horizontal="center"/>
    </xf>
    <xf numFmtId="2" fontId="13" fillId="0" borderId="0" xfId="10" applyNumberFormat="1" applyFont="1" applyBorder="1" applyAlignment="1">
      <alignment horizontal="center"/>
    </xf>
    <xf numFmtId="10" fontId="13" fillId="0" borderId="0" xfId="10" applyNumberFormat="1" applyFont="1" applyBorder="1" applyAlignment="1">
      <alignment horizontal="center"/>
    </xf>
    <xf numFmtId="170" fontId="13" fillId="0" borderId="0" xfId="0" applyNumberFormat="1" applyFont="1" applyBorder="1" applyAlignment="1">
      <alignment horizontal="center"/>
    </xf>
    <xf numFmtId="170" fontId="25" fillId="0" borderId="1" xfId="1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70" fontId="13" fillId="0" borderId="1" xfId="0" applyNumberFormat="1" applyFont="1" applyFill="1" applyBorder="1" applyAlignment="1">
      <alignment horizontal="center"/>
    </xf>
    <xf numFmtId="10" fontId="13" fillId="0" borderId="12" xfId="10" applyNumberFormat="1" applyFont="1" applyFill="1" applyBorder="1" applyAlignment="1">
      <alignment horizontal="center"/>
    </xf>
    <xf numFmtId="10" fontId="13" fillId="0" borderId="1" xfId="10" applyNumberFormat="1" applyFont="1" applyFill="1" applyBorder="1" applyAlignment="1">
      <alignment horizontal="center"/>
    </xf>
    <xf numFmtId="10" fontId="13" fillId="0" borderId="1" xfId="70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69" fontId="13" fillId="0" borderId="1" xfId="0" applyNumberFormat="1" applyFont="1" applyFill="1" applyBorder="1" applyAlignment="1">
      <alignment horizontal="center"/>
    </xf>
    <xf numFmtId="169" fontId="13" fillId="0" borderId="2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1" xfId="0" applyFont="1" applyBorder="1"/>
    <xf numFmtId="14" fontId="13" fillId="0" borderId="1" xfId="0" applyNumberFormat="1" applyFont="1" applyBorder="1"/>
    <xf numFmtId="0" fontId="37" fillId="0" borderId="0" xfId="4" applyFont="1" applyAlignment="1">
      <alignment horizontal="center" vertical="center" wrapText="1"/>
    </xf>
    <xf numFmtId="0" fontId="38" fillId="0" borderId="1" xfId="4" applyFont="1" applyBorder="1" applyAlignment="1">
      <alignment horizontal="center" vertical="center" wrapText="1"/>
    </xf>
    <xf numFmtId="0" fontId="37" fillId="0" borderId="1" xfId="4" applyFont="1" applyBorder="1" applyAlignment="1">
      <alignment horizontal="center" vertical="center" wrapText="1"/>
    </xf>
    <xf numFmtId="10" fontId="37" fillId="0" borderId="1" xfId="4" applyNumberFormat="1" applyFont="1" applyBorder="1" applyAlignment="1">
      <alignment horizontal="center" vertical="center" wrapText="1"/>
    </xf>
    <xf numFmtId="169" fontId="37" fillId="0" borderId="1" xfId="4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169" fontId="25" fillId="8" borderId="1" xfId="0" applyNumberFormat="1" applyFont="1" applyFill="1" applyBorder="1" applyAlignment="1">
      <alignment horizontal="center" vertical="center"/>
    </xf>
    <xf numFmtId="166" fontId="13" fillId="6" borderId="1" xfId="0" applyNumberFormat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" vertical="center" wrapText="1"/>
    </xf>
    <xf numFmtId="169" fontId="13" fillId="0" borderId="1" xfId="2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  <xf numFmtId="1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166" fontId="13" fillId="0" borderId="1" xfId="72" applyNumberFormat="1" applyFont="1" applyBorder="1" applyAlignment="1">
      <alignment horizontal="center" vertical="top" wrapText="1"/>
    </xf>
    <xf numFmtId="0" fontId="41" fillId="0" borderId="1" xfId="78" applyFont="1" applyBorder="1" applyAlignment="1">
      <alignment horizontal="left"/>
    </xf>
    <xf numFmtId="0" fontId="2" fillId="0" borderId="0" xfId="78"/>
    <xf numFmtId="0" fontId="2" fillId="0" borderId="1" xfId="78" applyBorder="1" applyAlignment="1">
      <alignment horizontal="left"/>
    </xf>
    <xf numFmtId="0" fontId="41" fillId="0" borderId="1" xfId="78" applyFont="1" applyBorder="1"/>
    <xf numFmtId="171" fontId="2" fillId="0" borderId="1" xfId="78" applyNumberFormat="1" applyBorder="1" applyAlignment="1">
      <alignment horizontal="left"/>
    </xf>
    <xf numFmtId="14" fontId="2" fillId="0" borderId="1" xfId="78" applyNumberFormat="1" applyBorder="1" applyAlignment="1">
      <alignment horizontal="left"/>
    </xf>
    <xf numFmtId="0" fontId="42" fillId="0" borderId="1" xfId="79" applyBorder="1" applyAlignment="1">
      <alignment horizontal="left"/>
    </xf>
    <xf numFmtId="0" fontId="40" fillId="7" borderId="1" xfId="78" applyFont="1" applyFill="1" applyBorder="1"/>
    <xf numFmtId="166" fontId="25" fillId="8" borderId="1" xfId="72" applyNumberFormat="1" applyFont="1" applyFill="1" applyBorder="1" applyAlignment="1">
      <alignment horizontal="center" vertical="top" wrapText="1"/>
    </xf>
    <xf numFmtId="2" fontId="25" fillId="8" borderId="14" xfId="0" applyNumberFormat="1" applyFont="1" applyFill="1" applyBorder="1" applyAlignment="1">
      <alignment horizontal="center"/>
    </xf>
    <xf numFmtId="2" fontId="25" fillId="9" borderId="14" xfId="0" applyNumberFormat="1" applyFont="1" applyFill="1" applyBorder="1" applyAlignment="1">
      <alignment horizontal="center"/>
    </xf>
    <xf numFmtId="0" fontId="25" fillId="7" borderId="19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170" fontId="13" fillId="0" borderId="11" xfId="0" applyNumberFormat="1" applyFont="1" applyBorder="1" applyAlignment="1">
      <alignment horizontal="center"/>
    </xf>
    <xf numFmtId="0" fontId="25" fillId="9" borderId="14" xfId="0" applyFont="1" applyFill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/>
    </xf>
    <xf numFmtId="169" fontId="13" fillId="0" borderId="14" xfId="0" applyNumberFormat="1" applyFont="1" applyBorder="1" applyAlignment="1">
      <alignment horizontal="center"/>
    </xf>
    <xf numFmtId="10" fontId="13" fillId="0" borderId="14" xfId="10" applyNumberFormat="1" applyFont="1" applyBorder="1" applyAlignment="1">
      <alignment horizontal="center"/>
    </xf>
    <xf numFmtId="169" fontId="13" fillId="0" borderId="14" xfId="10" applyNumberFormat="1" applyFont="1" applyBorder="1" applyAlignment="1">
      <alignment horizontal="center"/>
    </xf>
    <xf numFmtId="170" fontId="13" fillId="0" borderId="15" xfId="0" applyNumberFormat="1" applyFont="1" applyBorder="1" applyAlignment="1">
      <alignment horizontal="center"/>
    </xf>
    <xf numFmtId="0" fontId="25" fillId="7" borderId="18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170" fontId="13" fillId="0" borderId="11" xfId="0" applyNumberFormat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0" fontId="13" fillId="0" borderId="14" xfId="0" applyNumberFormat="1" applyFont="1" applyFill="1" applyBorder="1" applyAlignment="1">
      <alignment horizontal="center" vertical="center"/>
    </xf>
    <xf numFmtId="170" fontId="13" fillId="0" borderId="15" xfId="0" applyNumberFormat="1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center" vertical="center"/>
    </xf>
    <xf numFmtId="169" fontId="25" fillId="9" borderId="14" xfId="0" applyNumberFormat="1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 wrapText="1"/>
    </xf>
    <xf numFmtId="0" fontId="25" fillId="6" borderId="22" xfId="0" applyFont="1" applyFill="1" applyBorder="1" applyAlignment="1">
      <alignment horizontal="center" vertical="center" wrapText="1"/>
    </xf>
    <xf numFmtId="0" fontId="29" fillId="0" borderId="10" xfId="2" applyFont="1" applyFill="1" applyBorder="1" applyAlignment="1">
      <alignment horizontal="left" vertical="center" wrapText="1"/>
    </xf>
    <xf numFmtId="0" fontId="8" fillId="0" borderId="11" xfId="2" applyFont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left" vertical="center" wrapText="1"/>
    </xf>
    <xf numFmtId="2" fontId="8" fillId="0" borderId="15" xfId="2" applyNumberFormat="1" applyFont="1" applyBorder="1" applyAlignment="1">
      <alignment horizontal="center" vertical="center" wrapText="1"/>
    </xf>
    <xf numFmtId="166" fontId="25" fillId="9" borderId="1" xfId="72" applyNumberFormat="1" applyFont="1" applyFill="1" applyBorder="1" applyAlignment="1">
      <alignment horizontal="center" vertical="top" wrapText="1"/>
    </xf>
    <xf numFmtId="0" fontId="25" fillId="5" borderId="4" xfId="72" applyFont="1" applyFill="1" applyBorder="1" applyAlignment="1">
      <alignment horizontal="center" vertical="top" wrapText="1"/>
    </xf>
    <xf numFmtId="0" fontId="25" fillId="7" borderId="33" xfId="0" applyFont="1" applyFill="1" applyBorder="1"/>
    <xf numFmtId="0" fontId="25" fillId="6" borderId="35" xfId="72" applyFont="1" applyFill="1" applyBorder="1" applyAlignment="1">
      <alignment horizontal="center" vertical="top" wrapText="1"/>
    </xf>
    <xf numFmtId="0" fontId="13" fillId="7" borderId="10" xfId="0" applyFont="1" applyFill="1" applyBorder="1"/>
    <xf numFmtId="14" fontId="13" fillId="0" borderId="11" xfId="72" applyNumberFormat="1" applyFont="1" applyBorder="1" applyAlignment="1">
      <alignment horizontal="center" vertical="top" wrapText="1"/>
    </xf>
    <xf numFmtId="0" fontId="13" fillId="7" borderId="13" xfId="0" applyFont="1" applyFill="1" applyBorder="1"/>
    <xf numFmtId="14" fontId="13" fillId="0" borderId="14" xfId="72" applyNumberFormat="1" applyFont="1" applyBorder="1" applyAlignment="1">
      <alignment horizontal="center" vertical="top" wrapText="1"/>
    </xf>
    <xf numFmtId="14" fontId="13" fillId="0" borderId="15" xfId="72" applyNumberFormat="1" applyFont="1" applyBorder="1" applyAlignment="1">
      <alignment horizontal="center" vertical="top" wrapText="1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4" fontId="26" fillId="0" borderId="11" xfId="0" applyNumberFormat="1" applyFont="1" applyBorder="1" applyAlignment="1">
      <alignment horizontal="center"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0" fontId="13" fillId="0" borderId="10" xfId="0" applyFont="1" applyBorder="1"/>
    <xf numFmtId="1" fontId="13" fillId="0" borderId="11" xfId="0" applyNumberFormat="1" applyFont="1" applyBorder="1"/>
    <xf numFmtId="0" fontId="25" fillId="7" borderId="13" xfId="0" applyFont="1" applyFill="1" applyBorder="1"/>
    <xf numFmtId="1" fontId="25" fillId="5" borderId="14" xfId="0" applyNumberFormat="1" applyFont="1" applyFill="1" applyBorder="1"/>
    <xf numFmtId="1" fontId="25" fillId="6" borderId="14" xfId="0" applyNumberFormat="1" applyFont="1" applyFill="1" applyBorder="1"/>
    <xf numFmtId="1" fontId="25" fillId="6" borderId="15" xfId="0" applyNumberFormat="1" applyFont="1" applyFill="1" applyBorder="1"/>
    <xf numFmtId="0" fontId="25" fillId="7" borderId="18" xfId="4" applyFont="1" applyFill="1" applyBorder="1" applyAlignment="1">
      <alignment horizontal="center" vertical="center" wrapText="1"/>
    </xf>
    <xf numFmtId="0" fontId="25" fillId="7" borderId="19" xfId="4" applyFont="1" applyFill="1" applyBorder="1" applyAlignment="1">
      <alignment horizontal="center" vertical="center" wrapText="1"/>
    </xf>
    <xf numFmtId="0" fontId="25" fillId="5" borderId="19" xfId="74" applyFont="1" applyFill="1" applyBorder="1" applyAlignment="1">
      <alignment horizontal="center" vertical="center" wrapText="1"/>
    </xf>
    <xf numFmtId="0" fontId="25" fillId="6" borderId="19" xfId="74" applyFont="1" applyFill="1" applyBorder="1" applyAlignment="1">
      <alignment horizontal="center" vertical="center" wrapText="1"/>
    </xf>
    <xf numFmtId="0" fontId="25" fillId="6" borderId="22" xfId="74" applyFont="1" applyFill="1" applyBorder="1" applyAlignment="1">
      <alignment horizontal="center" vertical="center" wrapText="1"/>
    </xf>
    <xf numFmtId="2" fontId="13" fillId="0" borderId="11" xfId="0" applyNumberFormat="1" applyFont="1" applyBorder="1"/>
    <xf numFmtId="0" fontId="13" fillId="0" borderId="13" xfId="0" applyFont="1" applyBorder="1"/>
    <xf numFmtId="14" fontId="13" fillId="0" borderId="14" xfId="0" applyNumberFormat="1" applyFont="1" applyBorder="1"/>
    <xf numFmtId="0" fontId="13" fillId="0" borderId="14" xfId="0" applyFont="1" applyBorder="1"/>
    <xf numFmtId="166" fontId="13" fillId="0" borderId="14" xfId="72" applyNumberFormat="1" applyFont="1" applyBorder="1" applyAlignment="1">
      <alignment horizontal="center" vertical="top" wrapText="1"/>
    </xf>
    <xf numFmtId="2" fontId="13" fillId="0" borderId="14" xfId="0" applyNumberFormat="1" applyFont="1" applyBorder="1"/>
    <xf numFmtId="2" fontId="13" fillId="0" borderId="15" xfId="0" applyNumberFormat="1" applyFont="1" applyBorder="1"/>
    <xf numFmtId="0" fontId="23" fillId="5" borderId="1" xfId="74" applyFont="1" applyFill="1" applyBorder="1" applyAlignment="1">
      <alignment horizontal="center" vertical="center" wrapText="1"/>
    </xf>
    <xf numFmtId="0" fontId="23" fillId="6" borderId="1" xfId="74" applyFont="1" applyFill="1" applyBorder="1" applyAlignment="1">
      <alignment horizontal="center" vertical="center" wrapText="1"/>
    </xf>
    <xf numFmtId="0" fontId="25" fillId="7" borderId="18" xfId="0" applyFont="1" applyFill="1" applyBorder="1" applyAlignment="1">
      <alignment horizontal="center" vertical="center"/>
    </xf>
    <xf numFmtId="0" fontId="13" fillId="0" borderId="0" xfId="0" applyFont="1" applyAlignment="1"/>
    <xf numFmtId="9" fontId="43" fillId="0" borderId="1" xfId="0" applyNumberFormat="1" applyFont="1" applyBorder="1" applyAlignment="1">
      <alignment horizontal="center" vertical="center" wrapText="1"/>
    </xf>
    <xf numFmtId="9" fontId="43" fillId="0" borderId="11" xfId="0" applyNumberFormat="1" applyFont="1" applyBorder="1" applyAlignment="1">
      <alignment horizontal="center" vertical="center" wrapText="1"/>
    </xf>
    <xf numFmtId="9" fontId="43" fillId="0" borderId="5" xfId="0" applyNumberFormat="1" applyFont="1" applyBorder="1" applyAlignment="1">
      <alignment horizontal="center" vertical="center" wrapText="1"/>
    </xf>
    <xf numFmtId="9" fontId="43" fillId="0" borderId="38" xfId="0" applyNumberFormat="1" applyFont="1" applyBorder="1" applyAlignment="1">
      <alignment horizontal="center" vertical="center" wrapText="1"/>
    </xf>
    <xf numFmtId="2" fontId="43" fillId="0" borderId="37" xfId="0" applyNumberFormat="1" applyFont="1" applyBorder="1" applyAlignment="1">
      <alignment horizontal="center" vertical="center" wrapText="1"/>
    </xf>
    <xf numFmtId="0" fontId="24" fillId="7" borderId="18" xfId="4" applyFont="1" applyFill="1" applyBorder="1" applyAlignment="1">
      <alignment horizontal="center" vertical="center" wrapText="1"/>
    </xf>
    <xf numFmtId="0" fontId="24" fillId="7" borderId="19" xfId="4" applyFont="1" applyFill="1" applyBorder="1" applyAlignment="1">
      <alignment horizontal="center" vertical="center" wrapText="1"/>
    </xf>
    <xf numFmtId="0" fontId="24" fillId="7" borderId="22" xfId="4" applyFont="1" applyFill="1" applyBorder="1" applyAlignment="1">
      <alignment horizontal="center" vertical="center" wrapText="1"/>
    </xf>
    <xf numFmtId="0" fontId="38" fillId="0" borderId="10" xfId="4" applyFont="1" applyBorder="1" applyAlignment="1">
      <alignment horizontal="center" vertical="center" wrapText="1"/>
    </xf>
    <xf numFmtId="0" fontId="37" fillId="0" borderId="11" xfId="4" applyFont="1" applyBorder="1" applyAlignment="1">
      <alignment horizontal="center" vertical="center" wrapText="1"/>
    </xf>
    <xf numFmtId="2" fontId="37" fillId="0" borderId="13" xfId="4" applyNumberFormat="1" applyFont="1" applyBorder="1" applyAlignment="1">
      <alignment horizontal="center" vertical="center" wrapText="1"/>
    </xf>
    <xf numFmtId="2" fontId="37" fillId="0" borderId="14" xfId="4" applyNumberFormat="1" applyFont="1" applyBorder="1" applyAlignment="1">
      <alignment horizontal="center" vertical="center" wrapText="1"/>
    </xf>
    <xf numFmtId="0" fontId="37" fillId="0" borderId="14" xfId="4" applyFont="1" applyBorder="1" applyAlignment="1">
      <alignment horizontal="center" vertical="center" wrapText="1"/>
    </xf>
    <xf numFmtId="0" fontId="37" fillId="0" borderId="15" xfId="4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/>
    </xf>
    <xf numFmtId="0" fontId="6" fillId="0" borderId="0" xfId="80" applyFont="1" applyAlignment="1">
      <alignment vertical="center" wrapText="1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center" vertical="center" wrapText="1"/>
    </xf>
    <xf numFmtId="1" fontId="10" fillId="0" borderId="0" xfId="80" applyNumberFormat="1" applyFont="1" applyAlignment="1">
      <alignment horizontal="center" vertical="center" wrapText="1"/>
    </xf>
    <xf numFmtId="0" fontId="13" fillId="0" borderId="0" xfId="80" applyFont="1" applyAlignment="1">
      <alignment vertical="center"/>
    </xf>
    <xf numFmtId="169" fontId="13" fillId="0" borderId="0" xfId="80" applyNumberFormat="1" applyFont="1" applyAlignment="1">
      <alignment vertical="center"/>
    </xf>
    <xf numFmtId="0" fontId="13" fillId="0" borderId="0" xfId="80" applyFont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1" fontId="6" fillId="0" borderId="1" xfId="80" applyNumberFormat="1" applyFont="1" applyBorder="1" applyAlignment="1">
      <alignment horizontal="center" vertical="center" wrapText="1"/>
    </xf>
    <xf numFmtId="1" fontId="10" fillId="11" borderId="1" xfId="80" applyNumberFormat="1" applyFont="1" applyFill="1" applyBorder="1" applyAlignment="1">
      <alignment horizontal="center" vertical="center" wrapText="1"/>
    </xf>
    <xf numFmtId="0" fontId="10" fillId="11" borderId="1" xfId="80" applyFont="1" applyFill="1" applyBorder="1" applyAlignment="1">
      <alignment horizontal="center" vertical="top" wrapText="1"/>
    </xf>
    <xf numFmtId="0" fontId="6" fillId="0" borderId="1" xfId="80" applyFont="1" applyFill="1" applyBorder="1" applyAlignment="1">
      <alignment horizontal="center" vertical="center" wrapText="1"/>
    </xf>
    <xf numFmtId="0" fontId="6" fillId="0" borderId="1" xfId="80" applyFont="1" applyBorder="1" applyAlignment="1">
      <alignment horizontal="center" vertical="center" wrapText="1"/>
    </xf>
    <xf numFmtId="1" fontId="6" fillId="0" borderId="1" xfId="80" applyNumberFormat="1" applyFont="1" applyFill="1" applyBorder="1" applyAlignment="1">
      <alignment horizontal="center" vertical="center" wrapText="1"/>
    </xf>
    <xf numFmtId="1" fontId="10" fillId="0" borderId="1" xfId="80" applyNumberFormat="1" applyFont="1" applyFill="1" applyBorder="1" applyAlignment="1">
      <alignment horizontal="center" vertical="center" wrapText="1"/>
    </xf>
    <xf numFmtId="0" fontId="10" fillId="7" borderId="1" xfId="80" applyFont="1" applyFill="1" applyBorder="1" applyAlignment="1">
      <alignment horizontal="center" vertical="center" wrapText="1"/>
    </xf>
    <xf numFmtId="0" fontId="10" fillId="7" borderId="1" xfId="80" applyFont="1" applyFill="1" applyBorder="1" applyAlignment="1">
      <alignment horizontal="center" vertical="center"/>
    </xf>
    <xf numFmtId="0" fontId="2" fillId="0" borderId="0" xfId="80" applyFont="1"/>
    <xf numFmtId="0" fontId="6" fillId="0" borderId="0" xfId="0" applyFont="1"/>
    <xf numFmtId="0" fontId="2" fillId="0" borderId="0" xfId="80" applyFont="1" applyAlignment="1">
      <alignment horizontal="center"/>
    </xf>
    <xf numFmtId="1" fontId="6" fillId="0" borderId="0" xfId="0" applyNumberFormat="1" applyFont="1"/>
    <xf numFmtId="1" fontId="13" fillId="0" borderId="0" xfId="0" applyNumberFormat="1" applyFont="1"/>
    <xf numFmtId="43" fontId="6" fillId="0" borderId="0" xfId="81" applyFont="1" applyAlignment="1">
      <alignment vertical="center"/>
    </xf>
    <xf numFmtId="43" fontId="6" fillId="0" borderId="0" xfId="81" applyFont="1" applyAlignment="1">
      <alignment vertical="center" wrapText="1"/>
    </xf>
    <xf numFmtId="43" fontId="10" fillId="0" borderId="0" xfId="81" applyFont="1" applyAlignment="1">
      <alignment vertical="center" wrapText="1"/>
    </xf>
    <xf numFmtId="43" fontId="10" fillId="7" borderId="1" xfId="81" applyFont="1" applyFill="1" applyBorder="1" applyAlignment="1">
      <alignment wrapText="1"/>
    </xf>
    <xf numFmtId="43" fontId="13" fillId="0" borderId="0" xfId="81" applyFont="1" applyAlignment="1">
      <alignment vertical="center"/>
    </xf>
    <xf numFmtId="43" fontId="2" fillId="0" borderId="0" xfId="81" applyFont="1" applyAlignment="1"/>
    <xf numFmtId="1" fontId="6" fillId="0" borderId="1" xfId="80" applyNumberFormat="1" applyFont="1" applyFill="1" applyBorder="1" applyAlignment="1">
      <alignment horizontal="center" vertical="center"/>
    </xf>
    <xf numFmtId="43" fontId="6" fillId="0" borderId="0" xfId="81" applyFont="1"/>
    <xf numFmtId="43" fontId="2" fillId="0" borderId="0" xfId="81" applyFont="1"/>
    <xf numFmtId="172" fontId="2" fillId="0" borderId="0" xfId="81" applyNumberFormat="1" applyFont="1"/>
    <xf numFmtId="172" fontId="6" fillId="0" borderId="0" xfId="81" applyNumberFormat="1" applyFont="1"/>
    <xf numFmtId="0" fontId="1" fillId="0" borderId="1" xfId="72" applyFont="1" applyFill="1" applyBorder="1" applyAlignment="1">
      <alignment horizontal="center" vertical="top" wrapText="1"/>
    </xf>
    <xf numFmtId="169" fontId="1" fillId="0" borderId="1" xfId="1" applyNumberFormat="1" applyFont="1" applyFill="1" applyBorder="1" applyAlignment="1">
      <alignment horizontal="center" vertical="center"/>
    </xf>
    <xf numFmtId="0" fontId="1" fillId="0" borderId="0" xfId="74" applyFont="1" applyFill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166" fontId="1" fillId="0" borderId="1" xfId="76" applyNumberFormat="1" applyFont="1" applyFill="1" applyBorder="1" applyAlignment="1">
      <alignment horizontal="center" vertical="center"/>
    </xf>
    <xf numFmtId="14" fontId="1" fillId="0" borderId="1" xfId="76" applyNumberFormat="1" applyFont="1" applyFill="1" applyBorder="1" applyAlignment="1">
      <alignment horizontal="center" vertical="center"/>
    </xf>
    <xf numFmtId="15" fontId="1" fillId="0" borderId="1" xfId="76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/>
    </xf>
    <xf numFmtId="0" fontId="1" fillId="0" borderId="0" xfId="0" applyFont="1" applyFill="1"/>
    <xf numFmtId="167" fontId="1" fillId="0" borderId="1" xfId="76" applyNumberFormat="1" applyFont="1" applyFill="1" applyBorder="1" applyAlignment="1">
      <alignment horizontal="center" vertical="center"/>
    </xf>
    <xf numFmtId="15" fontId="20" fillId="0" borderId="1" xfId="7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76" applyFont="1" applyFill="1" applyBorder="1" applyAlignment="1">
      <alignment horizontal="center" vertical="center"/>
    </xf>
    <xf numFmtId="0" fontId="1" fillId="0" borderId="3" xfId="76" applyFont="1" applyFill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  <protection locked="0"/>
    </xf>
    <xf numFmtId="14" fontId="13" fillId="0" borderId="0" xfId="0" applyNumberFormat="1" applyFont="1"/>
    <xf numFmtId="1" fontId="10" fillId="11" borderId="1" xfId="80" applyNumberFormat="1" applyFont="1" applyFill="1" applyBorder="1" applyAlignment="1">
      <alignment horizontal="center" vertical="center"/>
    </xf>
    <xf numFmtId="0" fontId="40" fillId="0" borderId="2" xfId="78" applyFont="1" applyBorder="1" applyAlignment="1">
      <alignment horizontal="center"/>
    </xf>
    <xf numFmtId="0" fontId="40" fillId="0" borderId="3" xfId="78" applyFont="1" applyBorder="1" applyAlignment="1">
      <alignment horizontal="center"/>
    </xf>
    <xf numFmtId="0" fontId="25" fillId="7" borderId="18" xfId="4" applyFont="1" applyFill="1" applyBorder="1" applyAlignment="1">
      <alignment horizontal="center" vertical="center" wrapText="1"/>
    </xf>
    <xf numFmtId="0" fontId="25" fillId="7" borderId="10" xfId="4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/>
    </xf>
    <xf numFmtId="0" fontId="25" fillId="7" borderId="29" xfId="4" applyFont="1" applyFill="1" applyBorder="1" applyAlignment="1">
      <alignment horizontal="center" vertical="center" wrapText="1"/>
    </xf>
    <xf numFmtId="0" fontId="25" fillId="7" borderId="21" xfId="4" applyFont="1" applyFill="1" applyBorder="1" applyAlignment="1">
      <alignment horizontal="center" vertical="center" wrapText="1"/>
    </xf>
    <xf numFmtId="0" fontId="25" fillId="7" borderId="28" xfId="4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5" borderId="20" xfId="74" applyFont="1" applyFill="1" applyBorder="1" applyAlignment="1">
      <alignment horizontal="center" vertical="center" wrapText="1"/>
    </xf>
    <xf numFmtId="0" fontId="25" fillId="5" borderId="21" xfId="74" applyFont="1" applyFill="1" applyBorder="1" applyAlignment="1">
      <alignment horizontal="center" vertical="center" wrapText="1"/>
    </xf>
    <xf numFmtId="0" fontId="25" fillId="5" borderId="36" xfId="74" applyFont="1" applyFill="1" applyBorder="1" applyAlignment="1">
      <alignment horizontal="center" vertical="center" wrapText="1"/>
    </xf>
    <xf numFmtId="0" fontId="25" fillId="6" borderId="20" xfId="74" applyFont="1" applyFill="1" applyBorder="1" applyAlignment="1">
      <alignment horizontal="center" vertical="center" wrapText="1"/>
    </xf>
    <xf numFmtId="0" fontId="25" fillId="6" borderId="21" xfId="74" applyFont="1" applyFill="1" applyBorder="1" applyAlignment="1">
      <alignment horizontal="center" vertical="center" wrapText="1"/>
    </xf>
    <xf numFmtId="0" fontId="25" fillId="6" borderId="28" xfId="74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center" vertical="center"/>
    </xf>
    <xf numFmtId="0" fontId="25" fillId="7" borderId="21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0" fontId="25" fillId="7" borderId="2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 vertical="center"/>
    </xf>
    <xf numFmtId="0" fontId="34" fillId="4" borderId="33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25" fillId="6" borderId="25" xfId="0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23" fillId="5" borderId="1" xfId="74" applyFont="1" applyFill="1" applyBorder="1" applyAlignment="1">
      <alignment horizontal="center" vertical="center" wrapText="1"/>
    </xf>
    <xf numFmtId="0" fontId="23" fillId="5" borderId="4" xfId="74" applyFont="1" applyFill="1" applyBorder="1" applyAlignment="1">
      <alignment horizontal="center" vertical="center" wrapText="1"/>
    </xf>
    <xf numFmtId="0" fontId="23" fillId="5" borderId="5" xfId="74" applyFont="1" applyFill="1" applyBorder="1" applyAlignment="1">
      <alignment horizontal="center" vertical="center" wrapText="1"/>
    </xf>
    <xf numFmtId="0" fontId="23" fillId="7" borderId="4" xfId="74" applyFont="1" applyFill="1" applyBorder="1" applyAlignment="1">
      <alignment horizontal="center" vertical="center" wrapText="1"/>
    </xf>
    <xf numFmtId="0" fontId="23" fillId="7" borderId="5" xfId="74" applyFont="1" applyFill="1" applyBorder="1" applyAlignment="1">
      <alignment horizontal="center" vertical="center" wrapText="1"/>
    </xf>
    <xf numFmtId="0" fontId="23" fillId="5" borderId="16" xfId="74" applyFont="1" applyFill="1" applyBorder="1" applyAlignment="1">
      <alignment horizontal="center" vertical="center" wrapText="1"/>
    </xf>
    <xf numFmtId="0" fontId="23" fillId="5" borderId="12" xfId="74" applyFont="1" applyFill="1" applyBorder="1" applyAlignment="1">
      <alignment horizontal="center" vertical="center" wrapText="1"/>
    </xf>
    <xf numFmtId="0" fontId="23" fillId="6" borderId="16" xfId="74" applyFont="1" applyFill="1" applyBorder="1" applyAlignment="1">
      <alignment horizontal="center" vertical="center" wrapText="1"/>
    </xf>
    <xf numFmtId="0" fontId="23" fillId="6" borderId="12" xfId="74" applyFont="1" applyFill="1" applyBorder="1" applyAlignment="1">
      <alignment horizontal="center" vertical="center" wrapText="1"/>
    </xf>
    <xf numFmtId="0" fontId="23" fillId="6" borderId="4" xfId="74" applyFont="1" applyFill="1" applyBorder="1" applyAlignment="1">
      <alignment horizontal="center" vertical="center" wrapText="1"/>
    </xf>
    <xf numFmtId="0" fontId="23" fillId="6" borderId="5" xfId="74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7" borderId="2" xfId="80" applyFont="1" applyFill="1" applyBorder="1" applyAlignment="1">
      <alignment horizontal="center" vertical="center" wrapText="1"/>
    </xf>
    <xf numFmtId="0" fontId="10" fillId="7" borderId="39" xfId="80" applyFont="1" applyFill="1" applyBorder="1" applyAlignment="1">
      <alignment horizontal="center" vertical="center" wrapText="1"/>
    </xf>
    <xf numFmtId="0" fontId="10" fillId="7" borderId="3" xfId="80" applyFont="1" applyFill="1" applyBorder="1" applyAlignment="1">
      <alignment horizontal="center" vertical="center" wrapText="1"/>
    </xf>
    <xf numFmtId="0" fontId="10" fillId="7" borderId="4" xfId="80" applyFont="1" applyFill="1" applyBorder="1" applyAlignment="1">
      <alignment horizontal="center" vertical="center" wrapText="1"/>
    </xf>
    <xf numFmtId="0" fontId="10" fillId="7" borderId="5" xfId="80" applyFont="1" applyFill="1" applyBorder="1" applyAlignment="1">
      <alignment horizontal="center" vertical="center" wrapText="1"/>
    </xf>
    <xf numFmtId="0" fontId="10" fillId="7" borderId="1" xfId="80" applyFont="1" applyFill="1" applyBorder="1" applyAlignment="1">
      <alignment horizontal="center" vertical="center" wrapText="1"/>
    </xf>
    <xf numFmtId="43" fontId="10" fillId="7" borderId="1" xfId="81" applyFont="1" applyFill="1" applyBorder="1" applyAlignment="1">
      <alignment vertical="center" wrapText="1"/>
    </xf>
  </cellXfs>
  <cellStyles count="82">
    <cellStyle name="Comma" xfId="81" builtinId="3"/>
    <cellStyle name="Comma 2" xfId="5" xr:uid="{00000000-0005-0000-0000-000000000000}"/>
    <cellStyle name="Comma 2 2" xfId="73" xr:uid="{08792F6F-F868-446C-A699-6B69A87BA136}"/>
    <cellStyle name="Currency 3" xfId="11" xr:uid="{00000000-0005-0000-0000-000001000000}"/>
    <cellStyle name="Currency 3 2" xfId="75" xr:uid="{F92ACBAE-7A63-4A85-8AD5-7108178815B0}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 2" xfId="6" xr:uid="{00000000-0005-0000-0000-000038000000}"/>
    <cellStyle name="Hyperlink 3" xfId="79" xr:uid="{D249D22E-EFD0-1F4B-B8FB-0ABA26DC09A2}"/>
    <cellStyle name="Normal" xfId="0" builtinId="0"/>
    <cellStyle name="Normal 10 2" xfId="7" xr:uid="{00000000-0005-0000-0000-00003A000000}"/>
    <cellStyle name="Normal 2" xfId="4" xr:uid="{00000000-0005-0000-0000-00003B000000}"/>
    <cellStyle name="Normal 2 2" xfId="8" xr:uid="{00000000-0005-0000-0000-00003C000000}"/>
    <cellStyle name="Normal 2 3" xfId="69" xr:uid="{00000000-0005-0000-0000-00003D000000}"/>
    <cellStyle name="Normal 2 4" xfId="74" xr:uid="{6045365C-2A87-4F83-81A2-E3853C515CFB}"/>
    <cellStyle name="Normal 2 5" xfId="77" xr:uid="{DF71FD55-A643-4984-9A1C-B32AD0E3DB28}"/>
    <cellStyle name="Normal 2 6" xfId="80" xr:uid="{B452E784-4A8E-1B49-81F5-EF6865030FEC}"/>
    <cellStyle name="Normal 3" xfId="9" xr:uid="{00000000-0005-0000-0000-00003E000000}"/>
    <cellStyle name="Normal 3 2" xfId="2" xr:uid="{00000000-0005-0000-0000-00003F000000}"/>
    <cellStyle name="Normal 4" xfId="72" xr:uid="{B439C130-B08B-4ADD-9333-E99395BA1AD2}"/>
    <cellStyle name="Normal 5" xfId="76" xr:uid="{FFFB14A0-FDE5-4B2C-A3F6-B1979AC413CD}"/>
    <cellStyle name="Normal 6" xfId="78" xr:uid="{7C6CDD74-CF9F-8449-9418-90DFE477CC86}"/>
    <cellStyle name="Normal_Bondhu chula instalation list-1(Mymensing division)" xfId="36" xr:uid="{00000000-0005-0000-0000-000040000000}"/>
    <cellStyle name="Note 2" xfId="35" xr:uid="{00000000-0005-0000-0000-000045000000}"/>
    <cellStyle name="Output 2" xfId="34" xr:uid="{00000000-0005-0000-0000-000046000000}"/>
    <cellStyle name="Percent" xfId="1" builtinId="5"/>
    <cellStyle name="Percent 2" xfId="3" xr:uid="{00000000-0005-0000-0000-000048000000}"/>
    <cellStyle name="Percent 2 2" xfId="71" xr:uid="{B1DC9612-AF9E-41D9-8A1E-26704A23070E}"/>
    <cellStyle name="Percent 3" xfId="10" xr:uid="{00000000-0005-0000-0000-000049000000}"/>
    <cellStyle name="Percent 3 2" xfId="70" xr:uid="{00000000-0005-0000-0000-00004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C:/C:/Documents%20and%20Settings/Matt%20Evans/My%20Documents/My%20Dropbox/All%20Projects/Paradigm%20Kenya/Modeling/Updated%20Project%20P%20and%20L.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C:/C:/Volumes/Local%20Disc%20(D)/Climate%20Secure/Honduras/MRV/Airheads-togvda/ceihd/Projects/Project%20Templates/Carbon%20Documentation/China%20Program/Carbon%20Program/Offset%20projections/Aggregate%20China%20Projec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C:/C:/Volumes/Local%20Disc%20(D)/Climate%20Secure/Ghana/2nd%20verification/C:/Users/dinesh.naidu/AppData/Local/Microsoft/Windows/INetCache/Content.Outlook/D0AXV9IC/efficiency%20calculator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C:/C:/C:/C:/C:/Volumes/Local%20Disc%20(D)/Climate%20Secure/Ghana/2nd%20verification/C:/radhika/Projects/Bangladesh%20Poa/Validation%20with%20new%20meth/Docs%20sent%20to%20TUV%20SUD_25042011/Revised%20docs/ICS_Bangladesh%20CER%20%20Calcs_RT_21042011.xls?5D7802B2" TargetMode="External"/><Relationship Id="rId1" Type="http://schemas.openxmlformats.org/officeDocument/2006/relationships/externalLinkPath" Target="file:///\\5D7802B2\ICS_Bangladesh%20CER%20%20Calcs_RT_2104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y6/4lpkgs517xz7gtr1kgnk5c0h0000gn/T/com.microsoft.Outlook/Outlook%20Temp/Monitoring%20Data%20Summary%20Resul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C:/C:/C:/C:/C:/C:/C:/D:/C:/Documents%20and%20Settings/Matt%20Evans/My%20Documents/My%20Dropbox/All%20Projects/Paradigm%20Kenya/Modeling/Updated%20Project%20P%20and%20L.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fic valu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-bundling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ing data summar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troduction"/>
      <sheetName val="CPA0005 Dist Record"/>
    </sheetNames>
    <sheetDataSet>
      <sheetData sheetId="0" refreshError="1">
        <row r="3">
          <cell r="C3" t="str">
            <v>CHARCOAL</v>
          </cell>
        </row>
        <row r="4">
          <cell r="C4" t="str">
            <v>WOOD</v>
          </cell>
        </row>
      </sheetData>
      <sheetData sheetId="1"/>
      <sheetData sheetId="2">
        <row r="3">
          <cell r="C3" t="str">
            <v>CHARCOAL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HH Carbon Calculator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hit Lohia" id="{75C0B75E-234E-634E-AD6C-A55D3FFD4EBA}" userId="S::rohit.lohia@climate-secure.com::183d03e8-79cb-4362-b0d9-87f849693c1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2-05-25T14:48:01.88" personId="{75C0B75E-234E-634E-AD6C-A55D3FFD4EBA}" id="{66153BB3-3F60-0043-8077-B32F796E4519}">
    <text>Although the monitoring period for VPAs 01-06 mentioned above is 22/02/2016 - 28/02/2018, the effective monitoring period start date being considered is 01/03/2016. This has been conservatively applied in accordance with the Para 4.3.1 of the COVID 19: INTERIM MEASURE v5, (21.12.2021) to limit the length of the monitoring period, being assessed remotely, to two years (from 01/03/2016 to 28/02/2018). Thus, VPAs 01-06 are claiming zero ERs for the period 22/02/2016 – 29/02/2016.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hit.lohia@climate-secur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1224-4C3B-B042-88BF-0036361E985A}">
  <sheetPr codeName="Sheet1"/>
  <dimension ref="A1:B12"/>
  <sheetViews>
    <sheetView zoomScale="110" zoomScaleNormal="110" workbookViewId="0">
      <selection activeCell="B25" sqref="B25"/>
    </sheetView>
  </sheetViews>
  <sheetFormatPr defaultColWidth="8.83203125" defaultRowHeight="14.5"/>
  <cols>
    <col min="1" max="1" width="42" style="74" customWidth="1"/>
    <col min="2" max="2" width="93.5" style="74" customWidth="1"/>
    <col min="3" max="16384" width="8.83203125" style="74"/>
  </cols>
  <sheetData>
    <row r="1" spans="1:2" ht="22.5" customHeight="1">
      <c r="A1" s="80" t="s">
        <v>1479</v>
      </c>
      <c r="B1" s="73" t="s">
        <v>1493</v>
      </c>
    </row>
    <row r="2" spans="1:2">
      <c r="A2" s="80" t="s">
        <v>1495</v>
      </c>
      <c r="B2" s="75" t="s">
        <v>1494</v>
      </c>
    </row>
    <row r="3" spans="1:2">
      <c r="A3" s="80" t="s">
        <v>1496</v>
      </c>
      <c r="B3" s="73" t="s">
        <v>1497</v>
      </c>
    </row>
    <row r="4" spans="1:2">
      <c r="A4" s="80" t="s">
        <v>1480</v>
      </c>
      <c r="B4" s="73" t="s">
        <v>1481</v>
      </c>
    </row>
    <row r="5" spans="1:2">
      <c r="A5" s="80" t="s">
        <v>20</v>
      </c>
      <c r="B5" s="75" t="s">
        <v>1482</v>
      </c>
    </row>
    <row r="6" spans="1:2">
      <c r="A6" s="80" t="s">
        <v>1483</v>
      </c>
      <c r="B6" s="76" t="s">
        <v>1498</v>
      </c>
    </row>
    <row r="7" spans="1:2">
      <c r="A7" s="80" t="s">
        <v>1484</v>
      </c>
      <c r="B7" s="77">
        <v>4</v>
      </c>
    </row>
    <row r="8" spans="1:2">
      <c r="A8" s="80" t="s">
        <v>1485</v>
      </c>
      <c r="B8" s="78">
        <v>44830</v>
      </c>
    </row>
    <row r="9" spans="1:2">
      <c r="A9" s="220" t="s">
        <v>1486</v>
      </c>
      <c r="B9" s="221"/>
    </row>
    <row r="10" spans="1:2">
      <c r="A10" s="80" t="s">
        <v>1487</v>
      </c>
      <c r="B10" s="75" t="s">
        <v>1488</v>
      </c>
    </row>
    <row r="11" spans="1:2">
      <c r="A11" s="80" t="s">
        <v>1489</v>
      </c>
      <c r="B11" s="75" t="s">
        <v>1490</v>
      </c>
    </row>
    <row r="12" spans="1:2">
      <c r="A12" s="80" t="s">
        <v>1491</v>
      </c>
      <c r="B12" s="79" t="s">
        <v>1492</v>
      </c>
    </row>
  </sheetData>
  <mergeCells count="1">
    <mergeCell ref="A9:B9"/>
  </mergeCells>
  <hyperlinks>
    <hyperlink ref="B12" r:id="rId1" xr:uid="{8D04D5EE-CF6F-4544-9D15-524A7B6BECA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10"/>
  <sheetViews>
    <sheetView tabSelected="1" zoomScale="85" zoomScaleNormal="85" workbookViewId="0">
      <selection activeCell="B18" sqref="B18"/>
    </sheetView>
  </sheetViews>
  <sheetFormatPr defaultColWidth="8.6640625" defaultRowHeight="14"/>
  <cols>
    <col min="1" max="1" width="26.33203125" style="54" bestFit="1" customWidth="1"/>
    <col min="2" max="2" width="63.1640625" style="54" customWidth="1"/>
    <col min="3" max="3" width="17" style="54" customWidth="1"/>
    <col min="4" max="4" width="16.5" style="54" customWidth="1"/>
    <col min="5" max="5" width="43.6640625" style="54" customWidth="1"/>
    <col min="6" max="256" width="8.6640625" style="54"/>
    <col min="257" max="257" width="36.5" style="54" customWidth="1"/>
    <col min="258" max="258" width="76" style="54" customWidth="1"/>
    <col min="259" max="259" width="17" style="54" customWidth="1"/>
    <col min="260" max="260" width="16.5" style="54" customWidth="1"/>
    <col min="261" max="261" width="43.6640625" style="54" customWidth="1"/>
    <col min="262" max="512" width="8.6640625" style="54"/>
    <col min="513" max="513" width="36.5" style="54" customWidth="1"/>
    <col min="514" max="514" width="76" style="54" customWidth="1"/>
    <col min="515" max="515" width="17" style="54" customWidth="1"/>
    <col min="516" max="516" width="16.5" style="54" customWidth="1"/>
    <col min="517" max="517" width="43.6640625" style="54" customWidth="1"/>
    <col min="518" max="768" width="8.6640625" style="54"/>
    <col min="769" max="769" width="36.5" style="54" customWidth="1"/>
    <col min="770" max="770" width="76" style="54" customWidth="1"/>
    <col min="771" max="771" width="17" style="54" customWidth="1"/>
    <col min="772" max="772" width="16.5" style="54" customWidth="1"/>
    <col min="773" max="773" width="43.6640625" style="54" customWidth="1"/>
    <col min="774" max="1024" width="8.6640625" style="54"/>
    <col min="1025" max="1025" width="36.5" style="54" customWidth="1"/>
    <col min="1026" max="1026" width="76" style="54" customWidth="1"/>
    <col min="1027" max="1027" width="17" style="54" customWidth="1"/>
    <col min="1028" max="1028" width="16.5" style="54" customWidth="1"/>
    <col min="1029" max="1029" width="43.6640625" style="54" customWidth="1"/>
    <col min="1030" max="1280" width="8.6640625" style="54"/>
    <col min="1281" max="1281" width="36.5" style="54" customWidth="1"/>
    <col min="1282" max="1282" width="76" style="54" customWidth="1"/>
    <col min="1283" max="1283" width="17" style="54" customWidth="1"/>
    <col min="1284" max="1284" width="16.5" style="54" customWidth="1"/>
    <col min="1285" max="1285" width="43.6640625" style="54" customWidth="1"/>
    <col min="1286" max="1536" width="8.6640625" style="54"/>
    <col min="1537" max="1537" width="36.5" style="54" customWidth="1"/>
    <col min="1538" max="1538" width="76" style="54" customWidth="1"/>
    <col min="1539" max="1539" width="17" style="54" customWidth="1"/>
    <col min="1540" max="1540" width="16.5" style="54" customWidth="1"/>
    <col min="1541" max="1541" width="43.6640625" style="54" customWidth="1"/>
    <col min="1542" max="1792" width="8.6640625" style="54"/>
    <col min="1793" max="1793" width="36.5" style="54" customWidth="1"/>
    <col min="1794" max="1794" width="76" style="54" customWidth="1"/>
    <col min="1795" max="1795" width="17" style="54" customWidth="1"/>
    <col min="1796" max="1796" width="16.5" style="54" customWidth="1"/>
    <col min="1797" max="1797" width="43.6640625" style="54" customWidth="1"/>
    <col min="1798" max="2048" width="8.6640625" style="54"/>
    <col min="2049" max="2049" width="36.5" style="54" customWidth="1"/>
    <col min="2050" max="2050" width="76" style="54" customWidth="1"/>
    <col min="2051" max="2051" width="17" style="54" customWidth="1"/>
    <col min="2052" max="2052" width="16.5" style="54" customWidth="1"/>
    <col min="2053" max="2053" width="43.6640625" style="54" customWidth="1"/>
    <col min="2054" max="2304" width="8.6640625" style="54"/>
    <col min="2305" max="2305" width="36.5" style="54" customWidth="1"/>
    <col min="2306" max="2306" width="76" style="54" customWidth="1"/>
    <col min="2307" max="2307" width="17" style="54" customWidth="1"/>
    <col min="2308" max="2308" width="16.5" style="54" customWidth="1"/>
    <col min="2309" max="2309" width="43.6640625" style="54" customWidth="1"/>
    <col min="2310" max="2560" width="8.6640625" style="54"/>
    <col min="2561" max="2561" width="36.5" style="54" customWidth="1"/>
    <col min="2562" max="2562" width="76" style="54" customWidth="1"/>
    <col min="2563" max="2563" width="17" style="54" customWidth="1"/>
    <col min="2564" max="2564" width="16.5" style="54" customWidth="1"/>
    <col min="2565" max="2565" width="43.6640625" style="54" customWidth="1"/>
    <col min="2566" max="2816" width="8.6640625" style="54"/>
    <col min="2817" max="2817" width="36.5" style="54" customWidth="1"/>
    <col min="2818" max="2818" width="76" style="54" customWidth="1"/>
    <col min="2819" max="2819" width="17" style="54" customWidth="1"/>
    <col min="2820" max="2820" width="16.5" style="54" customWidth="1"/>
    <col min="2821" max="2821" width="43.6640625" style="54" customWidth="1"/>
    <col min="2822" max="3072" width="8.6640625" style="54"/>
    <col min="3073" max="3073" width="36.5" style="54" customWidth="1"/>
    <col min="3074" max="3074" width="76" style="54" customWidth="1"/>
    <col min="3075" max="3075" width="17" style="54" customWidth="1"/>
    <col min="3076" max="3076" width="16.5" style="54" customWidth="1"/>
    <col min="3077" max="3077" width="43.6640625" style="54" customWidth="1"/>
    <col min="3078" max="3328" width="8.6640625" style="54"/>
    <col min="3329" max="3329" width="36.5" style="54" customWidth="1"/>
    <col min="3330" max="3330" width="76" style="54" customWidth="1"/>
    <col min="3331" max="3331" width="17" style="54" customWidth="1"/>
    <col min="3332" max="3332" width="16.5" style="54" customWidth="1"/>
    <col min="3333" max="3333" width="43.6640625" style="54" customWidth="1"/>
    <col min="3334" max="3584" width="8.6640625" style="54"/>
    <col min="3585" max="3585" width="36.5" style="54" customWidth="1"/>
    <col min="3586" max="3586" width="76" style="54" customWidth="1"/>
    <col min="3587" max="3587" width="17" style="54" customWidth="1"/>
    <col min="3588" max="3588" width="16.5" style="54" customWidth="1"/>
    <col min="3589" max="3589" width="43.6640625" style="54" customWidth="1"/>
    <col min="3590" max="3840" width="8.6640625" style="54"/>
    <col min="3841" max="3841" width="36.5" style="54" customWidth="1"/>
    <col min="3842" max="3842" width="76" style="54" customWidth="1"/>
    <col min="3843" max="3843" width="17" style="54" customWidth="1"/>
    <col min="3844" max="3844" width="16.5" style="54" customWidth="1"/>
    <col min="3845" max="3845" width="43.6640625" style="54" customWidth="1"/>
    <col min="3846" max="4096" width="8.6640625" style="54"/>
    <col min="4097" max="4097" width="36.5" style="54" customWidth="1"/>
    <col min="4098" max="4098" width="76" style="54" customWidth="1"/>
    <col min="4099" max="4099" width="17" style="54" customWidth="1"/>
    <col min="4100" max="4100" width="16.5" style="54" customWidth="1"/>
    <col min="4101" max="4101" width="43.6640625" style="54" customWidth="1"/>
    <col min="4102" max="4352" width="8.6640625" style="54"/>
    <col min="4353" max="4353" width="36.5" style="54" customWidth="1"/>
    <col min="4354" max="4354" width="76" style="54" customWidth="1"/>
    <col min="4355" max="4355" width="17" style="54" customWidth="1"/>
    <col min="4356" max="4356" width="16.5" style="54" customWidth="1"/>
    <col min="4357" max="4357" width="43.6640625" style="54" customWidth="1"/>
    <col min="4358" max="4608" width="8.6640625" style="54"/>
    <col min="4609" max="4609" width="36.5" style="54" customWidth="1"/>
    <col min="4610" max="4610" width="76" style="54" customWidth="1"/>
    <col min="4611" max="4611" width="17" style="54" customWidth="1"/>
    <col min="4612" max="4612" width="16.5" style="54" customWidth="1"/>
    <col min="4613" max="4613" width="43.6640625" style="54" customWidth="1"/>
    <col min="4614" max="4864" width="8.6640625" style="54"/>
    <col min="4865" max="4865" width="36.5" style="54" customWidth="1"/>
    <col min="4866" max="4866" width="76" style="54" customWidth="1"/>
    <col min="4867" max="4867" width="17" style="54" customWidth="1"/>
    <col min="4868" max="4868" width="16.5" style="54" customWidth="1"/>
    <col min="4869" max="4869" width="43.6640625" style="54" customWidth="1"/>
    <col min="4870" max="5120" width="8.6640625" style="54"/>
    <col min="5121" max="5121" width="36.5" style="54" customWidth="1"/>
    <col min="5122" max="5122" width="76" style="54" customWidth="1"/>
    <col min="5123" max="5123" width="17" style="54" customWidth="1"/>
    <col min="5124" max="5124" width="16.5" style="54" customWidth="1"/>
    <col min="5125" max="5125" width="43.6640625" style="54" customWidth="1"/>
    <col min="5126" max="5376" width="8.6640625" style="54"/>
    <col min="5377" max="5377" width="36.5" style="54" customWidth="1"/>
    <col min="5378" max="5378" width="76" style="54" customWidth="1"/>
    <col min="5379" max="5379" width="17" style="54" customWidth="1"/>
    <col min="5380" max="5380" width="16.5" style="54" customWidth="1"/>
    <col min="5381" max="5381" width="43.6640625" style="54" customWidth="1"/>
    <col min="5382" max="5632" width="8.6640625" style="54"/>
    <col min="5633" max="5633" width="36.5" style="54" customWidth="1"/>
    <col min="5634" max="5634" width="76" style="54" customWidth="1"/>
    <col min="5635" max="5635" width="17" style="54" customWidth="1"/>
    <col min="5636" max="5636" width="16.5" style="54" customWidth="1"/>
    <col min="5637" max="5637" width="43.6640625" style="54" customWidth="1"/>
    <col min="5638" max="5888" width="8.6640625" style="54"/>
    <col min="5889" max="5889" width="36.5" style="54" customWidth="1"/>
    <col min="5890" max="5890" width="76" style="54" customWidth="1"/>
    <col min="5891" max="5891" width="17" style="54" customWidth="1"/>
    <col min="5892" max="5892" width="16.5" style="54" customWidth="1"/>
    <col min="5893" max="5893" width="43.6640625" style="54" customWidth="1"/>
    <col min="5894" max="6144" width="8.6640625" style="54"/>
    <col min="6145" max="6145" width="36.5" style="54" customWidth="1"/>
    <col min="6146" max="6146" width="76" style="54" customWidth="1"/>
    <col min="6147" max="6147" width="17" style="54" customWidth="1"/>
    <col min="6148" max="6148" width="16.5" style="54" customWidth="1"/>
    <col min="6149" max="6149" width="43.6640625" style="54" customWidth="1"/>
    <col min="6150" max="6400" width="8.6640625" style="54"/>
    <col min="6401" max="6401" width="36.5" style="54" customWidth="1"/>
    <col min="6402" max="6402" width="76" style="54" customWidth="1"/>
    <col min="6403" max="6403" width="17" style="54" customWidth="1"/>
    <col min="6404" max="6404" width="16.5" style="54" customWidth="1"/>
    <col min="6405" max="6405" width="43.6640625" style="54" customWidth="1"/>
    <col min="6406" max="6656" width="8.6640625" style="54"/>
    <col min="6657" max="6657" width="36.5" style="54" customWidth="1"/>
    <col min="6658" max="6658" width="76" style="54" customWidth="1"/>
    <col min="6659" max="6659" width="17" style="54" customWidth="1"/>
    <col min="6660" max="6660" width="16.5" style="54" customWidth="1"/>
    <col min="6661" max="6661" width="43.6640625" style="54" customWidth="1"/>
    <col min="6662" max="6912" width="8.6640625" style="54"/>
    <col min="6913" max="6913" width="36.5" style="54" customWidth="1"/>
    <col min="6914" max="6914" width="76" style="54" customWidth="1"/>
    <col min="6915" max="6915" width="17" style="54" customWidth="1"/>
    <col min="6916" max="6916" width="16.5" style="54" customWidth="1"/>
    <col min="6917" max="6917" width="43.6640625" style="54" customWidth="1"/>
    <col min="6918" max="7168" width="8.6640625" style="54"/>
    <col min="7169" max="7169" width="36.5" style="54" customWidth="1"/>
    <col min="7170" max="7170" width="76" style="54" customWidth="1"/>
    <col min="7171" max="7171" width="17" style="54" customWidth="1"/>
    <col min="7172" max="7172" width="16.5" style="54" customWidth="1"/>
    <col min="7173" max="7173" width="43.6640625" style="54" customWidth="1"/>
    <col min="7174" max="7424" width="8.6640625" style="54"/>
    <col min="7425" max="7425" width="36.5" style="54" customWidth="1"/>
    <col min="7426" max="7426" width="76" style="54" customWidth="1"/>
    <col min="7427" max="7427" width="17" style="54" customWidth="1"/>
    <col min="7428" max="7428" width="16.5" style="54" customWidth="1"/>
    <col min="7429" max="7429" width="43.6640625" style="54" customWidth="1"/>
    <col min="7430" max="7680" width="8.6640625" style="54"/>
    <col min="7681" max="7681" width="36.5" style="54" customWidth="1"/>
    <col min="7682" max="7682" width="76" style="54" customWidth="1"/>
    <col min="7683" max="7683" width="17" style="54" customWidth="1"/>
    <col min="7684" max="7684" width="16.5" style="54" customWidth="1"/>
    <col min="7685" max="7685" width="43.6640625" style="54" customWidth="1"/>
    <col min="7686" max="7936" width="8.6640625" style="54"/>
    <col min="7937" max="7937" width="36.5" style="54" customWidth="1"/>
    <col min="7938" max="7938" width="76" style="54" customWidth="1"/>
    <col min="7939" max="7939" width="17" style="54" customWidth="1"/>
    <col min="7940" max="7940" width="16.5" style="54" customWidth="1"/>
    <col min="7941" max="7941" width="43.6640625" style="54" customWidth="1"/>
    <col min="7942" max="8192" width="8.6640625" style="54"/>
    <col min="8193" max="8193" width="36.5" style="54" customWidth="1"/>
    <col min="8194" max="8194" width="76" style="54" customWidth="1"/>
    <col min="8195" max="8195" width="17" style="54" customWidth="1"/>
    <col min="8196" max="8196" width="16.5" style="54" customWidth="1"/>
    <col min="8197" max="8197" width="43.6640625" style="54" customWidth="1"/>
    <col min="8198" max="8448" width="8.6640625" style="54"/>
    <col min="8449" max="8449" width="36.5" style="54" customWidth="1"/>
    <col min="8450" max="8450" width="76" style="54" customWidth="1"/>
    <col min="8451" max="8451" width="17" style="54" customWidth="1"/>
    <col min="8452" max="8452" width="16.5" style="54" customWidth="1"/>
    <col min="8453" max="8453" width="43.6640625" style="54" customWidth="1"/>
    <col min="8454" max="8704" width="8.6640625" style="54"/>
    <col min="8705" max="8705" width="36.5" style="54" customWidth="1"/>
    <col min="8706" max="8706" width="76" style="54" customWidth="1"/>
    <col min="8707" max="8707" width="17" style="54" customWidth="1"/>
    <col min="8708" max="8708" width="16.5" style="54" customWidth="1"/>
    <col min="8709" max="8709" width="43.6640625" style="54" customWidth="1"/>
    <col min="8710" max="8960" width="8.6640625" style="54"/>
    <col min="8961" max="8961" width="36.5" style="54" customWidth="1"/>
    <col min="8962" max="8962" width="76" style="54" customWidth="1"/>
    <col min="8963" max="8963" width="17" style="54" customWidth="1"/>
    <col min="8964" max="8964" width="16.5" style="54" customWidth="1"/>
    <col min="8965" max="8965" width="43.6640625" style="54" customWidth="1"/>
    <col min="8966" max="9216" width="8.6640625" style="54"/>
    <col min="9217" max="9217" width="36.5" style="54" customWidth="1"/>
    <col min="9218" max="9218" width="76" style="54" customWidth="1"/>
    <col min="9219" max="9219" width="17" style="54" customWidth="1"/>
    <col min="9220" max="9220" width="16.5" style="54" customWidth="1"/>
    <col min="9221" max="9221" width="43.6640625" style="54" customWidth="1"/>
    <col min="9222" max="9472" width="8.6640625" style="54"/>
    <col min="9473" max="9473" width="36.5" style="54" customWidth="1"/>
    <col min="9474" max="9474" width="76" style="54" customWidth="1"/>
    <col min="9475" max="9475" width="17" style="54" customWidth="1"/>
    <col min="9476" max="9476" width="16.5" style="54" customWidth="1"/>
    <col min="9477" max="9477" width="43.6640625" style="54" customWidth="1"/>
    <col min="9478" max="9728" width="8.6640625" style="54"/>
    <col min="9729" max="9729" width="36.5" style="54" customWidth="1"/>
    <col min="9730" max="9730" width="76" style="54" customWidth="1"/>
    <col min="9731" max="9731" width="17" style="54" customWidth="1"/>
    <col min="9732" max="9732" width="16.5" style="54" customWidth="1"/>
    <col min="9733" max="9733" width="43.6640625" style="54" customWidth="1"/>
    <col min="9734" max="9984" width="8.6640625" style="54"/>
    <col min="9985" max="9985" width="36.5" style="54" customWidth="1"/>
    <col min="9986" max="9986" width="76" style="54" customWidth="1"/>
    <col min="9987" max="9987" width="17" style="54" customWidth="1"/>
    <col min="9988" max="9988" width="16.5" style="54" customWidth="1"/>
    <col min="9989" max="9989" width="43.6640625" style="54" customWidth="1"/>
    <col min="9990" max="10240" width="8.6640625" style="54"/>
    <col min="10241" max="10241" width="36.5" style="54" customWidth="1"/>
    <col min="10242" max="10242" width="76" style="54" customWidth="1"/>
    <col min="10243" max="10243" width="17" style="54" customWidth="1"/>
    <col min="10244" max="10244" width="16.5" style="54" customWidth="1"/>
    <col min="10245" max="10245" width="43.6640625" style="54" customWidth="1"/>
    <col min="10246" max="10496" width="8.6640625" style="54"/>
    <col min="10497" max="10497" width="36.5" style="54" customWidth="1"/>
    <col min="10498" max="10498" width="76" style="54" customWidth="1"/>
    <col min="10499" max="10499" width="17" style="54" customWidth="1"/>
    <col min="10500" max="10500" width="16.5" style="54" customWidth="1"/>
    <col min="10501" max="10501" width="43.6640625" style="54" customWidth="1"/>
    <col min="10502" max="10752" width="8.6640625" style="54"/>
    <col min="10753" max="10753" width="36.5" style="54" customWidth="1"/>
    <col min="10754" max="10754" width="76" style="54" customWidth="1"/>
    <col min="10755" max="10755" width="17" style="54" customWidth="1"/>
    <col min="10756" max="10756" width="16.5" style="54" customWidth="1"/>
    <col min="10757" max="10757" width="43.6640625" style="54" customWidth="1"/>
    <col min="10758" max="11008" width="8.6640625" style="54"/>
    <col min="11009" max="11009" width="36.5" style="54" customWidth="1"/>
    <col min="11010" max="11010" width="76" style="54" customWidth="1"/>
    <col min="11011" max="11011" width="17" style="54" customWidth="1"/>
    <col min="11012" max="11012" width="16.5" style="54" customWidth="1"/>
    <col min="11013" max="11013" width="43.6640625" style="54" customWidth="1"/>
    <col min="11014" max="11264" width="8.6640625" style="54"/>
    <col min="11265" max="11265" width="36.5" style="54" customWidth="1"/>
    <col min="11266" max="11266" width="76" style="54" customWidth="1"/>
    <col min="11267" max="11267" width="17" style="54" customWidth="1"/>
    <col min="11268" max="11268" width="16.5" style="54" customWidth="1"/>
    <col min="11269" max="11269" width="43.6640625" style="54" customWidth="1"/>
    <col min="11270" max="11520" width="8.6640625" style="54"/>
    <col min="11521" max="11521" width="36.5" style="54" customWidth="1"/>
    <col min="11522" max="11522" width="76" style="54" customWidth="1"/>
    <col min="11523" max="11523" width="17" style="54" customWidth="1"/>
    <col min="11524" max="11524" width="16.5" style="54" customWidth="1"/>
    <col min="11525" max="11525" width="43.6640625" style="54" customWidth="1"/>
    <col min="11526" max="11776" width="8.6640625" style="54"/>
    <col min="11777" max="11777" width="36.5" style="54" customWidth="1"/>
    <col min="11778" max="11778" width="76" style="54" customWidth="1"/>
    <col min="11779" max="11779" width="17" style="54" customWidth="1"/>
    <col min="11780" max="11780" width="16.5" style="54" customWidth="1"/>
    <col min="11781" max="11781" width="43.6640625" style="54" customWidth="1"/>
    <col min="11782" max="12032" width="8.6640625" style="54"/>
    <col min="12033" max="12033" width="36.5" style="54" customWidth="1"/>
    <col min="12034" max="12034" width="76" style="54" customWidth="1"/>
    <col min="12035" max="12035" width="17" style="54" customWidth="1"/>
    <col min="12036" max="12036" width="16.5" style="54" customWidth="1"/>
    <col min="12037" max="12037" width="43.6640625" style="54" customWidth="1"/>
    <col min="12038" max="12288" width="8.6640625" style="54"/>
    <col min="12289" max="12289" width="36.5" style="54" customWidth="1"/>
    <col min="12290" max="12290" width="76" style="54" customWidth="1"/>
    <col min="12291" max="12291" width="17" style="54" customWidth="1"/>
    <col min="12292" max="12292" width="16.5" style="54" customWidth="1"/>
    <col min="12293" max="12293" width="43.6640625" style="54" customWidth="1"/>
    <col min="12294" max="12544" width="8.6640625" style="54"/>
    <col min="12545" max="12545" width="36.5" style="54" customWidth="1"/>
    <col min="12546" max="12546" width="76" style="54" customWidth="1"/>
    <col min="12547" max="12547" width="17" style="54" customWidth="1"/>
    <col min="12548" max="12548" width="16.5" style="54" customWidth="1"/>
    <col min="12549" max="12549" width="43.6640625" style="54" customWidth="1"/>
    <col min="12550" max="12800" width="8.6640625" style="54"/>
    <col min="12801" max="12801" width="36.5" style="54" customWidth="1"/>
    <col min="12802" max="12802" width="76" style="54" customWidth="1"/>
    <col min="12803" max="12803" width="17" style="54" customWidth="1"/>
    <col min="12804" max="12804" width="16.5" style="54" customWidth="1"/>
    <col min="12805" max="12805" width="43.6640625" style="54" customWidth="1"/>
    <col min="12806" max="13056" width="8.6640625" style="54"/>
    <col min="13057" max="13057" width="36.5" style="54" customWidth="1"/>
    <col min="13058" max="13058" width="76" style="54" customWidth="1"/>
    <col min="13059" max="13059" width="17" style="54" customWidth="1"/>
    <col min="13060" max="13060" width="16.5" style="54" customWidth="1"/>
    <col min="13061" max="13061" width="43.6640625" style="54" customWidth="1"/>
    <col min="13062" max="13312" width="8.6640625" style="54"/>
    <col min="13313" max="13313" width="36.5" style="54" customWidth="1"/>
    <col min="13314" max="13314" width="76" style="54" customWidth="1"/>
    <col min="13315" max="13315" width="17" style="54" customWidth="1"/>
    <col min="13316" max="13316" width="16.5" style="54" customWidth="1"/>
    <col min="13317" max="13317" width="43.6640625" style="54" customWidth="1"/>
    <col min="13318" max="13568" width="8.6640625" style="54"/>
    <col min="13569" max="13569" width="36.5" style="54" customWidth="1"/>
    <col min="13570" max="13570" width="76" style="54" customWidth="1"/>
    <col min="13571" max="13571" width="17" style="54" customWidth="1"/>
    <col min="13572" max="13572" width="16.5" style="54" customWidth="1"/>
    <col min="13573" max="13573" width="43.6640625" style="54" customWidth="1"/>
    <col min="13574" max="13824" width="8.6640625" style="54"/>
    <col min="13825" max="13825" width="36.5" style="54" customWidth="1"/>
    <col min="13826" max="13826" width="76" style="54" customWidth="1"/>
    <col min="13827" max="13827" width="17" style="54" customWidth="1"/>
    <col min="13828" max="13828" width="16.5" style="54" customWidth="1"/>
    <col min="13829" max="13829" width="43.6640625" style="54" customWidth="1"/>
    <col min="13830" max="14080" width="8.6640625" style="54"/>
    <col min="14081" max="14081" width="36.5" style="54" customWidth="1"/>
    <col min="14082" max="14082" width="76" style="54" customWidth="1"/>
    <col min="14083" max="14083" width="17" style="54" customWidth="1"/>
    <col min="14084" max="14084" width="16.5" style="54" customWidth="1"/>
    <col min="14085" max="14085" width="43.6640625" style="54" customWidth="1"/>
    <col min="14086" max="14336" width="8.6640625" style="54"/>
    <col min="14337" max="14337" width="36.5" style="54" customWidth="1"/>
    <col min="14338" max="14338" width="76" style="54" customWidth="1"/>
    <col min="14339" max="14339" width="17" style="54" customWidth="1"/>
    <col min="14340" max="14340" width="16.5" style="54" customWidth="1"/>
    <col min="14341" max="14341" width="43.6640625" style="54" customWidth="1"/>
    <col min="14342" max="14592" width="8.6640625" style="54"/>
    <col min="14593" max="14593" width="36.5" style="54" customWidth="1"/>
    <col min="14594" max="14594" width="76" style="54" customWidth="1"/>
    <col min="14595" max="14595" width="17" style="54" customWidth="1"/>
    <col min="14596" max="14596" width="16.5" style="54" customWidth="1"/>
    <col min="14597" max="14597" width="43.6640625" style="54" customWidth="1"/>
    <col min="14598" max="14848" width="8.6640625" style="54"/>
    <col min="14849" max="14849" width="36.5" style="54" customWidth="1"/>
    <col min="14850" max="14850" width="76" style="54" customWidth="1"/>
    <col min="14851" max="14851" width="17" style="54" customWidth="1"/>
    <col min="14852" max="14852" width="16.5" style="54" customWidth="1"/>
    <col min="14853" max="14853" width="43.6640625" style="54" customWidth="1"/>
    <col min="14854" max="15104" width="8.6640625" style="54"/>
    <col min="15105" max="15105" width="36.5" style="54" customWidth="1"/>
    <col min="15106" max="15106" width="76" style="54" customWidth="1"/>
    <col min="15107" max="15107" width="17" style="54" customWidth="1"/>
    <col min="15108" max="15108" width="16.5" style="54" customWidth="1"/>
    <col min="15109" max="15109" width="43.6640625" style="54" customWidth="1"/>
    <col min="15110" max="15360" width="8.6640625" style="54"/>
    <col min="15361" max="15361" width="36.5" style="54" customWidth="1"/>
    <col min="15362" max="15362" width="76" style="54" customWidth="1"/>
    <col min="15363" max="15363" width="17" style="54" customWidth="1"/>
    <col min="15364" max="15364" width="16.5" style="54" customWidth="1"/>
    <col min="15365" max="15365" width="43.6640625" style="54" customWidth="1"/>
    <col min="15366" max="15616" width="8.6640625" style="54"/>
    <col min="15617" max="15617" width="36.5" style="54" customWidth="1"/>
    <col min="15618" max="15618" width="76" style="54" customWidth="1"/>
    <col min="15619" max="15619" width="17" style="54" customWidth="1"/>
    <col min="15620" max="15620" width="16.5" style="54" customWidth="1"/>
    <col min="15621" max="15621" width="43.6640625" style="54" customWidth="1"/>
    <col min="15622" max="15872" width="8.6640625" style="54"/>
    <col min="15873" max="15873" width="36.5" style="54" customWidth="1"/>
    <col min="15874" max="15874" width="76" style="54" customWidth="1"/>
    <col min="15875" max="15875" width="17" style="54" customWidth="1"/>
    <col min="15876" max="15876" width="16.5" style="54" customWidth="1"/>
    <col min="15877" max="15877" width="43.6640625" style="54" customWidth="1"/>
    <col min="15878" max="16128" width="8.6640625" style="54"/>
    <col min="16129" max="16129" width="36.5" style="54" customWidth="1"/>
    <col min="16130" max="16130" width="76" style="54" customWidth="1"/>
    <col min="16131" max="16131" width="17" style="54" customWidth="1"/>
    <col min="16132" max="16132" width="16.5" style="54" customWidth="1"/>
    <col min="16133" max="16133" width="43.6640625" style="54" customWidth="1"/>
    <col min="16134" max="16384" width="8.6640625" style="54"/>
  </cols>
  <sheetData>
    <row r="1" spans="1:5" ht="52.5" customHeight="1">
      <c r="A1" s="158" t="s">
        <v>23</v>
      </c>
      <c r="B1" s="159" t="s">
        <v>20</v>
      </c>
      <c r="C1" s="159" t="s">
        <v>21</v>
      </c>
      <c r="D1" s="159" t="s">
        <v>24</v>
      </c>
      <c r="E1" s="160" t="s">
        <v>25</v>
      </c>
    </row>
    <row r="2" spans="1:5" ht="31">
      <c r="A2" s="161" t="s">
        <v>1469</v>
      </c>
      <c r="B2" s="55" t="s">
        <v>26</v>
      </c>
      <c r="C2" s="56">
        <v>1.06484</v>
      </c>
      <c r="D2" s="56" t="s">
        <v>27</v>
      </c>
      <c r="E2" s="162" t="s">
        <v>28</v>
      </c>
    </row>
    <row r="3" spans="1:5" ht="77.5">
      <c r="A3" s="161" t="s">
        <v>1470</v>
      </c>
      <c r="B3" s="55" t="s">
        <v>29</v>
      </c>
      <c r="C3" s="56">
        <v>0.1</v>
      </c>
      <c r="D3" s="56" t="s">
        <v>30</v>
      </c>
      <c r="E3" s="162" t="s">
        <v>28</v>
      </c>
    </row>
    <row r="4" spans="1:5" ht="46.5">
      <c r="A4" s="161" t="s">
        <v>1471</v>
      </c>
      <c r="B4" s="55" t="s">
        <v>31</v>
      </c>
      <c r="C4" s="55">
        <v>0.99</v>
      </c>
      <c r="D4" s="56" t="s">
        <v>22</v>
      </c>
      <c r="E4" s="162" t="s">
        <v>28</v>
      </c>
    </row>
    <row r="5" spans="1:5" ht="31">
      <c r="A5" s="161" t="s">
        <v>32</v>
      </c>
      <c r="B5" s="55" t="s">
        <v>33</v>
      </c>
      <c r="C5" s="55">
        <v>0.94</v>
      </c>
      <c r="D5" s="56" t="s">
        <v>22</v>
      </c>
      <c r="E5" s="162" t="s">
        <v>28</v>
      </c>
    </row>
    <row r="6" spans="1:5" ht="77.5">
      <c r="A6" s="161" t="s">
        <v>1472</v>
      </c>
      <c r="B6" s="55" t="s">
        <v>34</v>
      </c>
      <c r="C6" s="57">
        <f>0.83</f>
        <v>0.83</v>
      </c>
      <c r="D6" s="56" t="s">
        <v>35</v>
      </c>
      <c r="E6" s="162" t="s">
        <v>28</v>
      </c>
    </row>
    <row r="7" spans="1:5" ht="32">
      <c r="A7" s="161" t="s">
        <v>1473</v>
      </c>
      <c r="B7" s="55" t="s">
        <v>1474</v>
      </c>
      <c r="C7" s="56">
        <v>1.7470000000000001</v>
      </c>
      <c r="D7" s="55" t="s">
        <v>1475</v>
      </c>
      <c r="E7" s="162" t="s">
        <v>28</v>
      </c>
    </row>
    <row r="8" spans="1:5" ht="32">
      <c r="A8" s="161" t="s">
        <v>1476</v>
      </c>
      <c r="B8" s="55" t="s">
        <v>1611</v>
      </c>
      <c r="C8" s="58">
        <v>0.53300000000000003</v>
      </c>
      <c r="D8" s="55" t="s">
        <v>1475</v>
      </c>
      <c r="E8" s="162" t="s">
        <v>28</v>
      </c>
    </row>
    <row r="9" spans="1:5" ht="46.5">
      <c r="A9" s="161" t="s">
        <v>1477</v>
      </c>
      <c r="B9" s="55" t="s">
        <v>550</v>
      </c>
      <c r="C9" s="57">
        <v>0.2326</v>
      </c>
      <c r="D9" s="56" t="s">
        <v>35</v>
      </c>
      <c r="E9" s="162" t="s">
        <v>28</v>
      </c>
    </row>
    <row r="10" spans="1:5" ht="28.5" thickBot="1">
      <c r="A10" s="163" t="s">
        <v>36</v>
      </c>
      <c r="B10" s="164" t="s">
        <v>37</v>
      </c>
      <c r="C10" s="164">
        <v>0.95</v>
      </c>
      <c r="D10" s="165" t="s">
        <v>22</v>
      </c>
      <c r="E10" s="166" t="s">
        <v>28</v>
      </c>
    </row>
  </sheetData>
  <pageMargins left="0.7" right="0.7" top="0.75" bottom="0.75" header="0.3" footer="0.3"/>
  <pageSetup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890B-3821-374E-8520-7F77D5BB85F7}">
  <sheetPr codeName="Sheet3"/>
  <dimension ref="A1:X904"/>
  <sheetViews>
    <sheetView zoomScaleNormal="100" workbookViewId="0">
      <selection activeCell="A6" sqref="A6"/>
    </sheetView>
  </sheetViews>
  <sheetFormatPr defaultColWidth="10.83203125" defaultRowHeight="15.5"/>
  <cols>
    <col min="1" max="4" width="18.33203125" style="25" customWidth="1"/>
    <col min="5" max="5" width="17.33203125" customWidth="1"/>
    <col min="6" max="6" width="17.33203125" style="25" customWidth="1"/>
    <col min="7" max="7" width="18.33203125" style="25" customWidth="1"/>
    <col min="8" max="9" width="17.33203125" style="25" customWidth="1"/>
    <col min="10" max="10" width="10.83203125" style="25"/>
    <col min="11" max="11" width="15.6640625" style="25" customWidth="1"/>
    <col min="12" max="12" width="17.33203125" style="25" customWidth="1"/>
    <col min="13" max="14" width="12.83203125" style="25" customWidth="1"/>
    <col min="15" max="15" width="17.83203125" style="25" customWidth="1"/>
    <col min="16" max="16" width="17.33203125" style="25" customWidth="1"/>
    <col min="17" max="17" width="14.6640625" style="25" customWidth="1"/>
    <col min="18" max="18" width="10.83203125" style="25"/>
    <col min="19" max="19" width="36" style="25" customWidth="1"/>
    <col min="20" max="20" width="12.6640625" style="25" customWidth="1"/>
    <col min="21" max="21" width="15.6640625" style="25" customWidth="1"/>
    <col min="22" max="22" width="10.83203125" style="25"/>
    <col min="23" max="23" width="31.5" style="25" customWidth="1"/>
    <col min="24" max="24" width="25.5" style="25" customWidth="1"/>
    <col min="25" max="16384" width="10.83203125" style="25"/>
  </cols>
  <sheetData>
    <row r="1" spans="1:24" ht="39">
      <c r="A1" s="137" t="s">
        <v>154</v>
      </c>
      <c r="B1" s="138" t="s">
        <v>13</v>
      </c>
      <c r="C1" s="138" t="s">
        <v>12</v>
      </c>
      <c r="D1" s="139" t="s">
        <v>1502</v>
      </c>
      <c r="E1" s="139" t="s">
        <v>1463</v>
      </c>
      <c r="F1" s="139" t="s">
        <v>1465</v>
      </c>
      <c r="G1" s="140" t="s">
        <v>1503</v>
      </c>
      <c r="H1" s="140" t="s">
        <v>1464</v>
      </c>
      <c r="I1" s="141" t="s">
        <v>1466</v>
      </c>
      <c r="K1" s="222" t="s">
        <v>154</v>
      </c>
      <c r="L1" s="230" t="s">
        <v>1478</v>
      </c>
      <c r="M1" s="231"/>
      <c r="N1" s="232"/>
      <c r="O1" s="233" t="s">
        <v>1501</v>
      </c>
      <c r="P1" s="234"/>
      <c r="Q1" s="235"/>
      <c r="S1" s="225" t="s">
        <v>1504</v>
      </c>
      <c r="T1" s="226"/>
      <c r="U1" s="227"/>
      <c r="W1" s="124" t="s">
        <v>1462</v>
      </c>
      <c r="X1" s="125" t="s">
        <v>1450</v>
      </c>
    </row>
    <row r="2" spans="1:24" ht="13">
      <c r="A2" s="131" t="s">
        <v>1441</v>
      </c>
      <c r="B2" s="53">
        <v>41730</v>
      </c>
      <c r="C2" s="52">
        <v>33</v>
      </c>
      <c r="D2" s="72" t="str">
        <f>IF(DATEDIF($B2,'Inst summary and ER calculation'!$T$6,"y")=1,"1-2 years","2-3 years")</f>
        <v>2-3 years</v>
      </c>
      <c r="E2" s="69">
        <f t="shared" ref="E2:E65" si="0">MAX(MIN($T$6)-MAX($T$4,$B2,_xlfn.XLOOKUP($A2,$W$1:$W$36,$X$1:$X$36))+1,0)/366</f>
        <v>0.99726775956284153</v>
      </c>
      <c r="F2" s="69">
        <f>$C2*E2*_xlfn.XLOOKUP($D2,'Sample Size cal and results'!$B$23:$B$24,'Sample Size cal and results'!$D$23:$D$24)</f>
        <v>33.513393678633527</v>
      </c>
      <c r="G2" s="72" t="str">
        <f>IF(DATEDIF($B2,'Inst summary and ER calculation'!$U$6,"y")=2,"2-3 years","3-4 years")</f>
        <v>3-4 years</v>
      </c>
      <c r="H2" s="69">
        <f t="shared" ref="H2:H65" si="1">MAX(MIN($U$6)-MAX($U$4,$B2,_xlfn.XLOOKUP($A2,$W$1:$W$36,$X$1:$X$36))+1,0)/365</f>
        <v>1</v>
      </c>
      <c r="I2" s="142">
        <f>$C2*H2*_xlfn.XLOOKUP($G2,'Sample Size cal and results'!$B$25:$B$26,'Sample Size cal and results'!$D$25:$D$26)</f>
        <v>32.839536856851339</v>
      </c>
      <c r="K2" s="223"/>
      <c r="L2" s="224" t="s">
        <v>1499</v>
      </c>
      <c r="M2" s="224"/>
      <c r="N2" s="224" t="s">
        <v>1500</v>
      </c>
      <c r="O2" s="228" t="s">
        <v>1499</v>
      </c>
      <c r="P2" s="228"/>
      <c r="Q2" s="229" t="s">
        <v>1500</v>
      </c>
      <c r="S2" s="117" t="s">
        <v>1505</v>
      </c>
      <c r="T2" s="116" t="s">
        <v>553</v>
      </c>
      <c r="U2" s="118" t="s">
        <v>555</v>
      </c>
      <c r="W2" s="126" t="s">
        <v>1441</v>
      </c>
      <c r="X2" s="127">
        <v>41730</v>
      </c>
    </row>
    <row r="3" spans="1:24" ht="13">
      <c r="A3" s="131" t="s">
        <v>1441</v>
      </c>
      <c r="B3" s="53">
        <v>41731</v>
      </c>
      <c r="C3" s="52">
        <v>15</v>
      </c>
      <c r="D3" s="72" t="str">
        <f>IF(DATEDIF($B3,'Inst summary and ER calculation'!$T$6,"y")=1,"1-2 years","2-3 years")</f>
        <v>2-3 years</v>
      </c>
      <c r="E3" s="69">
        <f t="shared" si="0"/>
        <v>0.99726775956284153</v>
      </c>
      <c r="F3" s="69">
        <f>$C3*E3*_xlfn.XLOOKUP($D3,'Sample Size cal and results'!$B$23:$B$24,'Sample Size cal and results'!$D$23:$D$24)</f>
        <v>15.233360763015238</v>
      </c>
      <c r="G3" s="72" t="str">
        <f>IF(DATEDIF($B3,'Inst summary and ER calculation'!$U$6,"y")=2,"2-3 years","3-4 years")</f>
        <v>3-4 years</v>
      </c>
      <c r="H3" s="69">
        <f t="shared" si="1"/>
        <v>1</v>
      </c>
      <c r="I3" s="142">
        <f>$C3*H3*_xlfn.XLOOKUP($G3,'Sample Size cal and results'!$B$25:$B$26,'Sample Size cal and results'!$D$25:$D$26)</f>
        <v>14.927062207659699</v>
      </c>
      <c r="K3" s="223"/>
      <c r="L3" s="81" t="s">
        <v>4</v>
      </c>
      <c r="M3" s="81" t="s">
        <v>551</v>
      </c>
      <c r="N3" s="224"/>
      <c r="O3" s="115" t="s">
        <v>551</v>
      </c>
      <c r="P3" s="115" t="s">
        <v>554</v>
      </c>
      <c r="Q3" s="229"/>
      <c r="S3" s="119" t="s">
        <v>1608</v>
      </c>
      <c r="T3" s="21">
        <v>42422</v>
      </c>
      <c r="U3" s="120">
        <v>42795</v>
      </c>
      <c r="W3" s="126" t="s">
        <v>1443</v>
      </c>
      <c r="X3" s="127">
        <v>41764</v>
      </c>
    </row>
    <row r="4" spans="1:24" ht="13">
      <c r="A4" s="131" t="s">
        <v>1441</v>
      </c>
      <c r="B4" s="53">
        <v>41732</v>
      </c>
      <c r="C4" s="52">
        <v>23</v>
      </c>
      <c r="D4" s="72" t="str">
        <f>IF(DATEDIF($B4,'Inst summary and ER calculation'!$T$6,"y")=1,"1-2 years","2-3 years")</f>
        <v>2-3 years</v>
      </c>
      <c r="E4" s="69">
        <f t="shared" si="0"/>
        <v>0.99726775956284153</v>
      </c>
      <c r="F4" s="69">
        <f>$C4*E4*_xlfn.XLOOKUP($D4,'Sample Size cal and results'!$B$23:$B$24,'Sample Size cal and results'!$D$23:$D$24)</f>
        <v>23.357819836623367</v>
      </c>
      <c r="G4" s="72" t="str">
        <f>IF(DATEDIF($B4,'Inst summary and ER calculation'!$U$6,"y")=2,"2-3 years","3-4 years")</f>
        <v>3-4 years</v>
      </c>
      <c r="H4" s="69">
        <f t="shared" si="1"/>
        <v>1</v>
      </c>
      <c r="I4" s="142">
        <f>$C4*H4*_xlfn.XLOOKUP($G4,'Sample Size cal and results'!$B$25:$B$26,'Sample Size cal and results'!$D$25:$D$26)</f>
        <v>22.888162051744871</v>
      </c>
      <c r="K4" s="131" t="s">
        <v>1441</v>
      </c>
      <c r="L4" s="52">
        <f t="shared" ref="L4:M23" si="2">SUMIFS($C$2:$C$903,$A$2:$A$903,$K4,$D$2:$D$903,L$3)</f>
        <v>0</v>
      </c>
      <c r="M4" s="52">
        <f t="shared" si="2"/>
        <v>9029</v>
      </c>
      <c r="N4" s="70">
        <f>ROUNDDOWN(SUMIF($A$2:$A$903,$K4,$F$2:$F$903),0)</f>
        <v>9169</v>
      </c>
      <c r="O4" s="52">
        <f t="shared" ref="O4:P23" si="3">SUMIFS($C$2:$C$903,$A$2:$A$903,$K4,$G$2:$G$903,O$3)</f>
        <v>0</v>
      </c>
      <c r="P4" s="52">
        <f t="shared" si="3"/>
        <v>9029</v>
      </c>
      <c r="Q4" s="132">
        <f>ROUNDDOWN(SUMIF($A$2:$A$903,$K4,$I$2:$I$903),0)</f>
        <v>8985</v>
      </c>
      <c r="R4" s="189"/>
      <c r="S4" s="119" t="s">
        <v>1609</v>
      </c>
      <c r="T4" s="21">
        <f>MAX(T3,EDATE(U6,-24)+2)</f>
        <v>42430</v>
      </c>
      <c r="U4" s="120">
        <v>42795</v>
      </c>
      <c r="W4" s="126" t="s">
        <v>1444</v>
      </c>
      <c r="X4" s="127">
        <v>41897</v>
      </c>
    </row>
    <row r="5" spans="1:24" ht="13">
      <c r="A5" s="131" t="s">
        <v>1441</v>
      </c>
      <c r="B5" s="53">
        <v>41733</v>
      </c>
      <c r="C5" s="52">
        <v>21</v>
      </c>
      <c r="D5" s="72" t="str">
        <f>IF(DATEDIF($B5,'Inst summary and ER calculation'!$T$6,"y")=1,"1-2 years","2-3 years")</f>
        <v>2-3 years</v>
      </c>
      <c r="E5" s="69">
        <f t="shared" si="0"/>
        <v>0.99726775956284153</v>
      </c>
      <c r="F5" s="69">
        <f>$C5*E5*_xlfn.XLOOKUP($D5,'Sample Size cal and results'!$B$23:$B$24,'Sample Size cal and results'!$D$23:$D$24)</f>
        <v>21.326705068221333</v>
      </c>
      <c r="G5" s="72" t="str">
        <f>IF(DATEDIF($B5,'Inst summary and ER calculation'!$U$6,"y")=2,"2-3 years","3-4 years")</f>
        <v>3-4 years</v>
      </c>
      <c r="H5" s="69">
        <f t="shared" si="1"/>
        <v>1</v>
      </c>
      <c r="I5" s="142">
        <f>$C5*H5*_xlfn.XLOOKUP($G5,'Sample Size cal and results'!$B$25:$B$26,'Sample Size cal and results'!$D$25:$D$26)</f>
        <v>20.897887090723579</v>
      </c>
      <c r="K5" s="131" t="s">
        <v>1443</v>
      </c>
      <c r="L5" s="52">
        <f t="shared" si="2"/>
        <v>0</v>
      </c>
      <c r="M5" s="52">
        <f t="shared" si="2"/>
        <v>8623</v>
      </c>
      <c r="N5" s="70">
        <f t="shared" ref="N5:N39" si="4">ROUNDDOWN(SUMIF($A$2:$A$903,$K5,$F$2:$F$903),0)</f>
        <v>8757</v>
      </c>
      <c r="O5" s="52">
        <f t="shared" si="3"/>
        <v>0</v>
      </c>
      <c r="P5" s="52">
        <f t="shared" si="3"/>
        <v>8623</v>
      </c>
      <c r="Q5" s="132">
        <f t="shared" ref="Q5:Q39" si="5">ROUNDDOWN(SUMIF($A$2:$A$903,$K5,$I$2:$I$903),0)</f>
        <v>8581</v>
      </c>
      <c r="R5" s="189"/>
      <c r="S5" s="119" t="s">
        <v>1610</v>
      </c>
      <c r="T5" s="21">
        <v>42583</v>
      </c>
      <c r="U5" s="120">
        <v>42795</v>
      </c>
      <c r="W5" s="126" t="s">
        <v>1445</v>
      </c>
      <c r="X5" s="127">
        <v>41897</v>
      </c>
    </row>
    <row r="6" spans="1:24" ht="13.5" thickBot="1">
      <c r="A6" s="131" t="s">
        <v>1441</v>
      </c>
      <c r="B6" s="53">
        <v>41734</v>
      </c>
      <c r="C6" s="52">
        <v>26</v>
      </c>
      <c r="D6" s="72" t="str">
        <f>IF(DATEDIF($B6,'Inst summary and ER calculation'!$T$6,"y")=1,"1-2 years","2-3 years")</f>
        <v>2-3 years</v>
      </c>
      <c r="E6" s="69">
        <f t="shared" si="0"/>
        <v>0.99726775956284153</v>
      </c>
      <c r="F6" s="69">
        <f>$C6*E6*_xlfn.XLOOKUP($D6,'Sample Size cal and results'!$B$23:$B$24,'Sample Size cal and results'!$D$23:$D$24)</f>
        <v>26.404491989226415</v>
      </c>
      <c r="G6" s="72" t="str">
        <f>IF(DATEDIF($B6,'Inst summary and ER calculation'!$U$6,"y")=2,"2-3 years","3-4 years")</f>
        <v>3-4 years</v>
      </c>
      <c r="H6" s="69">
        <f t="shared" si="1"/>
        <v>1</v>
      </c>
      <c r="I6" s="142">
        <f>$C6*H6*_xlfn.XLOOKUP($G6,'Sample Size cal and results'!$B$25:$B$26,'Sample Size cal and results'!$D$25:$D$26)</f>
        <v>25.873574493276809</v>
      </c>
      <c r="K6" s="131" t="s">
        <v>1442</v>
      </c>
      <c r="L6" s="52">
        <f t="shared" si="2"/>
        <v>0</v>
      </c>
      <c r="M6" s="52">
        <f t="shared" si="2"/>
        <v>0</v>
      </c>
      <c r="N6" s="70">
        <f t="shared" si="4"/>
        <v>0</v>
      </c>
      <c r="O6" s="52">
        <f t="shared" si="3"/>
        <v>0</v>
      </c>
      <c r="P6" s="52">
        <f t="shared" si="3"/>
        <v>0</v>
      </c>
      <c r="Q6" s="132">
        <f t="shared" si="5"/>
        <v>0</v>
      </c>
      <c r="R6" s="189"/>
      <c r="S6" s="121" t="s">
        <v>1506</v>
      </c>
      <c r="T6" s="122">
        <v>42794</v>
      </c>
      <c r="U6" s="123">
        <v>43159</v>
      </c>
      <c r="W6" s="126" t="s">
        <v>1446</v>
      </c>
      <c r="X6" s="127">
        <v>41940</v>
      </c>
    </row>
    <row r="7" spans="1:24" ht="13">
      <c r="A7" s="131" t="s">
        <v>1441</v>
      </c>
      <c r="B7" s="53">
        <v>41735</v>
      </c>
      <c r="C7" s="52">
        <v>26</v>
      </c>
      <c r="D7" s="72" t="str">
        <f>IF(DATEDIF($B7,'Inst summary and ER calculation'!$T$6,"y")=1,"1-2 years","2-3 years")</f>
        <v>2-3 years</v>
      </c>
      <c r="E7" s="69">
        <f t="shared" si="0"/>
        <v>0.99726775956284153</v>
      </c>
      <c r="F7" s="69">
        <f>$C7*E7*_xlfn.XLOOKUP($D7,'Sample Size cal and results'!$B$23:$B$24,'Sample Size cal and results'!$D$23:$D$24)</f>
        <v>26.404491989226415</v>
      </c>
      <c r="G7" s="72" t="str">
        <f>IF(DATEDIF($B7,'Inst summary and ER calculation'!$U$6,"y")=2,"2-3 years","3-4 years")</f>
        <v>3-4 years</v>
      </c>
      <c r="H7" s="69">
        <f t="shared" si="1"/>
        <v>1</v>
      </c>
      <c r="I7" s="142">
        <f>$C7*H7*_xlfn.XLOOKUP($G7,'Sample Size cal and results'!$B$25:$B$26,'Sample Size cal and results'!$D$25:$D$26)</f>
        <v>25.873574493276809</v>
      </c>
      <c r="K7" s="131" t="s">
        <v>1444</v>
      </c>
      <c r="L7" s="52">
        <f t="shared" si="2"/>
        <v>0</v>
      </c>
      <c r="M7" s="52">
        <f t="shared" si="2"/>
        <v>9083</v>
      </c>
      <c r="N7" s="70">
        <f t="shared" si="4"/>
        <v>9224</v>
      </c>
      <c r="O7" s="52">
        <f t="shared" si="3"/>
        <v>0</v>
      </c>
      <c r="P7" s="52">
        <f t="shared" si="3"/>
        <v>9083</v>
      </c>
      <c r="Q7" s="132">
        <f t="shared" si="5"/>
        <v>9038</v>
      </c>
      <c r="R7" s="189"/>
      <c r="W7" s="126" t="s">
        <v>1447</v>
      </c>
      <c r="X7" s="127">
        <v>41852</v>
      </c>
    </row>
    <row r="8" spans="1:24" ht="13">
      <c r="A8" s="131" t="s">
        <v>1441</v>
      </c>
      <c r="B8" s="53">
        <v>41736</v>
      </c>
      <c r="C8" s="52">
        <v>27</v>
      </c>
      <c r="D8" s="72" t="str">
        <f>IF(DATEDIF($B8,'Inst summary and ER calculation'!$T$6,"y")=1,"1-2 years","2-3 years")</f>
        <v>2-3 years</v>
      </c>
      <c r="E8" s="69">
        <f t="shared" si="0"/>
        <v>0.99726775956284153</v>
      </c>
      <c r="F8" s="69">
        <f>$C8*E8*_xlfn.XLOOKUP($D8,'Sample Size cal and results'!$B$23:$B$24,'Sample Size cal and results'!$D$23:$D$24)</f>
        <v>27.420049373427428</v>
      </c>
      <c r="G8" s="72" t="str">
        <f>IF(DATEDIF($B8,'Inst summary and ER calculation'!$U$6,"y")=2,"2-3 years","3-4 years")</f>
        <v>3-4 years</v>
      </c>
      <c r="H8" s="69">
        <f t="shared" si="1"/>
        <v>1</v>
      </c>
      <c r="I8" s="142">
        <f>$C8*H8*_xlfn.XLOOKUP($G8,'Sample Size cal and results'!$B$25:$B$26,'Sample Size cal and results'!$D$25:$D$26)</f>
        <v>26.868711973787455</v>
      </c>
      <c r="K8" s="131" t="s">
        <v>1445</v>
      </c>
      <c r="L8" s="52">
        <f t="shared" si="2"/>
        <v>0</v>
      </c>
      <c r="M8" s="52">
        <f t="shared" si="2"/>
        <v>8837</v>
      </c>
      <c r="N8" s="70">
        <f t="shared" si="4"/>
        <v>8974</v>
      </c>
      <c r="O8" s="52">
        <f t="shared" si="3"/>
        <v>0</v>
      </c>
      <c r="P8" s="52">
        <f t="shared" si="3"/>
        <v>8837</v>
      </c>
      <c r="Q8" s="132">
        <f t="shared" si="5"/>
        <v>8794</v>
      </c>
      <c r="R8" s="189"/>
      <c r="S8" s="218"/>
      <c r="W8" s="126" t="s">
        <v>1448</v>
      </c>
      <c r="X8" s="127">
        <v>41866</v>
      </c>
    </row>
    <row r="9" spans="1:24" ht="13">
      <c r="A9" s="131" t="s">
        <v>1441</v>
      </c>
      <c r="B9" s="53">
        <v>41737</v>
      </c>
      <c r="C9" s="52">
        <v>32</v>
      </c>
      <c r="D9" s="72" t="str">
        <f>IF(DATEDIF($B9,'Inst summary and ER calculation'!$T$6,"y")=1,"1-2 years","2-3 years")</f>
        <v>2-3 years</v>
      </c>
      <c r="E9" s="69">
        <f t="shared" si="0"/>
        <v>0.99726775956284153</v>
      </c>
      <c r="F9" s="69">
        <f>$C9*E9*_xlfn.XLOOKUP($D9,'Sample Size cal and results'!$B$23:$B$24,'Sample Size cal and results'!$D$23:$D$24)</f>
        <v>32.49783629443251</v>
      </c>
      <c r="G9" s="72" t="str">
        <f>IF(DATEDIF($B9,'Inst summary and ER calculation'!$U$6,"y")=2,"2-3 years","3-4 years")</f>
        <v>3-4 years</v>
      </c>
      <c r="H9" s="69">
        <f t="shared" si="1"/>
        <v>1</v>
      </c>
      <c r="I9" s="142">
        <f>$C9*H9*_xlfn.XLOOKUP($G9,'Sample Size cal and results'!$B$25:$B$26,'Sample Size cal and results'!$D$25:$D$26)</f>
        <v>31.844399376340689</v>
      </c>
      <c r="K9" s="131" t="s">
        <v>1446</v>
      </c>
      <c r="L9" s="52">
        <f t="shared" si="2"/>
        <v>0</v>
      </c>
      <c r="M9" s="52">
        <f t="shared" si="2"/>
        <v>8656</v>
      </c>
      <c r="N9" s="70">
        <f t="shared" si="4"/>
        <v>8790</v>
      </c>
      <c r="O9" s="52">
        <f t="shared" si="3"/>
        <v>0</v>
      </c>
      <c r="P9" s="52">
        <f t="shared" si="3"/>
        <v>8656</v>
      </c>
      <c r="Q9" s="132">
        <f t="shared" si="5"/>
        <v>8613</v>
      </c>
      <c r="R9" s="189"/>
      <c r="W9" s="126" t="s">
        <v>1449</v>
      </c>
      <c r="X9" s="127">
        <v>41878</v>
      </c>
    </row>
    <row r="10" spans="1:24" ht="13">
      <c r="A10" s="131" t="s">
        <v>1441</v>
      </c>
      <c r="B10" s="53">
        <v>41738</v>
      </c>
      <c r="C10" s="52">
        <v>83</v>
      </c>
      <c r="D10" s="72" t="str">
        <f>IF(DATEDIF($B10,'Inst summary and ER calculation'!$T$6,"y")=1,"1-2 years","2-3 years")</f>
        <v>2-3 years</v>
      </c>
      <c r="E10" s="69">
        <f t="shared" si="0"/>
        <v>0.99726775956284153</v>
      </c>
      <c r="F10" s="69">
        <f>$C10*E10*_xlfn.XLOOKUP($D10,'Sample Size cal and results'!$B$23:$B$24,'Sample Size cal and results'!$D$23:$D$24)</f>
        <v>84.291262888684315</v>
      </c>
      <c r="G10" s="72" t="str">
        <f>IF(DATEDIF($B10,'Inst summary and ER calculation'!$U$6,"y")=2,"2-3 years","3-4 years")</f>
        <v>3-4 years</v>
      </c>
      <c r="H10" s="69">
        <f t="shared" si="1"/>
        <v>1</v>
      </c>
      <c r="I10" s="142">
        <f>$C10*H10*_xlfn.XLOOKUP($G10,'Sample Size cal and results'!$B$25:$B$26,'Sample Size cal and results'!$D$25:$D$26)</f>
        <v>82.596410882383665</v>
      </c>
      <c r="K10" s="131" t="s">
        <v>1447</v>
      </c>
      <c r="L10" s="52">
        <f t="shared" si="2"/>
        <v>0</v>
      </c>
      <c r="M10" s="52">
        <f t="shared" si="2"/>
        <v>3425</v>
      </c>
      <c r="N10" s="70">
        <f t="shared" si="4"/>
        <v>2025</v>
      </c>
      <c r="O10" s="52">
        <f t="shared" si="3"/>
        <v>0</v>
      </c>
      <c r="P10" s="52">
        <f t="shared" si="3"/>
        <v>3425</v>
      </c>
      <c r="Q10" s="132">
        <f t="shared" si="5"/>
        <v>3408</v>
      </c>
      <c r="R10" s="189"/>
      <c r="W10" s="126" t="s">
        <v>127</v>
      </c>
      <c r="X10" s="127">
        <v>41897</v>
      </c>
    </row>
    <row r="11" spans="1:24" ht="13">
      <c r="A11" s="131" t="s">
        <v>1441</v>
      </c>
      <c r="B11" s="53">
        <v>41739</v>
      </c>
      <c r="C11" s="52">
        <v>42</v>
      </c>
      <c r="D11" s="72" t="str">
        <f>IF(DATEDIF($B11,'Inst summary and ER calculation'!$T$6,"y")=1,"1-2 years","2-3 years")</f>
        <v>2-3 years</v>
      </c>
      <c r="E11" s="69">
        <f t="shared" si="0"/>
        <v>0.99726775956284153</v>
      </c>
      <c r="F11" s="69">
        <f>$C11*E11*_xlfn.XLOOKUP($D11,'Sample Size cal and results'!$B$23:$B$24,'Sample Size cal and results'!$D$23:$D$24)</f>
        <v>42.653410136442666</v>
      </c>
      <c r="G11" s="72" t="str">
        <f>IF(DATEDIF($B11,'Inst summary and ER calculation'!$U$6,"y")=2,"2-3 years","3-4 years")</f>
        <v>3-4 years</v>
      </c>
      <c r="H11" s="69">
        <f t="shared" si="1"/>
        <v>1</v>
      </c>
      <c r="I11" s="142">
        <f>$C11*H11*_xlfn.XLOOKUP($G11,'Sample Size cal and results'!$B$25:$B$26,'Sample Size cal and results'!$D$25:$D$26)</f>
        <v>41.795774181447158</v>
      </c>
      <c r="K11" s="131" t="s">
        <v>1448</v>
      </c>
      <c r="L11" s="52">
        <f t="shared" si="2"/>
        <v>0</v>
      </c>
      <c r="M11" s="52">
        <f t="shared" si="2"/>
        <v>4354</v>
      </c>
      <c r="N11" s="70">
        <f t="shared" si="4"/>
        <v>2575</v>
      </c>
      <c r="O11" s="52">
        <f t="shared" si="3"/>
        <v>0</v>
      </c>
      <c r="P11" s="52">
        <f t="shared" si="3"/>
        <v>4354</v>
      </c>
      <c r="Q11" s="132">
        <f t="shared" si="5"/>
        <v>4332</v>
      </c>
      <c r="R11" s="189"/>
      <c r="W11" s="126" t="s">
        <v>128</v>
      </c>
      <c r="X11" s="127">
        <v>41909</v>
      </c>
    </row>
    <row r="12" spans="1:24" ht="13">
      <c r="A12" s="131" t="s">
        <v>1441</v>
      </c>
      <c r="B12" s="53">
        <v>41740</v>
      </c>
      <c r="C12" s="52">
        <v>60</v>
      </c>
      <c r="D12" s="72" t="str">
        <f>IF(DATEDIF($B12,'Inst summary and ER calculation'!$T$6,"y")=1,"1-2 years","2-3 years")</f>
        <v>2-3 years</v>
      </c>
      <c r="E12" s="69">
        <f t="shared" si="0"/>
        <v>0.99726775956284153</v>
      </c>
      <c r="F12" s="69">
        <f>$C12*E12*_xlfn.XLOOKUP($D12,'Sample Size cal and results'!$B$23:$B$24,'Sample Size cal and results'!$D$23:$D$24)</f>
        <v>60.933443052060952</v>
      </c>
      <c r="G12" s="72" t="str">
        <f>IF(DATEDIF($B12,'Inst summary and ER calculation'!$U$6,"y")=2,"2-3 years","3-4 years")</f>
        <v>3-4 years</v>
      </c>
      <c r="H12" s="69">
        <f t="shared" si="1"/>
        <v>1</v>
      </c>
      <c r="I12" s="142">
        <f>$C12*H12*_xlfn.XLOOKUP($G12,'Sample Size cal and results'!$B$25:$B$26,'Sample Size cal and results'!$D$25:$D$26)</f>
        <v>59.708248830638794</v>
      </c>
      <c r="K12" s="131" t="s">
        <v>1449</v>
      </c>
      <c r="L12" s="52">
        <f t="shared" si="2"/>
        <v>0</v>
      </c>
      <c r="M12" s="52">
        <f t="shared" si="2"/>
        <v>2943</v>
      </c>
      <c r="N12" s="70">
        <f t="shared" si="4"/>
        <v>1740</v>
      </c>
      <c r="O12" s="52">
        <f t="shared" si="3"/>
        <v>0</v>
      </c>
      <c r="P12" s="52">
        <f t="shared" si="3"/>
        <v>2943</v>
      </c>
      <c r="Q12" s="132">
        <f t="shared" si="5"/>
        <v>2928</v>
      </c>
      <c r="R12" s="189"/>
      <c r="W12" s="126" t="s">
        <v>129</v>
      </c>
      <c r="X12" s="127">
        <v>41920</v>
      </c>
    </row>
    <row r="13" spans="1:24" ht="13">
      <c r="A13" s="131" t="s">
        <v>1441</v>
      </c>
      <c r="B13" s="53">
        <v>41741</v>
      </c>
      <c r="C13" s="52">
        <v>41</v>
      </c>
      <c r="D13" s="72" t="str">
        <f>IF(DATEDIF($B13,'Inst summary and ER calculation'!$T$6,"y")=1,"1-2 years","2-3 years")</f>
        <v>2-3 years</v>
      </c>
      <c r="E13" s="69">
        <f t="shared" si="0"/>
        <v>0.99726775956284153</v>
      </c>
      <c r="F13" s="69">
        <f>$C13*E13*_xlfn.XLOOKUP($D13,'Sample Size cal and results'!$B$23:$B$24,'Sample Size cal and results'!$D$23:$D$24)</f>
        <v>41.637852752241656</v>
      </c>
      <c r="G13" s="72" t="str">
        <f>IF(DATEDIF($B13,'Inst summary and ER calculation'!$U$6,"y")=2,"2-3 years","3-4 years")</f>
        <v>3-4 years</v>
      </c>
      <c r="H13" s="69">
        <f t="shared" si="1"/>
        <v>1</v>
      </c>
      <c r="I13" s="142">
        <f>$C13*H13*_xlfn.XLOOKUP($G13,'Sample Size cal and results'!$B$25:$B$26,'Sample Size cal and results'!$D$25:$D$26)</f>
        <v>40.800636700936508</v>
      </c>
      <c r="K13" s="131" t="s">
        <v>127</v>
      </c>
      <c r="L13" s="52">
        <f t="shared" si="2"/>
        <v>0</v>
      </c>
      <c r="M13" s="52">
        <f t="shared" si="2"/>
        <v>3424</v>
      </c>
      <c r="N13" s="70">
        <f t="shared" si="4"/>
        <v>2025</v>
      </c>
      <c r="O13" s="52">
        <f t="shared" si="3"/>
        <v>0</v>
      </c>
      <c r="P13" s="52">
        <f t="shared" si="3"/>
        <v>3424</v>
      </c>
      <c r="Q13" s="132">
        <f t="shared" si="5"/>
        <v>3407</v>
      </c>
      <c r="R13" s="189"/>
      <c r="W13" s="126" t="s">
        <v>130</v>
      </c>
      <c r="X13" s="127">
        <v>41933</v>
      </c>
    </row>
    <row r="14" spans="1:24" ht="13">
      <c r="A14" s="131" t="s">
        <v>1441</v>
      </c>
      <c r="B14" s="53">
        <v>41742</v>
      </c>
      <c r="C14" s="52">
        <v>41</v>
      </c>
      <c r="D14" s="72" t="str">
        <f>IF(DATEDIF($B14,'Inst summary and ER calculation'!$T$6,"y")=1,"1-2 years","2-3 years")</f>
        <v>2-3 years</v>
      </c>
      <c r="E14" s="69">
        <f t="shared" si="0"/>
        <v>0.99726775956284153</v>
      </c>
      <c r="F14" s="69">
        <f>$C14*E14*_xlfn.XLOOKUP($D14,'Sample Size cal and results'!$B$23:$B$24,'Sample Size cal and results'!$D$23:$D$24)</f>
        <v>41.637852752241656</v>
      </c>
      <c r="G14" s="72" t="str">
        <f>IF(DATEDIF($B14,'Inst summary and ER calculation'!$U$6,"y")=2,"2-3 years","3-4 years")</f>
        <v>3-4 years</v>
      </c>
      <c r="H14" s="69">
        <f t="shared" si="1"/>
        <v>1</v>
      </c>
      <c r="I14" s="142">
        <f>$C14*H14*_xlfn.XLOOKUP($G14,'Sample Size cal and results'!$B$25:$B$26,'Sample Size cal and results'!$D$25:$D$26)</f>
        <v>40.800636700936508</v>
      </c>
      <c r="K14" s="131" t="s">
        <v>128</v>
      </c>
      <c r="L14" s="52">
        <f t="shared" si="2"/>
        <v>0</v>
      </c>
      <c r="M14" s="52">
        <f t="shared" si="2"/>
        <v>2350</v>
      </c>
      <c r="N14" s="70">
        <f t="shared" si="4"/>
        <v>1389</v>
      </c>
      <c r="O14" s="52">
        <f t="shared" si="3"/>
        <v>0</v>
      </c>
      <c r="P14" s="52">
        <f t="shared" si="3"/>
        <v>2350</v>
      </c>
      <c r="Q14" s="132">
        <f t="shared" si="5"/>
        <v>2338</v>
      </c>
      <c r="R14" s="189"/>
      <c r="W14" s="126" t="s">
        <v>131</v>
      </c>
      <c r="X14" s="127">
        <v>41945</v>
      </c>
    </row>
    <row r="15" spans="1:24" ht="13">
      <c r="A15" s="131" t="s">
        <v>1441</v>
      </c>
      <c r="B15" s="53">
        <v>41743</v>
      </c>
      <c r="C15" s="52">
        <v>25</v>
      </c>
      <c r="D15" s="72" t="str">
        <f>IF(DATEDIF($B15,'Inst summary and ER calculation'!$T$6,"y")=1,"1-2 years","2-3 years")</f>
        <v>2-3 years</v>
      </c>
      <c r="E15" s="69">
        <f t="shared" si="0"/>
        <v>0.99726775956284153</v>
      </c>
      <c r="F15" s="69">
        <f>$C15*E15*_xlfn.XLOOKUP($D15,'Sample Size cal and results'!$B$23:$B$24,'Sample Size cal and results'!$D$23:$D$24)</f>
        <v>25.388934605025398</v>
      </c>
      <c r="G15" s="72" t="str">
        <f>IF(DATEDIF($B15,'Inst summary and ER calculation'!$U$6,"y")=2,"2-3 years","3-4 years")</f>
        <v>3-4 years</v>
      </c>
      <c r="H15" s="69">
        <f t="shared" si="1"/>
        <v>1</v>
      </c>
      <c r="I15" s="142">
        <f>$C15*H15*_xlfn.XLOOKUP($G15,'Sample Size cal and results'!$B$25:$B$26,'Sample Size cal and results'!$D$25:$D$26)</f>
        <v>24.878437012766163</v>
      </c>
      <c r="K15" s="131" t="s">
        <v>129</v>
      </c>
      <c r="L15" s="52">
        <f t="shared" si="2"/>
        <v>0</v>
      </c>
      <c r="M15" s="52">
        <f t="shared" si="2"/>
        <v>4507</v>
      </c>
      <c r="N15" s="70">
        <f t="shared" si="4"/>
        <v>2665</v>
      </c>
      <c r="O15" s="52">
        <f t="shared" si="3"/>
        <v>0</v>
      </c>
      <c r="P15" s="52">
        <f t="shared" si="3"/>
        <v>4507</v>
      </c>
      <c r="Q15" s="132">
        <f t="shared" si="5"/>
        <v>4485</v>
      </c>
      <c r="R15" s="189"/>
      <c r="W15" s="126" t="s">
        <v>132</v>
      </c>
      <c r="X15" s="127">
        <v>41958</v>
      </c>
    </row>
    <row r="16" spans="1:24" ht="13">
      <c r="A16" s="131" t="s">
        <v>1441</v>
      </c>
      <c r="B16" s="53">
        <v>41744</v>
      </c>
      <c r="C16" s="52">
        <v>731</v>
      </c>
      <c r="D16" s="72" t="str">
        <f>IF(DATEDIF($B16,'Inst summary and ER calculation'!$T$6,"y")=1,"1-2 years","2-3 years")</f>
        <v>2-3 years</v>
      </c>
      <c r="E16" s="69">
        <f t="shared" si="0"/>
        <v>0.99726775956284153</v>
      </c>
      <c r="F16" s="69">
        <f>$C16*E16*_xlfn.XLOOKUP($D16,'Sample Size cal and results'!$B$23:$B$24,'Sample Size cal and results'!$D$23:$D$24)</f>
        <v>742.37244785094254</v>
      </c>
      <c r="G16" s="72" t="str">
        <f>IF(DATEDIF($B16,'Inst summary and ER calculation'!$U$6,"y")=2,"2-3 years","3-4 years")</f>
        <v>3-4 years</v>
      </c>
      <c r="H16" s="69">
        <f t="shared" si="1"/>
        <v>1</v>
      </c>
      <c r="I16" s="142">
        <f>$C16*H16*_xlfn.XLOOKUP($G16,'Sample Size cal and results'!$B$25:$B$26,'Sample Size cal and results'!$D$25:$D$26)</f>
        <v>727.44549825328261</v>
      </c>
      <c r="K16" s="131" t="s">
        <v>130</v>
      </c>
      <c r="L16" s="52">
        <f t="shared" si="2"/>
        <v>0</v>
      </c>
      <c r="M16" s="52">
        <f t="shared" si="2"/>
        <v>3744</v>
      </c>
      <c r="N16" s="70">
        <f t="shared" si="4"/>
        <v>2214</v>
      </c>
      <c r="O16" s="52">
        <f t="shared" si="3"/>
        <v>0</v>
      </c>
      <c r="P16" s="52">
        <f t="shared" si="3"/>
        <v>3744</v>
      </c>
      <c r="Q16" s="132">
        <f t="shared" si="5"/>
        <v>3725</v>
      </c>
      <c r="R16" s="189"/>
      <c r="W16" s="126" t="s">
        <v>133</v>
      </c>
      <c r="X16" s="127">
        <v>41969</v>
      </c>
    </row>
    <row r="17" spans="1:24" ht="13">
      <c r="A17" s="131" t="s">
        <v>1441</v>
      </c>
      <c r="B17" s="53">
        <v>41745</v>
      </c>
      <c r="C17" s="52">
        <v>41</v>
      </c>
      <c r="D17" s="72" t="str">
        <f>IF(DATEDIF($B17,'Inst summary and ER calculation'!$T$6,"y")=1,"1-2 years","2-3 years")</f>
        <v>2-3 years</v>
      </c>
      <c r="E17" s="69">
        <f t="shared" si="0"/>
        <v>0.99726775956284153</v>
      </c>
      <c r="F17" s="69">
        <f>$C17*E17*_xlfn.XLOOKUP($D17,'Sample Size cal and results'!$B$23:$B$24,'Sample Size cal and results'!$D$23:$D$24)</f>
        <v>41.637852752241656</v>
      </c>
      <c r="G17" s="72" t="str">
        <f>IF(DATEDIF($B17,'Inst summary and ER calculation'!$U$6,"y")=2,"2-3 years","3-4 years")</f>
        <v>3-4 years</v>
      </c>
      <c r="H17" s="69">
        <f t="shared" si="1"/>
        <v>1</v>
      </c>
      <c r="I17" s="142">
        <f>$C17*H17*_xlfn.XLOOKUP($G17,'Sample Size cal and results'!$B$25:$B$26,'Sample Size cal and results'!$D$25:$D$26)</f>
        <v>40.800636700936508</v>
      </c>
      <c r="K17" s="131" t="s">
        <v>131</v>
      </c>
      <c r="L17" s="52">
        <f t="shared" si="2"/>
        <v>0</v>
      </c>
      <c r="M17" s="52">
        <f t="shared" si="2"/>
        <v>6266</v>
      </c>
      <c r="N17" s="70">
        <f t="shared" si="4"/>
        <v>3706</v>
      </c>
      <c r="O17" s="52">
        <f t="shared" si="3"/>
        <v>0</v>
      </c>
      <c r="P17" s="52">
        <f t="shared" si="3"/>
        <v>6266</v>
      </c>
      <c r="Q17" s="132">
        <f t="shared" si="5"/>
        <v>6235</v>
      </c>
      <c r="R17" s="189"/>
      <c r="W17" s="126" t="s">
        <v>134</v>
      </c>
      <c r="X17" s="127">
        <v>41977</v>
      </c>
    </row>
    <row r="18" spans="1:24" ht="13">
      <c r="A18" s="131" t="s">
        <v>1441</v>
      </c>
      <c r="B18" s="53">
        <v>41746</v>
      </c>
      <c r="C18" s="52">
        <v>31</v>
      </c>
      <c r="D18" s="72" t="str">
        <f>IF(DATEDIF($B18,'Inst summary and ER calculation'!$T$6,"y")=1,"1-2 years","2-3 years")</f>
        <v>2-3 years</v>
      </c>
      <c r="E18" s="69">
        <f t="shared" si="0"/>
        <v>0.99726775956284153</v>
      </c>
      <c r="F18" s="69">
        <f>$C18*E18*_xlfn.XLOOKUP($D18,'Sample Size cal and results'!$B$23:$B$24,'Sample Size cal and results'!$D$23:$D$24)</f>
        <v>31.482278910231493</v>
      </c>
      <c r="G18" s="72" t="str">
        <f>IF(DATEDIF($B18,'Inst summary and ER calculation'!$U$6,"y")=2,"2-3 years","3-4 years")</f>
        <v>3-4 years</v>
      </c>
      <c r="H18" s="69">
        <f t="shared" si="1"/>
        <v>1</v>
      </c>
      <c r="I18" s="142">
        <f>$C18*H18*_xlfn.XLOOKUP($G18,'Sample Size cal and results'!$B$25:$B$26,'Sample Size cal and results'!$D$25:$D$26)</f>
        <v>30.849261895830043</v>
      </c>
      <c r="K18" s="131" t="s">
        <v>132</v>
      </c>
      <c r="L18" s="52">
        <f t="shared" si="2"/>
        <v>0</v>
      </c>
      <c r="M18" s="52">
        <f t="shared" si="2"/>
        <v>3882</v>
      </c>
      <c r="N18" s="70">
        <f t="shared" si="4"/>
        <v>2296</v>
      </c>
      <c r="O18" s="52">
        <f t="shared" si="3"/>
        <v>0</v>
      </c>
      <c r="P18" s="52">
        <f t="shared" si="3"/>
        <v>3882</v>
      </c>
      <c r="Q18" s="132">
        <f t="shared" si="5"/>
        <v>3863</v>
      </c>
      <c r="R18" s="189"/>
      <c r="W18" s="126" t="s">
        <v>135</v>
      </c>
      <c r="X18" s="127">
        <v>41988</v>
      </c>
    </row>
    <row r="19" spans="1:24" ht="13">
      <c r="A19" s="131" t="s">
        <v>1441</v>
      </c>
      <c r="B19" s="53">
        <v>41747</v>
      </c>
      <c r="C19" s="52">
        <v>31</v>
      </c>
      <c r="D19" s="72" t="str">
        <f>IF(DATEDIF($B19,'Inst summary and ER calculation'!$T$6,"y")=1,"1-2 years","2-3 years")</f>
        <v>2-3 years</v>
      </c>
      <c r="E19" s="69">
        <f t="shared" si="0"/>
        <v>0.99726775956284153</v>
      </c>
      <c r="F19" s="69">
        <f>$C19*E19*_xlfn.XLOOKUP($D19,'Sample Size cal and results'!$B$23:$B$24,'Sample Size cal and results'!$D$23:$D$24)</f>
        <v>31.482278910231493</v>
      </c>
      <c r="G19" s="72" t="str">
        <f>IF(DATEDIF($B19,'Inst summary and ER calculation'!$U$6,"y")=2,"2-3 years","3-4 years")</f>
        <v>3-4 years</v>
      </c>
      <c r="H19" s="69">
        <f t="shared" si="1"/>
        <v>1</v>
      </c>
      <c r="I19" s="142">
        <f>$C19*H19*_xlfn.XLOOKUP($G19,'Sample Size cal and results'!$B$25:$B$26,'Sample Size cal and results'!$D$25:$D$26)</f>
        <v>30.849261895830043</v>
      </c>
      <c r="K19" s="131" t="s">
        <v>133</v>
      </c>
      <c r="L19" s="52">
        <f t="shared" si="2"/>
        <v>0</v>
      </c>
      <c r="M19" s="52">
        <f t="shared" si="2"/>
        <v>3082</v>
      </c>
      <c r="N19" s="70">
        <f t="shared" si="4"/>
        <v>1822</v>
      </c>
      <c r="O19" s="52">
        <f t="shared" si="3"/>
        <v>0</v>
      </c>
      <c r="P19" s="52">
        <f t="shared" si="3"/>
        <v>3082</v>
      </c>
      <c r="Q19" s="132">
        <f t="shared" si="5"/>
        <v>3067</v>
      </c>
      <c r="R19" s="189"/>
      <c r="W19" s="126" t="s">
        <v>136</v>
      </c>
      <c r="X19" s="127">
        <v>41992</v>
      </c>
    </row>
    <row r="20" spans="1:24" ht="13">
      <c r="A20" s="131" t="s">
        <v>1441</v>
      </c>
      <c r="B20" s="53">
        <v>41748</v>
      </c>
      <c r="C20" s="52">
        <v>28</v>
      </c>
      <c r="D20" s="72" t="str">
        <f>IF(DATEDIF($B20,'Inst summary and ER calculation'!$T$6,"y")=1,"1-2 years","2-3 years")</f>
        <v>2-3 years</v>
      </c>
      <c r="E20" s="69">
        <f t="shared" si="0"/>
        <v>0.99726775956284153</v>
      </c>
      <c r="F20" s="69">
        <f>$C20*E20*_xlfn.XLOOKUP($D20,'Sample Size cal and results'!$B$23:$B$24,'Sample Size cal and results'!$D$23:$D$24)</f>
        <v>28.435606757628442</v>
      </c>
      <c r="G20" s="72" t="str">
        <f>IF(DATEDIF($B20,'Inst summary and ER calculation'!$U$6,"y")=2,"2-3 years","3-4 years")</f>
        <v>3-4 years</v>
      </c>
      <c r="H20" s="69">
        <f t="shared" si="1"/>
        <v>1</v>
      </c>
      <c r="I20" s="142">
        <f>$C20*H20*_xlfn.XLOOKUP($G20,'Sample Size cal and results'!$B$25:$B$26,'Sample Size cal and results'!$D$25:$D$26)</f>
        <v>27.863849454298105</v>
      </c>
      <c r="K20" s="131" t="s">
        <v>134</v>
      </c>
      <c r="L20" s="52">
        <f t="shared" si="2"/>
        <v>0</v>
      </c>
      <c r="M20" s="52">
        <f t="shared" si="2"/>
        <v>4705</v>
      </c>
      <c r="N20" s="70">
        <f t="shared" si="4"/>
        <v>2782</v>
      </c>
      <c r="O20" s="52">
        <f t="shared" si="3"/>
        <v>0</v>
      </c>
      <c r="P20" s="52">
        <f t="shared" si="3"/>
        <v>4705</v>
      </c>
      <c r="Q20" s="132">
        <f t="shared" si="5"/>
        <v>4682</v>
      </c>
      <c r="R20" s="189"/>
      <c r="W20" s="126" t="s">
        <v>137</v>
      </c>
      <c r="X20" s="127">
        <v>42001</v>
      </c>
    </row>
    <row r="21" spans="1:24" ht="13">
      <c r="A21" s="131" t="s">
        <v>1441</v>
      </c>
      <c r="B21" s="53">
        <v>41749</v>
      </c>
      <c r="C21" s="52">
        <v>46</v>
      </c>
      <c r="D21" s="72" t="str">
        <f>IF(DATEDIF($B21,'Inst summary and ER calculation'!$T$6,"y")=1,"1-2 years","2-3 years")</f>
        <v>2-3 years</v>
      </c>
      <c r="E21" s="69">
        <f t="shared" si="0"/>
        <v>0.99726775956284153</v>
      </c>
      <c r="F21" s="69">
        <f>$C21*E21*_xlfn.XLOOKUP($D21,'Sample Size cal and results'!$B$23:$B$24,'Sample Size cal and results'!$D$23:$D$24)</f>
        <v>46.715639673246734</v>
      </c>
      <c r="G21" s="72" t="str">
        <f>IF(DATEDIF($B21,'Inst summary and ER calculation'!$U$6,"y")=2,"2-3 years","3-4 years")</f>
        <v>3-4 years</v>
      </c>
      <c r="H21" s="69">
        <f t="shared" si="1"/>
        <v>1</v>
      </c>
      <c r="I21" s="142">
        <f>$C21*H21*_xlfn.XLOOKUP($G21,'Sample Size cal and results'!$B$25:$B$26,'Sample Size cal and results'!$D$25:$D$26)</f>
        <v>45.776324103489742</v>
      </c>
      <c r="K21" s="131" t="s">
        <v>135</v>
      </c>
      <c r="L21" s="52">
        <f t="shared" si="2"/>
        <v>0</v>
      </c>
      <c r="M21" s="52">
        <f t="shared" si="2"/>
        <v>2843</v>
      </c>
      <c r="N21" s="70">
        <f t="shared" si="4"/>
        <v>1681</v>
      </c>
      <c r="O21" s="52">
        <f t="shared" si="3"/>
        <v>0</v>
      </c>
      <c r="P21" s="52">
        <f t="shared" si="3"/>
        <v>2843</v>
      </c>
      <c r="Q21" s="132">
        <f t="shared" si="5"/>
        <v>2829</v>
      </c>
      <c r="R21" s="189"/>
      <c r="W21" s="126" t="s">
        <v>138</v>
      </c>
      <c r="X21" s="128">
        <v>42011</v>
      </c>
    </row>
    <row r="22" spans="1:24" ht="13">
      <c r="A22" s="131" t="s">
        <v>1441</v>
      </c>
      <c r="B22" s="53">
        <v>41750</v>
      </c>
      <c r="C22" s="52">
        <v>30</v>
      </c>
      <c r="D22" s="72" t="str">
        <f>IF(DATEDIF($B22,'Inst summary and ER calculation'!$T$6,"y")=1,"1-2 years","2-3 years")</f>
        <v>2-3 years</v>
      </c>
      <c r="E22" s="69">
        <f t="shared" si="0"/>
        <v>0.99726775956284153</v>
      </c>
      <c r="F22" s="69">
        <f>$C22*E22*_xlfn.XLOOKUP($D22,'Sample Size cal and results'!$B$23:$B$24,'Sample Size cal and results'!$D$23:$D$24)</f>
        <v>30.466721526030476</v>
      </c>
      <c r="G22" s="72" t="str">
        <f>IF(DATEDIF($B22,'Inst summary and ER calculation'!$U$6,"y")=2,"2-3 years","3-4 years")</f>
        <v>3-4 years</v>
      </c>
      <c r="H22" s="69">
        <f t="shared" si="1"/>
        <v>1</v>
      </c>
      <c r="I22" s="142">
        <f>$C22*H22*_xlfn.XLOOKUP($G22,'Sample Size cal and results'!$B$25:$B$26,'Sample Size cal and results'!$D$25:$D$26)</f>
        <v>29.854124415319397</v>
      </c>
      <c r="K22" s="131" t="s">
        <v>136</v>
      </c>
      <c r="L22" s="52">
        <f t="shared" si="2"/>
        <v>0</v>
      </c>
      <c r="M22" s="52">
        <f t="shared" si="2"/>
        <v>4330</v>
      </c>
      <c r="N22" s="70">
        <f t="shared" si="4"/>
        <v>2561</v>
      </c>
      <c r="O22" s="52">
        <f t="shared" si="3"/>
        <v>0</v>
      </c>
      <c r="P22" s="52">
        <f t="shared" si="3"/>
        <v>4330</v>
      </c>
      <c r="Q22" s="132">
        <f t="shared" si="5"/>
        <v>4308</v>
      </c>
      <c r="R22" s="189"/>
      <c r="W22" s="126" t="s">
        <v>139</v>
      </c>
      <c r="X22" s="128">
        <v>42019</v>
      </c>
    </row>
    <row r="23" spans="1:24" ht="13">
      <c r="A23" s="131" t="s">
        <v>1441</v>
      </c>
      <c r="B23" s="53">
        <v>41751</v>
      </c>
      <c r="C23" s="52">
        <v>39</v>
      </c>
      <c r="D23" s="72" t="str">
        <f>IF(DATEDIF($B23,'Inst summary and ER calculation'!$T$6,"y")=1,"1-2 years","2-3 years")</f>
        <v>2-3 years</v>
      </c>
      <c r="E23" s="69">
        <f t="shared" si="0"/>
        <v>0.99726775956284153</v>
      </c>
      <c r="F23" s="69">
        <f>$C23*E23*_xlfn.XLOOKUP($D23,'Sample Size cal and results'!$B$23:$B$24,'Sample Size cal and results'!$D$23:$D$24)</f>
        <v>39.606737983839622</v>
      </c>
      <c r="G23" s="72" t="str">
        <f>IF(DATEDIF($B23,'Inst summary and ER calculation'!$U$6,"y")=2,"2-3 years","3-4 years")</f>
        <v>3-4 years</v>
      </c>
      <c r="H23" s="69">
        <f t="shared" si="1"/>
        <v>1</v>
      </c>
      <c r="I23" s="142">
        <f>$C23*H23*_xlfn.XLOOKUP($G23,'Sample Size cal and results'!$B$25:$B$26,'Sample Size cal and results'!$D$25:$D$26)</f>
        <v>38.810361739915216</v>
      </c>
      <c r="K23" s="131" t="s">
        <v>137</v>
      </c>
      <c r="L23" s="52">
        <f t="shared" si="2"/>
        <v>0</v>
      </c>
      <c r="M23" s="52">
        <f t="shared" si="2"/>
        <v>3801</v>
      </c>
      <c r="N23" s="70">
        <f t="shared" si="4"/>
        <v>2248</v>
      </c>
      <c r="O23" s="52">
        <f t="shared" si="3"/>
        <v>0</v>
      </c>
      <c r="P23" s="52">
        <f t="shared" si="3"/>
        <v>3801</v>
      </c>
      <c r="Q23" s="132">
        <f t="shared" si="5"/>
        <v>3782</v>
      </c>
      <c r="R23" s="189"/>
      <c r="W23" s="126" t="s">
        <v>140</v>
      </c>
      <c r="X23" s="128">
        <v>42028</v>
      </c>
    </row>
    <row r="24" spans="1:24" ht="13">
      <c r="A24" s="131" t="s">
        <v>1441</v>
      </c>
      <c r="B24" s="53">
        <v>41752</v>
      </c>
      <c r="C24" s="52">
        <v>23</v>
      </c>
      <c r="D24" s="72" t="str">
        <f>IF(DATEDIF($B24,'Inst summary and ER calculation'!$T$6,"y")=1,"1-2 years","2-3 years")</f>
        <v>2-3 years</v>
      </c>
      <c r="E24" s="69">
        <f t="shared" si="0"/>
        <v>0.99726775956284153</v>
      </c>
      <c r="F24" s="69">
        <f>$C24*E24*_xlfn.XLOOKUP($D24,'Sample Size cal and results'!$B$23:$B$24,'Sample Size cal and results'!$D$23:$D$24)</f>
        <v>23.357819836623367</v>
      </c>
      <c r="G24" s="72" t="str">
        <f>IF(DATEDIF($B24,'Inst summary and ER calculation'!$U$6,"y")=2,"2-3 years","3-4 years")</f>
        <v>3-4 years</v>
      </c>
      <c r="H24" s="69">
        <f t="shared" si="1"/>
        <v>1</v>
      </c>
      <c r="I24" s="142">
        <f>$C24*H24*_xlfn.XLOOKUP($G24,'Sample Size cal and results'!$B$25:$B$26,'Sample Size cal and results'!$D$25:$D$26)</f>
        <v>22.888162051744871</v>
      </c>
      <c r="K24" s="131" t="s">
        <v>138</v>
      </c>
      <c r="L24" s="52">
        <f t="shared" ref="L24:M39" si="6">SUMIFS($C$2:$C$903,$A$2:$A$903,$K24,$D$2:$D$903,L$3)</f>
        <v>0</v>
      </c>
      <c r="M24" s="52">
        <f t="shared" si="6"/>
        <v>7622</v>
      </c>
      <c r="N24" s="70">
        <f t="shared" si="4"/>
        <v>4508</v>
      </c>
      <c r="O24" s="52">
        <f t="shared" ref="O24:P39" si="7">SUMIFS($C$2:$C$903,$A$2:$A$903,$K24,$G$2:$G$903,O$3)</f>
        <v>0</v>
      </c>
      <c r="P24" s="52">
        <f t="shared" si="7"/>
        <v>7622</v>
      </c>
      <c r="Q24" s="132">
        <f t="shared" si="5"/>
        <v>7584</v>
      </c>
      <c r="R24" s="189"/>
      <c r="W24" s="126" t="s">
        <v>141</v>
      </c>
      <c r="X24" s="128">
        <v>42049</v>
      </c>
    </row>
    <row r="25" spans="1:24" ht="13">
      <c r="A25" s="131" t="s">
        <v>1441</v>
      </c>
      <c r="B25" s="53">
        <v>41753</v>
      </c>
      <c r="C25" s="52">
        <v>36</v>
      </c>
      <c r="D25" s="72" t="str">
        <f>IF(DATEDIF($B25,'Inst summary and ER calculation'!$T$6,"y")=1,"1-2 years","2-3 years")</f>
        <v>2-3 years</v>
      </c>
      <c r="E25" s="69">
        <f t="shared" si="0"/>
        <v>0.99726775956284153</v>
      </c>
      <c r="F25" s="69">
        <f>$C25*E25*_xlfn.XLOOKUP($D25,'Sample Size cal and results'!$B$23:$B$24,'Sample Size cal and results'!$D$23:$D$24)</f>
        <v>36.560065831236571</v>
      </c>
      <c r="G25" s="72" t="str">
        <f>IF(DATEDIF($B25,'Inst summary and ER calculation'!$U$6,"y")=2,"2-3 years","3-4 years")</f>
        <v>3-4 years</v>
      </c>
      <c r="H25" s="69">
        <f t="shared" si="1"/>
        <v>1</v>
      </c>
      <c r="I25" s="142">
        <f>$C25*H25*_xlfn.XLOOKUP($G25,'Sample Size cal and results'!$B$25:$B$26,'Sample Size cal and results'!$D$25:$D$26)</f>
        <v>35.824949298383274</v>
      </c>
      <c r="K25" s="131" t="s">
        <v>139</v>
      </c>
      <c r="L25" s="52">
        <f t="shared" si="6"/>
        <v>0</v>
      </c>
      <c r="M25" s="52">
        <f t="shared" si="6"/>
        <v>5332</v>
      </c>
      <c r="N25" s="70">
        <f t="shared" si="4"/>
        <v>3153</v>
      </c>
      <c r="O25" s="52">
        <f t="shared" si="7"/>
        <v>0</v>
      </c>
      <c r="P25" s="52">
        <f t="shared" si="7"/>
        <v>5332</v>
      </c>
      <c r="Q25" s="132">
        <f t="shared" si="5"/>
        <v>5306</v>
      </c>
      <c r="R25" s="189"/>
      <c r="W25" s="126" t="s">
        <v>142</v>
      </c>
      <c r="X25" s="128">
        <v>42056</v>
      </c>
    </row>
    <row r="26" spans="1:24" ht="13">
      <c r="A26" s="131" t="s">
        <v>1441</v>
      </c>
      <c r="B26" s="53">
        <v>41754</v>
      </c>
      <c r="C26" s="52">
        <v>42</v>
      </c>
      <c r="D26" s="72" t="str">
        <f>IF(DATEDIF($B26,'Inst summary and ER calculation'!$T$6,"y")=1,"1-2 years","2-3 years")</f>
        <v>2-3 years</v>
      </c>
      <c r="E26" s="69">
        <f t="shared" si="0"/>
        <v>0.99726775956284153</v>
      </c>
      <c r="F26" s="69">
        <f>$C26*E26*_xlfn.XLOOKUP($D26,'Sample Size cal and results'!$B$23:$B$24,'Sample Size cal and results'!$D$23:$D$24)</f>
        <v>42.653410136442666</v>
      </c>
      <c r="G26" s="72" t="str">
        <f>IF(DATEDIF($B26,'Inst summary and ER calculation'!$U$6,"y")=2,"2-3 years","3-4 years")</f>
        <v>3-4 years</v>
      </c>
      <c r="H26" s="69">
        <f t="shared" si="1"/>
        <v>1</v>
      </c>
      <c r="I26" s="142">
        <f>$C26*H26*_xlfn.XLOOKUP($G26,'Sample Size cal and results'!$B$25:$B$26,'Sample Size cal and results'!$D$25:$D$26)</f>
        <v>41.795774181447158</v>
      </c>
      <c r="K26" s="131" t="s">
        <v>140</v>
      </c>
      <c r="L26" s="52">
        <f t="shared" si="6"/>
        <v>0</v>
      </c>
      <c r="M26" s="52">
        <f t="shared" si="6"/>
        <v>5799</v>
      </c>
      <c r="N26" s="70">
        <f t="shared" si="4"/>
        <v>3429</v>
      </c>
      <c r="O26" s="52">
        <f t="shared" si="7"/>
        <v>0</v>
      </c>
      <c r="P26" s="52">
        <f t="shared" si="7"/>
        <v>5799</v>
      </c>
      <c r="Q26" s="132">
        <f t="shared" si="5"/>
        <v>5770</v>
      </c>
      <c r="R26" s="189"/>
      <c r="W26" s="126" t="s">
        <v>143</v>
      </c>
      <c r="X26" s="128">
        <v>42056</v>
      </c>
    </row>
    <row r="27" spans="1:24" ht="13">
      <c r="A27" s="131" t="s">
        <v>1441</v>
      </c>
      <c r="B27" s="53">
        <v>41755</v>
      </c>
      <c r="C27" s="52">
        <v>35</v>
      </c>
      <c r="D27" s="72" t="str">
        <f>IF(DATEDIF($B27,'Inst summary and ER calculation'!$T$6,"y")=1,"1-2 years","2-3 years")</f>
        <v>2-3 years</v>
      </c>
      <c r="E27" s="69">
        <f t="shared" si="0"/>
        <v>0.99726775956284153</v>
      </c>
      <c r="F27" s="69">
        <f>$C27*E27*_xlfn.XLOOKUP($D27,'Sample Size cal and results'!$B$23:$B$24,'Sample Size cal and results'!$D$23:$D$24)</f>
        <v>35.544508447035554</v>
      </c>
      <c r="G27" s="72" t="str">
        <f>IF(DATEDIF($B27,'Inst summary and ER calculation'!$U$6,"y")=2,"2-3 years","3-4 years")</f>
        <v>3-4 years</v>
      </c>
      <c r="H27" s="69">
        <f t="shared" si="1"/>
        <v>1</v>
      </c>
      <c r="I27" s="142">
        <f>$C27*H27*_xlfn.XLOOKUP($G27,'Sample Size cal and results'!$B$25:$B$26,'Sample Size cal and results'!$D$25:$D$26)</f>
        <v>34.829811817872631</v>
      </c>
      <c r="K27" s="131" t="s">
        <v>141</v>
      </c>
      <c r="L27" s="52">
        <f t="shared" si="6"/>
        <v>0</v>
      </c>
      <c r="M27" s="52">
        <f t="shared" si="6"/>
        <v>4793</v>
      </c>
      <c r="N27" s="70">
        <f t="shared" si="4"/>
        <v>2834</v>
      </c>
      <c r="O27" s="52">
        <f t="shared" si="7"/>
        <v>0</v>
      </c>
      <c r="P27" s="52">
        <f t="shared" si="7"/>
        <v>4793</v>
      </c>
      <c r="Q27" s="132">
        <f t="shared" si="5"/>
        <v>4769</v>
      </c>
      <c r="R27" s="189"/>
      <c r="W27" s="126" t="s">
        <v>144</v>
      </c>
      <c r="X27" s="128">
        <v>42078</v>
      </c>
    </row>
    <row r="28" spans="1:24" ht="13">
      <c r="A28" s="131" t="s">
        <v>1441</v>
      </c>
      <c r="B28" s="53">
        <v>41756</v>
      </c>
      <c r="C28" s="52">
        <v>44</v>
      </c>
      <c r="D28" s="72" t="str">
        <f>IF(DATEDIF($B28,'Inst summary and ER calculation'!$T$6,"y")=1,"1-2 years","2-3 years")</f>
        <v>2-3 years</v>
      </c>
      <c r="E28" s="69">
        <f t="shared" si="0"/>
        <v>0.99726775956284153</v>
      </c>
      <c r="F28" s="69">
        <f>$C28*E28*_xlfn.XLOOKUP($D28,'Sample Size cal and results'!$B$23:$B$24,'Sample Size cal and results'!$D$23:$D$24)</f>
        <v>44.6845249048447</v>
      </c>
      <c r="G28" s="72" t="str">
        <f>IF(DATEDIF($B28,'Inst summary and ER calculation'!$U$6,"y")=2,"2-3 years","3-4 years")</f>
        <v>3-4 years</v>
      </c>
      <c r="H28" s="69">
        <f t="shared" si="1"/>
        <v>1</v>
      </c>
      <c r="I28" s="142">
        <f>$C28*H28*_xlfn.XLOOKUP($G28,'Sample Size cal and results'!$B$25:$B$26,'Sample Size cal and results'!$D$25:$D$26)</f>
        <v>43.78604914246845</v>
      </c>
      <c r="K28" s="131" t="s">
        <v>142</v>
      </c>
      <c r="L28" s="52">
        <f t="shared" si="6"/>
        <v>0</v>
      </c>
      <c r="M28" s="52">
        <f t="shared" si="6"/>
        <v>619</v>
      </c>
      <c r="N28" s="70">
        <f t="shared" si="4"/>
        <v>366</v>
      </c>
      <c r="O28" s="52">
        <f t="shared" si="7"/>
        <v>0</v>
      </c>
      <c r="P28" s="52">
        <f t="shared" si="7"/>
        <v>619</v>
      </c>
      <c r="Q28" s="132">
        <f t="shared" si="5"/>
        <v>615</v>
      </c>
      <c r="R28" s="189"/>
      <c r="W28" s="126" t="s">
        <v>145</v>
      </c>
      <c r="X28" s="128">
        <v>42078</v>
      </c>
    </row>
    <row r="29" spans="1:24" ht="13">
      <c r="A29" s="131" t="s">
        <v>1441</v>
      </c>
      <c r="B29" s="53">
        <v>41757</v>
      </c>
      <c r="C29" s="52">
        <v>35</v>
      </c>
      <c r="D29" s="72" t="str">
        <f>IF(DATEDIF($B29,'Inst summary and ER calculation'!$T$6,"y")=1,"1-2 years","2-3 years")</f>
        <v>2-3 years</v>
      </c>
      <c r="E29" s="69">
        <f t="shared" si="0"/>
        <v>0.99726775956284153</v>
      </c>
      <c r="F29" s="69">
        <f>$C29*E29*_xlfn.XLOOKUP($D29,'Sample Size cal and results'!$B$23:$B$24,'Sample Size cal and results'!$D$23:$D$24)</f>
        <v>35.544508447035554</v>
      </c>
      <c r="G29" s="72" t="str">
        <f>IF(DATEDIF($B29,'Inst summary and ER calculation'!$U$6,"y")=2,"2-3 years","3-4 years")</f>
        <v>3-4 years</v>
      </c>
      <c r="H29" s="69">
        <f t="shared" si="1"/>
        <v>1</v>
      </c>
      <c r="I29" s="142">
        <f>$C29*H29*_xlfn.XLOOKUP($G29,'Sample Size cal and results'!$B$25:$B$26,'Sample Size cal and results'!$D$25:$D$26)</f>
        <v>34.829811817872631</v>
      </c>
      <c r="K29" s="131" t="s">
        <v>143</v>
      </c>
      <c r="L29" s="52">
        <f t="shared" si="6"/>
        <v>3573</v>
      </c>
      <c r="M29" s="52">
        <f t="shared" si="6"/>
        <v>2395</v>
      </c>
      <c r="N29" s="70">
        <f t="shared" si="4"/>
        <v>3583</v>
      </c>
      <c r="O29" s="52">
        <f t="shared" si="7"/>
        <v>3573</v>
      </c>
      <c r="P29" s="52">
        <f t="shared" si="7"/>
        <v>2395</v>
      </c>
      <c r="Q29" s="132">
        <f t="shared" si="5"/>
        <v>6020</v>
      </c>
      <c r="R29" s="189"/>
      <c r="W29" s="126" t="s">
        <v>146</v>
      </c>
      <c r="X29" s="128">
        <v>42087</v>
      </c>
    </row>
    <row r="30" spans="1:24" ht="13">
      <c r="A30" s="131" t="s">
        <v>1441</v>
      </c>
      <c r="B30" s="53">
        <v>41758</v>
      </c>
      <c r="C30" s="52">
        <v>34</v>
      </c>
      <c r="D30" s="72" t="str">
        <f>IF(DATEDIF($B30,'Inst summary and ER calculation'!$T$6,"y")=1,"1-2 years","2-3 years")</f>
        <v>2-3 years</v>
      </c>
      <c r="E30" s="69">
        <f t="shared" si="0"/>
        <v>0.99726775956284153</v>
      </c>
      <c r="F30" s="69">
        <f>$C30*E30*_xlfn.XLOOKUP($D30,'Sample Size cal and results'!$B$23:$B$24,'Sample Size cal and results'!$D$23:$D$24)</f>
        <v>34.528951062834537</v>
      </c>
      <c r="G30" s="72" t="str">
        <f>IF(DATEDIF($B30,'Inst summary and ER calculation'!$U$6,"y")=2,"2-3 years","3-4 years")</f>
        <v>3-4 years</v>
      </c>
      <c r="H30" s="69">
        <f t="shared" si="1"/>
        <v>1</v>
      </c>
      <c r="I30" s="142">
        <f>$C30*H30*_xlfn.XLOOKUP($G30,'Sample Size cal and results'!$B$25:$B$26,'Sample Size cal and results'!$D$25:$D$26)</f>
        <v>33.834674337361982</v>
      </c>
      <c r="K30" s="131" t="s">
        <v>144</v>
      </c>
      <c r="L30" s="52">
        <f t="shared" si="6"/>
        <v>1642</v>
      </c>
      <c r="M30" s="52">
        <f t="shared" si="6"/>
        <v>0</v>
      </c>
      <c r="N30" s="70">
        <f t="shared" si="4"/>
        <v>995</v>
      </c>
      <c r="O30" s="52">
        <f t="shared" si="7"/>
        <v>1642</v>
      </c>
      <c r="P30" s="52">
        <f t="shared" si="7"/>
        <v>0</v>
      </c>
      <c r="Q30" s="132">
        <f t="shared" si="5"/>
        <v>1671</v>
      </c>
      <c r="R30" s="189"/>
      <c r="W30" s="126" t="s">
        <v>147</v>
      </c>
      <c r="X30" s="128">
        <v>42109</v>
      </c>
    </row>
    <row r="31" spans="1:24" ht="13">
      <c r="A31" s="131" t="s">
        <v>1441</v>
      </c>
      <c r="B31" s="53">
        <v>41759</v>
      </c>
      <c r="C31" s="52">
        <v>69</v>
      </c>
      <c r="D31" s="72" t="str">
        <f>IF(DATEDIF($B31,'Inst summary and ER calculation'!$T$6,"y")=1,"1-2 years","2-3 years")</f>
        <v>2-3 years</v>
      </c>
      <c r="E31" s="69">
        <f t="shared" si="0"/>
        <v>0.99726775956284153</v>
      </c>
      <c r="F31" s="69">
        <f>$C31*E31*_xlfn.XLOOKUP($D31,'Sample Size cal and results'!$B$23:$B$24,'Sample Size cal and results'!$D$23:$D$24)</f>
        <v>70.073459509870091</v>
      </c>
      <c r="G31" s="72" t="str">
        <f>IF(DATEDIF($B31,'Inst summary and ER calculation'!$U$6,"y")=2,"2-3 years","3-4 years")</f>
        <v>3-4 years</v>
      </c>
      <c r="H31" s="69">
        <f t="shared" si="1"/>
        <v>1</v>
      </c>
      <c r="I31" s="142">
        <f>$C31*H31*_xlfn.XLOOKUP($G31,'Sample Size cal and results'!$B$25:$B$26,'Sample Size cal and results'!$D$25:$D$26)</f>
        <v>68.664486155234613</v>
      </c>
      <c r="K31" s="131" t="s">
        <v>145</v>
      </c>
      <c r="L31" s="52">
        <f t="shared" si="6"/>
        <v>3966</v>
      </c>
      <c r="M31" s="52">
        <f t="shared" si="6"/>
        <v>0</v>
      </c>
      <c r="N31" s="70">
        <f t="shared" si="4"/>
        <v>2405</v>
      </c>
      <c r="O31" s="52">
        <f t="shared" si="7"/>
        <v>3966</v>
      </c>
      <c r="P31" s="52">
        <f t="shared" si="7"/>
        <v>0</v>
      </c>
      <c r="Q31" s="132">
        <f t="shared" si="5"/>
        <v>4036</v>
      </c>
      <c r="R31" s="189"/>
      <c r="W31" s="126" t="s">
        <v>148</v>
      </c>
      <c r="X31" s="128">
        <v>42120</v>
      </c>
    </row>
    <row r="32" spans="1:24" ht="13">
      <c r="A32" s="131" t="s">
        <v>1441</v>
      </c>
      <c r="B32" s="53">
        <v>41760</v>
      </c>
      <c r="C32" s="52">
        <v>10</v>
      </c>
      <c r="D32" s="72" t="str">
        <f>IF(DATEDIF($B32,'Inst summary and ER calculation'!$T$6,"y")=1,"1-2 years","2-3 years")</f>
        <v>2-3 years</v>
      </c>
      <c r="E32" s="69">
        <f t="shared" si="0"/>
        <v>0.99726775956284153</v>
      </c>
      <c r="F32" s="69">
        <f>$C32*E32*_xlfn.XLOOKUP($D32,'Sample Size cal and results'!$B$23:$B$24,'Sample Size cal and results'!$D$23:$D$24)</f>
        <v>10.155573842010158</v>
      </c>
      <c r="G32" s="72" t="str">
        <f>IF(DATEDIF($B32,'Inst summary and ER calculation'!$U$6,"y")=2,"2-3 years","3-4 years")</f>
        <v>3-4 years</v>
      </c>
      <c r="H32" s="69">
        <f t="shared" si="1"/>
        <v>1</v>
      </c>
      <c r="I32" s="142">
        <f>$C32*H32*_xlfn.XLOOKUP($G32,'Sample Size cal and results'!$B$25:$B$26,'Sample Size cal and results'!$D$25:$D$26)</f>
        <v>9.9513748051064645</v>
      </c>
      <c r="K32" s="131" t="s">
        <v>146</v>
      </c>
      <c r="L32" s="52">
        <f t="shared" si="6"/>
        <v>8834</v>
      </c>
      <c r="M32" s="52">
        <f t="shared" si="6"/>
        <v>0</v>
      </c>
      <c r="N32" s="70">
        <f t="shared" si="4"/>
        <v>5357</v>
      </c>
      <c r="O32" s="52">
        <f t="shared" si="7"/>
        <v>8834</v>
      </c>
      <c r="P32" s="52">
        <f t="shared" si="7"/>
        <v>0</v>
      </c>
      <c r="Q32" s="132">
        <f t="shared" si="5"/>
        <v>8991</v>
      </c>
      <c r="R32" s="189"/>
      <c r="W32" s="126" t="s">
        <v>149</v>
      </c>
      <c r="X32" s="128">
        <v>42124</v>
      </c>
    </row>
    <row r="33" spans="1:24" ht="13">
      <c r="A33" s="131" t="s">
        <v>1441</v>
      </c>
      <c r="B33" s="53">
        <v>41761</v>
      </c>
      <c r="C33" s="52">
        <v>21</v>
      </c>
      <c r="D33" s="72" t="str">
        <f>IF(DATEDIF($B33,'Inst summary and ER calculation'!$T$6,"y")=1,"1-2 years","2-3 years")</f>
        <v>2-3 years</v>
      </c>
      <c r="E33" s="69">
        <f t="shared" si="0"/>
        <v>0.99726775956284153</v>
      </c>
      <c r="F33" s="69">
        <f>$C33*E33*_xlfn.XLOOKUP($D33,'Sample Size cal and results'!$B$23:$B$24,'Sample Size cal and results'!$D$23:$D$24)</f>
        <v>21.326705068221333</v>
      </c>
      <c r="G33" s="72" t="str">
        <f>IF(DATEDIF($B33,'Inst summary and ER calculation'!$U$6,"y")=2,"2-3 years","3-4 years")</f>
        <v>3-4 years</v>
      </c>
      <c r="H33" s="69">
        <f t="shared" si="1"/>
        <v>1</v>
      </c>
      <c r="I33" s="142">
        <f>$C33*H33*_xlfn.XLOOKUP($G33,'Sample Size cal and results'!$B$25:$B$26,'Sample Size cal and results'!$D$25:$D$26)</f>
        <v>20.897887090723579</v>
      </c>
      <c r="K33" s="131" t="s">
        <v>147</v>
      </c>
      <c r="L33" s="52">
        <f t="shared" si="6"/>
        <v>5211</v>
      </c>
      <c r="M33" s="52">
        <f t="shared" si="6"/>
        <v>0</v>
      </c>
      <c r="N33" s="70">
        <f t="shared" si="4"/>
        <v>3160</v>
      </c>
      <c r="O33" s="52">
        <f t="shared" si="7"/>
        <v>5211</v>
      </c>
      <c r="P33" s="52">
        <f t="shared" si="7"/>
        <v>0</v>
      </c>
      <c r="Q33" s="132">
        <f t="shared" si="5"/>
        <v>5303</v>
      </c>
      <c r="R33" s="189"/>
      <c r="W33" s="126" t="s">
        <v>150</v>
      </c>
      <c r="X33" s="128">
        <v>42147</v>
      </c>
    </row>
    <row r="34" spans="1:24" ht="13">
      <c r="A34" s="131" t="s">
        <v>1441</v>
      </c>
      <c r="B34" s="53">
        <v>41762</v>
      </c>
      <c r="C34" s="52">
        <v>17</v>
      </c>
      <c r="D34" s="72" t="str">
        <f>IF(DATEDIF($B34,'Inst summary and ER calculation'!$T$6,"y")=1,"1-2 years","2-3 years")</f>
        <v>2-3 years</v>
      </c>
      <c r="E34" s="69">
        <f t="shared" si="0"/>
        <v>0.99726775956284153</v>
      </c>
      <c r="F34" s="69">
        <f>$C34*E34*_xlfn.XLOOKUP($D34,'Sample Size cal and results'!$B$23:$B$24,'Sample Size cal and results'!$D$23:$D$24)</f>
        <v>17.264475531417268</v>
      </c>
      <c r="G34" s="72" t="str">
        <f>IF(DATEDIF($B34,'Inst summary and ER calculation'!$U$6,"y")=2,"2-3 years","3-4 years")</f>
        <v>3-4 years</v>
      </c>
      <c r="H34" s="69">
        <f t="shared" si="1"/>
        <v>1</v>
      </c>
      <c r="I34" s="142">
        <f>$C34*H34*_xlfn.XLOOKUP($G34,'Sample Size cal and results'!$B$25:$B$26,'Sample Size cal and results'!$D$25:$D$26)</f>
        <v>16.917337168680991</v>
      </c>
      <c r="K34" s="131" t="s">
        <v>148</v>
      </c>
      <c r="L34" s="52">
        <f t="shared" si="6"/>
        <v>6449</v>
      </c>
      <c r="M34" s="52">
        <f t="shared" si="6"/>
        <v>0</v>
      </c>
      <c r="N34" s="70">
        <f t="shared" si="4"/>
        <v>3911</v>
      </c>
      <c r="O34" s="52">
        <f t="shared" si="7"/>
        <v>6449</v>
      </c>
      <c r="P34" s="52">
        <f t="shared" si="7"/>
        <v>0</v>
      </c>
      <c r="Q34" s="132">
        <f t="shared" si="5"/>
        <v>6564</v>
      </c>
      <c r="R34" s="189"/>
      <c r="W34" s="126" t="s">
        <v>151</v>
      </c>
      <c r="X34" s="128">
        <v>42154</v>
      </c>
    </row>
    <row r="35" spans="1:24" ht="13">
      <c r="A35" s="131" t="s">
        <v>1441</v>
      </c>
      <c r="B35" s="53">
        <v>41763</v>
      </c>
      <c r="C35" s="52">
        <v>19</v>
      </c>
      <c r="D35" s="72" t="str">
        <f>IF(DATEDIF($B35,'Inst summary and ER calculation'!$T$6,"y")=1,"1-2 years","2-3 years")</f>
        <v>2-3 years</v>
      </c>
      <c r="E35" s="69">
        <f t="shared" si="0"/>
        <v>0.99726775956284153</v>
      </c>
      <c r="F35" s="69">
        <f>$C35*E35*_xlfn.XLOOKUP($D35,'Sample Size cal and results'!$B$23:$B$24,'Sample Size cal and results'!$D$23:$D$24)</f>
        <v>19.295590299819299</v>
      </c>
      <c r="G35" s="72" t="str">
        <f>IF(DATEDIF($B35,'Inst summary and ER calculation'!$U$6,"y")=2,"2-3 years","3-4 years")</f>
        <v>3-4 years</v>
      </c>
      <c r="H35" s="69">
        <f t="shared" si="1"/>
        <v>1</v>
      </c>
      <c r="I35" s="142">
        <f>$C35*H35*_xlfn.XLOOKUP($G35,'Sample Size cal and results'!$B$25:$B$26,'Sample Size cal and results'!$D$25:$D$26)</f>
        <v>18.907612129702283</v>
      </c>
      <c r="K35" s="131" t="s">
        <v>149</v>
      </c>
      <c r="L35" s="52">
        <f t="shared" si="6"/>
        <v>9038</v>
      </c>
      <c r="M35" s="52">
        <f t="shared" si="6"/>
        <v>0</v>
      </c>
      <c r="N35" s="70">
        <f t="shared" si="4"/>
        <v>5481</v>
      </c>
      <c r="O35" s="52">
        <f t="shared" si="7"/>
        <v>9038</v>
      </c>
      <c r="P35" s="52">
        <f t="shared" si="7"/>
        <v>0</v>
      </c>
      <c r="Q35" s="132">
        <f t="shared" si="5"/>
        <v>9199</v>
      </c>
      <c r="R35" s="189"/>
      <c r="W35" s="126" t="s">
        <v>152</v>
      </c>
      <c r="X35" s="128">
        <v>42154</v>
      </c>
    </row>
    <row r="36" spans="1:24" ht="13.5" thickBot="1">
      <c r="A36" s="131" t="s">
        <v>1441</v>
      </c>
      <c r="B36" s="53">
        <v>41764</v>
      </c>
      <c r="C36" s="52">
        <v>41</v>
      </c>
      <c r="D36" s="72" t="str">
        <f>IF(DATEDIF($B36,'Inst summary and ER calculation'!$T$6,"y")=1,"1-2 years","2-3 years")</f>
        <v>2-3 years</v>
      </c>
      <c r="E36" s="69">
        <f t="shared" si="0"/>
        <v>0.99726775956284153</v>
      </c>
      <c r="F36" s="69">
        <f>$C36*E36*_xlfn.XLOOKUP($D36,'Sample Size cal and results'!$B$23:$B$24,'Sample Size cal and results'!$D$23:$D$24)</f>
        <v>41.637852752241656</v>
      </c>
      <c r="G36" s="72" t="str">
        <f>IF(DATEDIF($B36,'Inst summary and ER calculation'!$U$6,"y")=2,"2-3 years","3-4 years")</f>
        <v>3-4 years</v>
      </c>
      <c r="H36" s="69">
        <f t="shared" si="1"/>
        <v>1</v>
      </c>
      <c r="I36" s="142">
        <f>$C36*H36*_xlfn.XLOOKUP($G36,'Sample Size cal and results'!$B$25:$B$26,'Sample Size cal and results'!$D$25:$D$26)</f>
        <v>40.800636700936508</v>
      </c>
      <c r="K36" s="131" t="s">
        <v>150</v>
      </c>
      <c r="L36" s="52">
        <f t="shared" si="6"/>
        <v>2027</v>
      </c>
      <c r="M36" s="52">
        <f t="shared" si="6"/>
        <v>0</v>
      </c>
      <c r="N36" s="70">
        <f t="shared" si="4"/>
        <v>1229</v>
      </c>
      <c r="O36" s="52">
        <f t="shared" si="7"/>
        <v>2027</v>
      </c>
      <c r="P36" s="52">
        <f t="shared" si="7"/>
        <v>0</v>
      </c>
      <c r="Q36" s="132">
        <f t="shared" si="5"/>
        <v>2063</v>
      </c>
      <c r="R36" s="189"/>
      <c r="W36" s="129" t="s">
        <v>153</v>
      </c>
      <c r="X36" s="130">
        <v>42178</v>
      </c>
    </row>
    <row r="37" spans="1:24" ht="13">
      <c r="A37" s="131" t="s">
        <v>1441</v>
      </c>
      <c r="B37" s="53">
        <v>41765</v>
      </c>
      <c r="C37" s="52">
        <v>23</v>
      </c>
      <c r="D37" s="72" t="str">
        <f>IF(DATEDIF($B37,'Inst summary and ER calculation'!$T$6,"y")=1,"1-2 years","2-3 years")</f>
        <v>2-3 years</v>
      </c>
      <c r="E37" s="69">
        <f t="shared" si="0"/>
        <v>0.99726775956284153</v>
      </c>
      <c r="F37" s="69">
        <f>$C37*E37*_xlfn.XLOOKUP($D37,'Sample Size cal and results'!$B$23:$B$24,'Sample Size cal and results'!$D$23:$D$24)</f>
        <v>23.357819836623367</v>
      </c>
      <c r="G37" s="72" t="str">
        <f>IF(DATEDIF($B37,'Inst summary and ER calculation'!$U$6,"y")=2,"2-3 years","3-4 years")</f>
        <v>3-4 years</v>
      </c>
      <c r="H37" s="69">
        <f t="shared" si="1"/>
        <v>1</v>
      </c>
      <c r="I37" s="142">
        <f>$C37*H37*_xlfn.XLOOKUP($G37,'Sample Size cal and results'!$B$25:$B$26,'Sample Size cal and results'!$D$25:$D$26)</f>
        <v>22.888162051744871</v>
      </c>
      <c r="K37" s="131" t="s">
        <v>151</v>
      </c>
      <c r="L37" s="52">
        <f t="shared" si="6"/>
        <v>287</v>
      </c>
      <c r="M37" s="52">
        <f t="shared" si="6"/>
        <v>0</v>
      </c>
      <c r="N37" s="70">
        <f t="shared" si="4"/>
        <v>174</v>
      </c>
      <c r="O37" s="52">
        <f t="shared" si="7"/>
        <v>287</v>
      </c>
      <c r="P37" s="52">
        <f t="shared" si="7"/>
        <v>0</v>
      </c>
      <c r="Q37" s="132">
        <f t="shared" si="5"/>
        <v>292</v>
      </c>
      <c r="R37" s="189"/>
    </row>
    <row r="38" spans="1:24" ht="13">
      <c r="A38" s="131" t="s">
        <v>1441</v>
      </c>
      <c r="B38" s="53">
        <v>41766</v>
      </c>
      <c r="C38" s="52">
        <v>26</v>
      </c>
      <c r="D38" s="72" t="str">
        <f>IF(DATEDIF($B38,'Inst summary and ER calculation'!$T$6,"y")=1,"1-2 years","2-3 years")</f>
        <v>2-3 years</v>
      </c>
      <c r="E38" s="69">
        <f t="shared" si="0"/>
        <v>0.99726775956284153</v>
      </c>
      <c r="F38" s="69">
        <f>$C38*E38*_xlfn.XLOOKUP($D38,'Sample Size cal and results'!$B$23:$B$24,'Sample Size cal and results'!$D$23:$D$24)</f>
        <v>26.404491989226415</v>
      </c>
      <c r="G38" s="72" t="str">
        <f>IF(DATEDIF($B38,'Inst summary and ER calculation'!$U$6,"y")=2,"2-3 years","3-4 years")</f>
        <v>3-4 years</v>
      </c>
      <c r="H38" s="69">
        <f t="shared" si="1"/>
        <v>1</v>
      </c>
      <c r="I38" s="142">
        <f>$C38*H38*_xlfn.XLOOKUP($G38,'Sample Size cal and results'!$B$25:$B$26,'Sample Size cal and results'!$D$25:$D$26)</f>
        <v>25.873574493276809</v>
      </c>
      <c r="K38" s="131" t="s">
        <v>152</v>
      </c>
      <c r="L38" s="52">
        <f t="shared" si="6"/>
        <v>9192</v>
      </c>
      <c r="M38" s="52">
        <f t="shared" si="6"/>
        <v>0</v>
      </c>
      <c r="N38" s="70">
        <f t="shared" si="4"/>
        <v>5574</v>
      </c>
      <c r="O38" s="52">
        <f t="shared" si="7"/>
        <v>9192</v>
      </c>
      <c r="P38" s="52">
        <f t="shared" si="7"/>
        <v>0</v>
      </c>
      <c r="Q38" s="132">
        <f t="shared" si="5"/>
        <v>9355</v>
      </c>
      <c r="R38" s="189"/>
    </row>
    <row r="39" spans="1:24" ht="13">
      <c r="A39" s="131" t="s">
        <v>1441</v>
      </c>
      <c r="B39" s="53">
        <v>41767</v>
      </c>
      <c r="C39" s="52">
        <v>45</v>
      </c>
      <c r="D39" s="72" t="str">
        <f>IF(DATEDIF($B39,'Inst summary and ER calculation'!$T$6,"y")=1,"1-2 years","2-3 years")</f>
        <v>2-3 years</v>
      </c>
      <c r="E39" s="69">
        <f t="shared" si="0"/>
        <v>0.99726775956284153</v>
      </c>
      <c r="F39" s="69">
        <f>$C39*E39*_xlfn.XLOOKUP($D39,'Sample Size cal and results'!$B$23:$B$24,'Sample Size cal and results'!$D$23:$D$24)</f>
        <v>45.70008228904571</v>
      </c>
      <c r="G39" s="72" t="str">
        <f>IF(DATEDIF($B39,'Inst summary and ER calculation'!$U$6,"y")=2,"2-3 years","3-4 years")</f>
        <v>3-4 years</v>
      </c>
      <c r="H39" s="69">
        <f t="shared" si="1"/>
        <v>1</v>
      </c>
      <c r="I39" s="142">
        <f>$C39*H39*_xlfn.XLOOKUP($G39,'Sample Size cal and results'!$B$25:$B$26,'Sample Size cal and results'!$D$25:$D$26)</f>
        <v>44.781186622979092</v>
      </c>
      <c r="K39" s="131" t="s">
        <v>153</v>
      </c>
      <c r="L39" s="52">
        <f t="shared" si="6"/>
        <v>9219</v>
      </c>
      <c r="M39" s="52">
        <f t="shared" si="6"/>
        <v>0</v>
      </c>
      <c r="N39" s="70">
        <f t="shared" si="4"/>
        <v>5591</v>
      </c>
      <c r="O39" s="52">
        <f t="shared" si="7"/>
        <v>9219</v>
      </c>
      <c r="P39" s="52">
        <f t="shared" si="7"/>
        <v>0</v>
      </c>
      <c r="Q39" s="132">
        <f t="shared" si="5"/>
        <v>9383</v>
      </c>
      <c r="R39" s="189"/>
    </row>
    <row r="40" spans="1:24" ht="13.5" thickBot="1">
      <c r="A40" s="131" t="s">
        <v>1441</v>
      </c>
      <c r="B40" s="53">
        <v>41768</v>
      </c>
      <c r="C40" s="52">
        <v>29</v>
      </c>
      <c r="D40" s="72" t="str">
        <f>IF(DATEDIF($B40,'Inst summary and ER calculation'!$T$6,"y")=1,"1-2 years","2-3 years")</f>
        <v>2-3 years</v>
      </c>
      <c r="E40" s="69">
        <f t="shared" si="0"/>
        <v>0.99726775956284153</v>
      </c>
      <c r="F40" s="69">
        <f>$C40*E40*_xlfn.XLOOKUP($D40,'Sample Size cal and results'!$B$23:$B$24,'Sample Size cal and results'!$D$23:$D$24)</f>
        <v>29.451164141829459</v>
      </c>
      <c r="G40" s="72" t="str">
        <f>IF(DATEDIF($B40,'Inst summary and ER calculation'!$U$6,"y")=2,"2-3 years","3-4 years")</f>
        <v>3-4 years</v>
      </c>
      <c r="H40" s="69">
        <f t="shared" si="1"/>
        <v>1</v>
      </c>
      <c r="I40" s="142">
        <f>$C40*H40*_xlfn.XLOOKUP($G40,'Sample Size cal and results'!$B$25:$B$26,'Sample Size cal and results'!$D$25:$D$26)</f>
        <v>28.858986934808751</v>
      </c>
      <c r="K40" s="133" t="s">
        <v>6</v>
      </c>
      <c r="L40" s="134">
        <f t="shared" ref="L40:M40" si="8">ROUNDDOWN(SUM(L4:L39),0)</f>
        <v>59438</v>
      </c>
      <c r="M40" s="134">
        <f t="shared" si="8"/>
        <v>124444</v>
      </c>
      <c r="N40" s="134">
        <f>ROUNDDOWN(SUM(N4:N39),0)</f>
        <v>128393</v>
      </c>
      <c r="O40" s="135">
        <f t="shared" ref="O40" si="9">ROUNDDOWN(SUM(O4:O39),0)</f>
        <v>59438</v>
      </c>
      <c r="P40" s="135">
        <f t="shared" ref="P40" si="10">ROUNDDOWN(SUM(P4:P39),0)</f>
        <v>124444</v>
      </c>
      <c r="Q40" s="136">
        <f>ROUNDDOWN(SUM(Q4:Q39),0)</f>
        <v>184321</v>
      </c>
    </row>
    <row r="41" spans="1:24" ht="13">
      <c r="A41" s="131" t="s">
        <v>1441</v>
      </c>
      <c r="B41" s="53">
        <v>41769</v>
      </c>
      <c r="C41" s="52">
        <v>35</v>
      </c>
      <c r="D41" s="72" t="str">
        <f>IF(DATEDIF($B41,'Inst summary and ER calculation'!$T$6,"y")=1,"1-2 years","2-3 years")</f>
        <v>2-3 years</v>
      </c>
      <c r="E41" s="69">
        <f t="shared" si="0"/>
        <v>0.99726775956284153</v>
      </c>
      <c r="F41" s="69">
        <f>$C41*E41*_xlfn.XLOOKUP($D41,'Sample Size cal and results'!$B$23:$B$24,'Sample Size cal and results'!$D$23:$D$24)</f>
        <v>35.544508447035554</v>
      </c>
      <c r="G41" s="72" t="str">
        <f>IF(DATEDIF($B41,'Inst summary and ER calculation'!$U$6,"y")=2,"2-3 years","3-4 years")</f>
        <v>3-4 years</v>
      </c>
      <c r="H41" s="69">
        <f t="shared" si="1"/>
        <v>1</v>
      </c>
      <c r="I41" s="142">
        <f>$C41*H41*_xlfn.XLOOKUP($G41,'Sample Size cal and results'!$B$25:$B$26,'Sample Size cal and results'!$D$25:$D$26)</f>
        <v>34.829811817872631</v>
      </c>
    </row>
    <row r="42" spans="1:24" ht="13">
      <c r="A42" s="131" t="s">
        <v>1441</v>
      </c>
      <c r="B42" s="53">
        <v>41770</v>
      </c>
      <c r="C42" s="52">
        <v>27</v>
      </c>
      <c r="D42" s="72" t="str">
        <f>IF(DATEDIF($B42,'Inst summary and ER calculation'!$T$6,"y")=1,"1-2 years","2-3 years")</f>
        <v>2-3 years</v>
      </c>
      <c r="E42" s="69">
        <f t="shared" si="0"/>
        <v>0.99726775956284153</v>
      </c>
      <c r="F42" s="69">
        <f>$C42*E42*_xlfn.XLOOKUP($D42,'Sample Size cal and results'!$B$23:$B$24,'Sample Size cal and results'!$D$23:$D$24)</f>
        <v>27.420049373427428</v>
      </c>
      <c r="G42" s="72" t="str">
        <f>IF(DATEDIF($B42,'Inst summary and ER calculation'!$U$6,"y")=2,"2-3 years","3-4 years")</f>
        <v>3-4 years</v>
      </c>
      <c r="H42" s="69">
        <f t="shared" si="1"/>
        <v>1</v>
      </c>
      <c r="I42" s="142">
        <f>$C42*H42*_xlfn.XLOOKUP($G42,'Sample Size cal and results'!$B$25:$B$26,'Sample Size cal and results'!$D$25:$D$26)</f>
        <v>26.868711973787455</v>
      </c>
    </row>
    <row r="43" spans="1:24" ht="13">
      <c r="A43" s="131" t="s">
        <v>1441</v>
      </c>
      <c r="B43" s="53">
        <v>41771</v>
      </c>
      <c r="C43" s="52">
        <v>44</v>
      </c>
      <c r="D43" s="72" t="str">
        <f>IF(DATEDIF($B43,'Inst summary and ER calculation'!$T$6,"y")=1,"1-2 years","2-3 years")</f>
        <v>2-3 years</v>
      </c>
      <c r="E43" s="69">
        <f t="shared" si="0"/>
        <v>0.99726775956284153</v>
      </c>
      <c r="F43" s="69">
        <f>$C43*E43*_xlfn.XLOOKUP($D43,'Sample Size cal and results'!$B$23:$B$24,'Sample Size cal and results'!$D$23:$D$24)</f>
        <v>44.6845249048447</v>
      </c>
      <c r="G43" s="72" t="str">
        <f>IF(DATEDIF($B43,'Inst summary and ER calculation'!$U$6,"y")=2,"2-3 years","3-4 years")</f>
        <v>3-4 years</v>
      </c>
      <c r="H43" s="69">
        <f t="shared" si="1"/>
        <v>1</v>
      </c>
      <c r="I43" s="142">
        <f>$C43*H43*_xlfn.XLOOKUP($G43,'Sample Size cal and results'!$B$25:$B$26,'Sample Size cal and results'!$D$25:$D$26)</f>
        <v>43.78604914246845</v>
      </c>
    </row>
    <row r="44" spans="1:24" ht="13">
      <c r="A44" s="131" t="s">
        <v>1441</v>
      </c>
      <c r="B44" s="53">
        <v>41772</v>
      </c>
      <c r="C44" s="52">
        <v>24</v>
      </c>
      <c r="D44" s="72" t="str">
        <f>IF(DATEDIF($B44,'Inst summary and ER calculation'!$T$6,"y")=1,"1-2 years","2-3 years")</f>
        <v>2-3 years</v>
      </c>
      <c r="E44" s="69">
        <f t="shared" si="0"/>
        <v>0.99726775956284153</v>
      </c>
      <c r="F44" s="69">
        <f>$C44*E44*_xlfn.XLOOKUP($D44,'Sample Size cal and results'!$B$23:$B$24,'Sample Size cal and results'!$D$23:$D$24)</f>
        <v>24.373377220824381</v>
      </c>
      <c r="G44" s="72" t="str">
        <f>IF(DATEDIF($B44,'Inst summary and ER calculation'!$U$6,"y")=2,"2-3 years","3-4 years")</f>
        <v>3-4 years</v>
      </c>
      <c r="H44" s="69">
        <f t="shared" si="1"/>
        <v>1</v>
      </c>
      <c r="I44" s="142">
        <f>$C44*H44*_xlfn.XLOOKUP($G44,'Sample Size cal and results'!$B$25:$B$26,'Sample Size cal and results'!$D$25:$D$26)</f>
        <v>23.883299532255517</v>
      </c>
    </row>
    <row r="45" spans="1:24" ht="13">
      <c r="A45" s="131" t="s">
        <v>1441</v>
      </c>
      <c r="B45" s="53">
        <v>41773</v>
      </c>
      <c r="C45" s="52">
        <v>24</v>
      </c>
      <c r="D45" s="72" t="str">
        <f>IF(DATEDIF($B45,'Inst summary and ER calculation'!$T$6,"y")=1,"1-2 years","2-3 years")</f>
        <v>2-3 years</v>
      </c>
      <c r="E45" s="69">
        <f t="shared" si="0"/>
        <v>0.99726775956284153</v>
      </c>
      <c r="F45" s="69">
        <f>$C45*E45*_xlfn.XLOOKUP($D45,'Sample Size cal and results'!$B$23:$B$24,'Sample Size cal and results'!$D$23:$D$24)</f>
        <v>24.373377220824381</v>
      </c>
      <c r="G45" s="72" t="str">
        <f>IF(DATEDIF($B45,'Inst summary and ER calculation'!$U$6,"y")=2,"2-3 years","3-4 years")</f>
        <v>3-4 years</v>
      </c>
      <c r="H45" s="69">
        <f t="shared" si="1"/>
        <v>1</v>
      </c>
      <c r="I45" s="142">
        <f>$C45*H45*_xlfn.XLOOKUP($G45,'Sample Size cal and results'!$B$25:$B$26,'Sample Size cal and results'!$D$25:$D$26)</f>
        <v>23.883299532255517</v>
      </c>
    </row>
    <row r="46" spans="1:24" ht="13">
      <c r="A46" s="131" t="s">
        <v>1441</v>
      </c>
      <c r="B46" s="53">
        <v>41774</v>
      </c>
      <c r="C46" s="52">
        <v>736</v>
      </c>
      <c r="D46" s="72" t="str">
        <f>IF(DATEDIF($B46,'Inst summary and ER calculation'!$T$6,"y")=1,"1-2 years","2-3 years")</f>
        <v>2-3 years</v>
      </c>
      <c r="E46" s="69">
        <f t="shared" si="0"/>
        <v>0.99726775956284153</v>
      </c>
      <c r="F46" s="69">
        <f>$C46*E46*_xlfn.XLOOKUP($D46,'Sample Size cal and results'!$B$23:$B$24,'Sample Size cal and results'!$D$23:$D$24)</f>
        <v>747.45023477194775</v>
      </c>
      <c r="G46" s="72" t="str">
        <f>IF(DATEDIF($B46,'Inst summary and ER calculation'!$U$6,"y")=2,"2-3 years","3-4 years")</f>
        <v>3-4 years</v>
      </c>
      <c r="H46" s="69">
        <f t="shared" si="1"/>
        <v>1</v>
      </c>
      <c r="I46" s="142">
        <f>$C46*H46*_xlfn.XLOOKUP($G46,'Sample Size cal and results'!$B$25:$B$26,'Sample Size cal and results'!$D$25:$D$26)</f>
        <v>732.42118565583587</v>
      </c>
    </row>
    <row r="47" spans="1:24" ht="13">
      <c r="A47" s="131" t="s">
        <v>1441</v>
      </c>
      <c r="B47" s="53">
        <v>41775</v>
      </c>
      <c r="C47" s="52">
        <v>18</v>
      </c>
      <c r="D47" s="72" t="str">
        <f>IF(DATEDIF($B47,'Inst summary and ER calculation'!$T$6,"y")=1,"1-2 years","2-3 years")</f>
        <v>2-3 years</v>
      </c>
      <c r="E47" s="69">
        <f t="shared" si="0"/>
        <v>0.99726775956284153</v>
      </c>
      <c r="F47" s="69">
        <f>$C47*E47*_xlfn.XLOOKUP($D47,'Sample Size cal and results'!$B$23:$B$24,'Sample Size cal and results'!$D$23:$D$24)</f>
        <v>18.280032915618285</v>
      </c>
      <c r="G47" s="72" t="str">
        <f>IF(DATEDIF($B47,'Inst summary and ER calculation'!$U$6,"y")=2,"2-3 years","3-4 years")</f>
        <v>3-4 years</v>
      </c>
      <c r="H47" s="69">
        <f t="shared" si="1"/>
        <v>1</v>
      </c>
      <c r="I47" s="142">
        <f>$C47*H47*_xlfn.XLOOKUP($G47,'Sample Size cal and results'!$B$25:$B$26,'Sample Size cal and results'!$D$25:$D$26)</f>
        <v>17.912474649191637</v>
      </c>
    </row>
    <row r="48" spans="1:24" ht="13">
      <c r="A48" s="131" t="s">
        <v>1441</v>
      </c>
      <c r="B48" s="53">
        <v>41776</v>
      </c>
      <c r="C48" s="52">
        <v>24</v>
      </c>
      <c r="D48" s="72" t="str">
        <f>IF(DATEDIF($B48,'Inst summary and ER calculation'!$T$6,"y")=1,"1-2 years","2-3 years")</f>
        <v>2-3 years</v>
      </c>
      <c r="E48" s="69">
        <f t="shared" si="0"/>
        <v>0.99726775956284153</v>
      </c>
      <c r="F48" s="69">
        <f>$C48*E48*_xlfn.XLOOKUP($D48,'Sample Size cal and results'!$B$23:$B$24,'Sample Size cal and results'!$D$23:$D$24)</f>
        <v>24.373377220824381</v>
      </c>
      <c r="G48" s="72" t="str">
        <f>IF(DATEDIF($B48,'Inst summary and ER calculation'!$U$6,"y")=2,"2-3 years","3-4 years")</f>
        <v>3-4 years</v>
      </c>
      <c r="H48" s="69">
        <f t="shared" si="1"/>
        <v>1</v>
      </c>
      <c r="I48" s="142">
        <f>$C48*H48*_xlfn.XLOOKUP($G48,'Sample Size cal and results'!$B$25:$B$26,'Sample Size cal and results'!$D$25:$D$26)</f>
        <v>23.883299532255517</v>
      </c>
    </row>
    <row r="49" spans="1:9" ht="13">
      <c r="A49" s="131" t="s">
        <v>1441</v>
      </c>
      <c r="B49" s="53">
        <v>41777</v>
      </c>
      <c r="C49" s="52">
        <v>20</v>
      </c>
      <c r="D49" s="72" t="str">
        <f>IF(DATEDIF($B49,'Inst summary and ER calculation'!$T$6,"y")=1,"1-2 years","2-3 years")</f>
        <v>2-3 years</v>
      </c>
      <c r="E49" s="69">
        <f t="shared" si="0"/>
        <v>0.99726775956284153</v>
      </c>
      <c r="F49" s="69">
        <f>$C49*E49*_xlfn.XLOOKUP($D49,'Sample Size cal and results'!$B$23:$B$24,'Sample Size cal and results'!$D$23:$D$24)</f>
        <v>20.311147684020316</v>
      </c>
      <c r="G49" s="72" t="str">
        <f>IF(DATEDIF($B49,'Inst summary and ER calculation'!$U$6,"y")=2,"2-3 years","3-4 years")</f>
        <v>3-4 years</v>
      </c>
      <c r="H49" s="69">
        <f t="shared" si="1"/>
        <v>1</v>
      </c>
      <c r="I49" s="142">
        <f>$C49*H49*_xlfn.XLOOKUP($G49,'Sample Size cal and results'!$B$25:$B$26,'Sample Size cal and results'!$D$25:$D$26)</f>
        <v>19.902749610212929</v>
      </c>
    </row>
    <row r="50" spans="1:9" ht="13">
      <c r="A50" s="131" t="s">
        <v>1441</v>
      </c>
      <c r="B50" s="53">
        <v>41778</v>
      </c>
      <c r="C50" s="52">
        <v>23</v>
      </c>
      <c r="D50" s="72" t="str">
        <f>IF(DATEDIF($B50,'Inst summary and ER calculation'!$T$6,"y")=1,"1-2 years","2-3 years")</f>
        <v>2-3 years</v>
      </c>
      <c r="E50" s="69">
        <f t="shared" si="0"/>
        <v>0.99726775956284153</v>
      </c>
      <c r="F50" s="69">
        <f>$C50*E50*_xlfn.XLOOKUP($D50,'Sample Size cal and results'!$B$23:$B$24,'Sample Size cal and results'!$D$23:$D$24)</f>
        <v>23.357819836623367</v>
      </c>
      <c r="G50" s="72" t="str">
        <f>IF(DATEDIF($B50,'Inst summary and ER calculation'!$U$6,"y")=2,"2-3 years","3-4 years")</f>
        <v>3-4 years</v>
      </c>
      <c r="H50" s="69">
        <f t="shared" si="1"/>
        <v>1</v>
      </c>
      <c r="I50" s="142">
        <f>$C50*H50*_xlfn.XLOOKUP($G50,'Sample Size cal and results'!$B$25:$B$26,'Sample Size cal and results'!$D$25:$D$26)</f>
        <v>22.888162051744871</v>
      </c>
    </row>
    <row r="51" spans="1:9" ht="13">
      <c r="A51" s="131" t="s">
        <v>1441</v>
      </c>
      <c r="B51" s="53">
        <v>41779</v>
      </c>
      <c r="C51" s="52">
        <v>49</v>
      </c>
      <c r="D51" s="72" t="str">
        <f>IF(DATEDIF($B51,'Inst summary and ER calculation'!$T$6,"y")=1,"1-2 years","2-3 years")</f>
        <v>2-3 years</v>
      </c>
      <c r="E51" s="69">
        <f t="shared" si="0"/>
        <v>0.99726775956284153</v>
      </c>
      <c r="F51" s="69">
        <f>$C51*E51*_xlfn.XLOOKUP($D51,'Sample Size cal and results'!$B$23:$B$24,'Sample Size cal and results'!$D$23:$D$24)</f>
        <v>49.762311825849778</v>
      </c>
      <c r="G51" s="72" t="str">
        <f>IF(DATEDIF($B51,'Inst summary and ER calculation'!$U$6,"y")=2,"2-3 years","3-4 years")</f>
        <v>3-4 years</v>
      </c>
      <c r="H51" s="69">
        <f t="shared" si="1"/>
        <v>1</v>
      </c>
      <c r="I51" s="142">
        <f>$C51*H51*_xlfn.XLOOKUP($G51,'Sample Size cal and results'!$B$25:$B$26,'Sample Size cal and results'!$D$25:$D$26)</f>
        <v>48.761736545021684</v>
      </c>
    </row>
    <row r="52" spans="1:9" ht="13">
      <c r="A52" s="131" t="s">
        <v>1441</v>
      </c>
      <c r="B52" s="53">
        <v>41780</v>
      </c>
      <c r="C52" s="52">
        <v>29</v>
      </c>
      <c r="D52" s="72" t="str">
        <f>IF(DATEDIF($B52,'Inst summary and ER calculation'!$T$6,"y")=1,"1-2 years","2-3 years")</f>
        <v>2-3 years</v>
      </c>
      <c r="E52" s="69">
        <f t="shared" si="0"/>
        <v>0.99726775956284153</v>
      </c>
      <c r="F52" s="69">
        <f>$C52*E52*_xlfn.XLOOKUP($D52,'Sample Size cal and results'!$B$23:$B$24,'Sample Size cal and results'!$D$23:$D$24)</f>
        <v>29.451164141829459</v>
      </c>
      <c r="G52" s="72" t="str">
        <f>IF(DATEDIF($B52,'Inst summary and ER calculation'!$U$6,"y")=2,"2-3 years","3-4 years")</f>
        <v>3-4 years</v>
      </c>
      <c r="H52" s="69">
        <f t="shared" si="1"/>
        <v>1</v>
      </c>
      <c r="I52" s="142">
        <f>$C52*H52*_xlfn.XLOOKUP($G52,'Sample Size cal and results'!$B$25:$B$26,'Sample Size cal and results'!$D$25:$D$26)</f>
        <v>28.858986934808751</v>
      </c>
    </row>
    <row r="53" spans="1:9" ht="13">
      <c r="A53" s="131" t="s">
        <v>1441</v>
      </c>
      <c r="B53" s="53">
        <v>41781</v>
      </c>
      <c r="C53" s="52">
        <v>34</v>
      </c>
      <c r="D53" s="72" t="str">
        <f>IF(DATEDIF($B53,'Inst summary and ER calculation'!$T$6,"y")=1,"1-2 years","2-3 years")</f>
        <v>2-3 years</v>
      </c>
      <c r="E53" s="69">
        <f t="shared" si="0"/>
        <v>0.99726775956284153</v>
      </c>
      <c r="F53" s="69">
        <f>$C53*E53*_xlfn.XLOOKUP($D53,'Sample Size cal and results'!$B$23:$B$24,'Sample Size cal and results'!$D$23:$D$24)</f>
        <v>34.528951062834537</v>
      </c>
      <c r="G53" s="72" t="str">
        <f>IF(DATEDIF($B53,'Inst summary and ER calculation'!$U$6,"y")=2,"2-3 years","3-4 years")</f>
        <v>3-4 years</v>
      </c>
      <c r="H53" s="69">
        <f t="shared" si="1"/>
        <v>1</v>
      </c>
      <c r="I53" s="142">
        <f>$C53*H53*_xlfn.XLOOKUP($G53,'Sample Size cal and results'!$B$25:$B$26,'Sample Size cal and results'!$D$25:$D$26)</f>
        <v>33.834674337361982</v>
      </c>
    </row>
    <row r="54" spans="1:9" ht="13">
      <c r="A54" s="131" t="s">
        <v>1441</v>
      </c>
      <c r="B54" s="53">
        <v>41782</v>
      </c>
      <c r="C54" s="52">
        <v>20</v>
      </c>
      <c r="D54" s="72" t="str">
        <f>IF(DATEDIF($B54,'Inst summary and ER calculation'!$T$6,"y")=1,"1-2 years","2-3 years")</f>
        <v>2-3 years</v>
      </c>
      <c r="E54" s="69">
        <f t="shared" si="0"/>
        <v>0.99726775956284153</v>
      </c>
      <c r="F54" s="69">
        <f>$C54*E54*_xlfn.XLOOKUP($D54,'Sample Size cal and results'!$B$23:$B$24,'Sample Size cal and results'!$D$23:$D$24)</f>
        <v>20.311147684020316</v>
      </c>
      <c r="G54" s="72" t="str">
        <f>IF(DATEDIF($B54,'Inst summary and ER calculation'!$U$6,"y")=2,"2-3 years","3-4 years")</f>
        <v>3-4 years</v>
      </c>
      <c r="H54" s="69">
        <f t="shared" si="1"/>
        <v>1</v>
      </c>
      <c r="I54" s="142">
        <f>$C54*H54*_xlfn.XLOOKUP($G54,'Sample Size cal and results'!$B$25:$B$26,'Sample Size cal and results'!$D$25:$D$26)</f>
        <v>19.902749610212929</v>
      </c>
    </row>
    <row r="55" spans="1:9" ht="13">
      <c r="A55" s="131" t="s">
        <v>1441</v>
      </c>
      <c r="B55" s="53">
        <v>41783</v>
      </c>
      <c r="C55" s="52">
        <v>15</v>
      </c>
      <c r="D55" s="72" t="str">
        <f>IF(DATEDIF($B55,'Inst summary and ER calculation'!$T$6,"y")=1,"1-2 years","2-3 years")</f>
        <v>2-3 years</v>
      </c>
      <c r="E55" s="69">
        <f t="shared" si="0"/>
        <v>0.99726775956284153</v>
      </c>
      <c r="F55" s="69">
        <f>$C55*E55*_xlfn.XLOOKUP($D55,'Sample Size cal and results'!$B$23:$B$24,'Sample Size cal and results'!$D$23:$D$24)</f>
        <v>15.233360763015238</v>
      </c>
      <c r="G55" s="72" t="str">
        <f>IF(DATEDIF($B55,'Inst summary and ER calculation'!$U$6,"y")=2,"2-3 years","3-4 years")</f>
        <v>3-4 years</v>
      </c>
      <c r="H55" s="69">
        <f t="shared" si="1"/>
        <v>1</v>
      </c>
      <c r="I55" s="142">
        <f>$C55*H55*_xlfn.XLOOKUP($G55,'Sample Size cal and results'!$B$25:$B$26,'Sample Size cal and results'!$D$25:$D$26)</f>
        <v>14.927062207659699</v>
      </c>
    </row>
    <row r="56" spans="1:9" ht="13">
      <c r="A56" s="131" t="s">
        <v>1441</v>
      </c>
      <c r="B56" s="53">
        <v>41784</v>
      </c>
      <c r="C56" s="52">
        <v>51</v>
      </c>
      <c r="D56" s="72" t="str">
        <f>IF(DATEDIF($B56,'Inst summary and ER calculation'!$T$6,"y")=1,"1-2 years","2-3 years")</f>
        <v>2-3 years</v>
      </c>
      <c r="E56" s="69">
        <f t="shared" si="0"/>
        <v>0.99726775956284153</v>
      </c>
      <c r="F56" s="69">
        <f>$C56*E56*_xlfn.XLOOKUP($D56,'Sample Size cal and results'!$B$23:$B$24,'Sample Size cal and results'!$D$23:$D$24)</f>
        <v>51.793426594251805</v>
      </c>
      <c r="G56" s="72" t="str">
        <f>IF(DATEDIF($B56,'Inst summary and ER calculation'!$U$6,"y")=2,"2-3 years","3-4 years")</f>
        <v>3-4 years</v>
      </c>
      <c r="H56" s="69">
        <f t="shared" si="1"/>
        <v>1</v>
      </c>
      <c r="I56" s="142">
        <f>$C56*H56*_xlfn.XLOOKUP($G56,'Sample Size cal and results'!$B$25:$B$26,'Sample Size cal and results'!$D$25:$D$26)</f>
        <v>50.752011506042976</v>
      </c>
    </row>
    <row r="57" spans="1:9" ht="13">
      <c r="A57" s="131" t="s">
        <v>1441</v>
      </c>
      <c r="B57" s="53">
        <v>41785</v>
      </c>
      <c r="C57" s="52">
        <v>15</v>
      </c>
      <c r="D57" s="72" t="str">
        <f>IF(DATEDIF($B57,'Inst summary and ER calculation'!$T$6,"y")=1,"1-2 years","2-3 years")</f>
        <v>2-3 years</v>
      </c>
      <c r="E57" s="69">
        <f t="shared" si="0"/>
        <v>0.99726775956284153</v>
      </c>
      <c r="F57" s="69">
        <f>$C57*E57*_xlfn.XLOOKUP($D57,'Sample Size cal and results'!$B$23:$B$24,'Sample Size cal and results'!$D$23:$D$24)</f>
        <v>15.233360763015238</v>
      </c>
      <c r="G57" s="72" t="str">
        <f>IF(DATEDIF($B57,'Inst summary and ER calculation'!$U$6,"y")=2,"2-3 years","3-4 years")</f>
        <v>3-4 years</v>
      </c>
      <c r="H57" s="69">
        <f t="shared" si="1"/>
        <v>1</v>
      </c>
      <c r="I57" s="142">
        <f>$C57*H57*_xlfn.XLOOKUP($G57,'Sample Size cal and results'!$B$25:$B$26,'Sample Size cal and results'!$D$25:$D$26)</f>
        <v>14.927062207659699</v>
      </c>
    </row>
    <row r="58" spans="1:9" ht="13">
      <c r="A58" s="131" t="s">
        <v>1441</v>
      </c>
      <c r="B58" s="53">
        <v>41786</v>
      </c>
      <c r="C58" s="52">
        <v>35</v>
      </c>
      <c r="D58" s="72" t="str">
        <f>IF(DATEDIF($B58,'Inst summary and ER calculation'!$T$6,"y")=1,"1-2 years","2-3 years")</f>
        <v>2-3 years</v>
      </c>
      <c r="E58" s="69">
        <f t="shared" si="0"/>
        <v>0.99726775956284153</v>
      </c>
      <c r="F58" s="69">
        <f>$C58*E58*_xlfn.XLOOKUP($D58,'Sample Size cal and results'!$B$23:$B$24,'Sample Size cal and results'!$D$23:$D$24)</f>
        <v>35.544508447035554</v>
      </c>
      <c r="G58" s="72" t="str">
        <f>IF(DATEDIF($B58,'Inst summary and ER calculation'!$U$6,"y")=2,"2-3 years","3-4 years")</f>
        <v>3-4 years</v>
      </c>
      <c r="H58" s="69">
        <f t="shared" si="1"/>
        <v>1</v>
      </c>
      <c r="I58" s="142">
        <f>$C58*H58*_xlfn.XLOOKUP($G58,'Sample Size cal and results'!$B$25:$B$26,'Sample Size cal and results'!$D$25:$D$26)</f>
        <v>34.829811817872631</v>
      </c>
    </row>
    <row r="59" spans="1:9" ht="13">
      <c r="A59" s="131" t="s">
        <v>1441</v>
      </c>
      <c r="B59" s="53">
        <v>41787</v>
      </c>
      <c r="C59" s="52">
        <v>24</v>
      </c>
      <c r="D59" s="72" t="str">
        <f>IF(DATEDIF($B59,'Inst summary and ER calculation'!$T$6,"y")=1,"1-2 years","2-3 years")</f>
        <v>2-3 years</v>
      </c>
      <c r="E59" s="69">
        <f t="shared" si="0"/>
        <v>0.99726775956284153</v>
      </c>
      <c r="F59" s="69">
        <f>$C59*E59*_xlfn.XLOOKUP($D59,'Sample Size cal and results'!$B$23:$B$24,'Sample Size cal and results'!$D$23:$D$24)</f>
        <v>24.373377220824381</v>
      </c>
      <c r="G59" s="72" t="str">
        <f>IF(DATEDIF($B59,'Inst summary and ER calculation'!$U$6,"y")=2,"2-3 years","3-4 years")</f>
        <v>3-4 years</v>
      </c>
      <c r="H59" s="69">
        <f t="shared" si="1"/>
        <v>1</v>
      </c>
      <c r="I59" s="142">
        <f>$C59*H59*_xlfn.XLOOKUP($G59,'Sample Size cal and results'!$B$25:$B$26,'Sample Size cal and results'!$D$25:$D$26)</f>
        <v>23.883299532255517</v>
      </c>
    </row>
    <row r="60" spans="1:9" ht="13">
      <c r="A60" s="131" t="s">
        <v>1441</v>
      </c>
      <c r="B60" s="53">
        <v>41788</v>
      </c>
      <c r="C60" s="52">
        <v>25</v>
      </c>
      <c r="D60" s="72" t="str">
        <f>IF(DATEDIF($B60,'Inst summary and ER calculation'!$T$6,"y")=1,"1-2 years","2-3 years")</f>
        <v>2-3 years</v>
      </c>
      <c r="E60" s="69">
        <f t="shared" si="0"/>
        <v>0.99726775956284153</v>
      </c>
      <c r="F60" s="69">
        <f>$C60*E60*_xlfn.XLOOKUP($D60,'Sample Size cal and results'!$B$23:$B$24,'Sample Size cal and results'!$D$23:$D$24)</f>
        <v>25.388934605025398</v>
      </c>
      <c r="G60" s="72" t="str">
        <f>IF(DATEDIF($B60,'Inst summary and ER calculation'!$U$6,"y")=2,"2-3 years","3-4 years")</f>
        <v>3-4 years</v>
      </c>
      <c r="H60" s="69">
        <f t="shared" si="1"/>
        <v>1</v>
      </c>
      <c r="I60" s="142">
        <f>$C60*H60*_xlfn.XLOOKUP($G60,'Sample Size cal and results'!$B$25:$B$26,'Sample Size cal and results'!$D$25:$D$26)</f>
        <v>24.878437012766163</v>
      </c>
    </row>
    <row r="61" spans="1:9" ht="13">
      <c r="A61" s="131" t="s">
        <v>1441</v>
      </c>
      <c r="B61" s="53">
        <v>41789</v>
      </c>
      <c r="C61" s="52">
        <v>20</v>
      </c>
      <c r="D61" s="72" t="str">
        <f>IF(DATEDIF($B61,'Inst summary and ER calculation'!$T$6,"y")=1,"1-2 years","2-3 years")</f>
        <v>2-3 years</v>
      </c>
      <c r="E61" s="69">
        <f t="shared" si="0"/>
        <v>0.99726775956284153</v>
      </c>
      <c r="F61" s="69">
        <f>$C61*E61*_xlfn.XLOOKUP($D61,'Sample Size cal and results'!$B$23:$B$24,'Sample Size cal and results'!$D$23:$D$24)</f>
        <v>20.311147684020316</v>
      </c>
      <c r="G61" s="72" t="str">
        <f>IF(DATEDIF($B61,'Inst summary and ER calculation'!$U$6,"y")=2,"2-3 years","3-4 years")</f>
        <v>3-4 years</v>
      </c>
      <c r="H61" s="69">
        <f t="shared" si="1"/>
        <v>1</v>
      </c>
      <c r="I61" s="142">
        <f>$C61*H61*_xlfn.XLOOKUP($G61,'Sample Size cal and results'!$B$25:$B$26,'Sample Size cal and results'!$D$25:$D$26)</f>
        <v>19.902749610212929</v>
      </c>
    </row>
    <row r="62" spans="1:9" ht="13">
      <c r="A62" s="131" t="s">
        <v>1441</v>
      </c>
      <c r="B62" s="53">
        <v>41790</v>
      </c>
      <c r="C62" s="52">
        <v>14</v>
      </c>
      <c r="D62" s="72" t="str">
        <f>IF(DATEDIF($B62,'Inst summary and ER calculation'!$T$6,"y")=1,"1-2 years","2-3 years")</f>
        <v>2-3 years</v>
      </c>
      <c r="E62" s="69">
        <f t="shared" si="0"/>
        <v>0.99726775956284153</v>
      </c>
      <c r="F62" s="69">
        <f>$C62*E62*_xlfn.XLOOKUP($D62,'Sample Size cal and results'!$B$23:$B$24,'Sample Size cal and results'!$D$23:$D$24)</f>
        <v>14.217803378814221</v>
      </c>
      <c r="G62" s="72" t="str">
        <f>IF(DATEDIF($B62,'Inst summary and ER calculation'!$U$6,"y")=2,"2-3 years","3-4 years")</f>
        <v>3-4 years</v>
      </c>
      <c r="H62" s="69">
        <f t="shared" si="1"/>
        <v>1</v>
      </c>
      <c r="I62" s="142">
        <f>$C62*H62*_xlfn.XLOOKUP($G62,'Sample Size cal and results'!$B$25:$B$26,'Sample Size cal and results'!$D$25:$D$26)</f>
        <v>13.931924727149053</v>
      </c>
    </row>
    <row r="63" spans="1:9" ht="13">
      <c r="A63" s="131" t="s">
        <v>1441</v>
      </c>
      <c r="B63" s="53">
        <v>41791</v>
      </c>
      <c r="C63" s="52">
        <v>3</v>
      </c>
      <c r="D63" s="72" t="str">
        <f>IF(DATEDIF($B63,'Inst summary and ER calculation'!$T$6,"y")=1,"1-2 years","2-3 years")</f>
        <v>2-3 years</v>
      </c>
      <c r="E63" s="69">
        <f t="shared" si="0"/>
        <v>0.99726775956284153</v>
      </c>
      <c r="F63" s="69">
        <f>$C63*E63*_xlfn.XLOOKUP($D63,'Sample Size cal and results'!$B$23:$B$24,'Sample Size cal and results'!$D$23:$D$24)</f>
        <v>3.0466721526030476</v>
      </c>
      <c r="G63" s="72" t="str">
        <f>IF(DATEDIF($B63,'Inst summary and ER calculation'!$U$6,"y")=2,"2-3 years","3-4 years")</f>
        <v>3-4 years</v>
      </c>
      <c r="H63" s="69">
        <f t="shared" si="1"/>
        <v>1</v>
      </c>
      <c r="I63" s="142">
        <f>$C63*H63*_xlfn.XLOOKUP($G63,'Sample Size cal and results'!$B$25:$B$26,'Sample Size cal and results'!$D$25:$D$26)</f>
        <v>2.9854124415319396</v>
      </c>
    </row>
    <row r="64" spans="1:9" ht="13">
      <c r="A64" s="131" t="s">
        <v>1441</v>
      </c>
      <c r="B64" s="53">
        <v>41792</v>
      </c>
      <c r="C64" s="52">
        <v>20</v>
      </c>
      <c r="D64" s="72" t="str">
        <f>IF(DATEDIF($B64,'Inst summary and ER calculation'!$T$6,"y")=1,"1-2 years","2-3 years")</f>
        <v>2-3 years</v>
      </c>
      <c r="E64" s="69">
        <f t="shared" si="0"/>
        <v>0.99726775956284153</v>
      </c>
      <c r="F64" s="69">
        <f>$C64*E64*_xlfn.XLOOKUP($D64,'Sample Size cal and results'!$B$23:$B$24,'Sample Size cal and results'!$D$23:$D$24)</f>
        <v>20.311147684020316</v>
      </c>
      <c r="G64" s="72" t="str">
        <f>IF(DATEDIF($B64,'Inst summary and ER calculation'!$U$6,"y")=2,"2-3 years","3-4 years")</f>
        <v>3-4 years</v>
      </c>
      <c r="H64" s="69">
        <f t="shared" si="1"/>
        <v>1</v>
      </c>
      <c r="I64" s="142">
        <f>$C64*H64*_xlfn.XLOOKUP($G64,'Sample Size cal and results'!$B$25:$B$26,'Sample Size cal and results'!$D$25:$D$26)</f>
        <v>19.902749610212929</v>
      </c>
    </row>
    <row r="65" spans="1:9" ht="13">
      <c r="A65" s="131" t="s">
        <v>1441</v>
      </c>
      <c r="B65" s="53">
        <v>41793</v>
      </c>
      <c r="C65" s="52">
        <v>15</v>
      </c>
      <c r="D65" s="72" t="str">
        <f>IF(DATEDIF($B65,'Inst summary and ER calculation'!$T$6,"y")=1,"1-2 years","2-3 years")</f>
        <v>2-3 years</v>
      </c>
      <c r="E65" s="69">
        <f t="shared" si="0"/>
        <v>0.99726775956284153</v>
      </c>
      <c r="F65" s="69">
        <f>$C65*E65*_xlfn.XLOOKUP($D65,'Sample Size cal and results'!$B$23:$B$24,'Sample Size cal and results'!$D$23:$D$24)</f>
        <v>15.233360763015238</v>
      </c>
      <c r="G65" s="72" t="str">
        <f>IF(DATEDIF($B65,'Inst summary and ER calculation'!$U$6,"y")=2,"2-3 years","3-4 years")</f>
        <v>3-4 years</v>
      </c>
      <c r="H65" s="69">
        <f t="shared" si="1"/>
        <v>1</v>
      </c>
      <c r="I65" s="142">
        <f>$C65*H65*_xlfn.XLOOKUP($G65,'Sample Size cal and results'!$B$25:$B$26,'Sample Size cal and results'!$D$25:$D$26)</f>
        <v>14.927062207659699</v>
      </c>
    </row>
    <row r="66" spans="1:9" ht="13">
      <c r="A66" s="131" t="s">
        <v>1441</v>
      </c>
      <c r="B66" s="53">
        <v>41794</v>
      </c>
      <c r="C66" s="52">
        <v>16</v>
      </c>
      <c r="D66" s="72" t="str">
        <f>IF(DATEDIF($B66,'Inst summary and ER calculation'!$T$6,"y")=1,"1-2 years","2-3 years")</f>
        <v>2-3 years</v>
      </c>
      <c r="E66" s="69">
        <f t="shared" ref="E66:E129" si="11">MAX(MIN($T$6)-MAX($T$4,$B66,_xlfn.XLOOKUP($A66,$W$1:$W$36,$X$1:$X$36))+1,0)/366</f>
        <v>0.99726775956284153</v>
      </c>
      <c r="F66" s="69">
        <f>$C66*E66*_xlfn.XLOOKUP($D66,'Sample Size cal and results'!$B$23:$B$24,'Sample Size cal and results'!$D$23:$D$24)</f>
        <v>16.248918147216255</v>
      </c>
      <c r="G66" s="72" t="str">
        <f>IF(DATEDIF($B66,'Inst summary and ER calculation'!$U$6,"y")=2,"2-3 years","3-4 years")</f>
        <v>3-4 years</v>
      </c>
      <c r="H66" s="69">
        <f t="shared" ref="H66:H129" si="12">MAX(MIN($U$6)-MAX($U$4,$B66,_xlfn.XLOOKUP($A66,$W$1:$W$36,$X$1:$X$36))+1,0)/365</f>
        <v>1</v>
      </c>
      <c r="I66" s="142">
        <f>$C66*H66*_xlfn.XLOOKUP($G66,'Sample Size cal and results'!$B$25:$B$26,'Sample Size cal and results'!$D$25:$D$26)</f>
        <v>15.922199688170345</v>
      </c>
    </row>
    <row r="67" spans="1:9" ht="13">
      <c r="A67" s="131" t="s">
        <v>1441</v>
      </c>
      <c r="B67" s="53">
        <v>41795</v>
      </c>
      <c r="C67" s="52">
        <v>38</v>
      </c>
      <c r="D67" s="72" t="str">
        <f>IF(DATEDIF($B67,'Inst summary and ER calculation'!$T$6,"y")=1,"1-2 years","2-3 years")</f>
        <v>2-3 years</v>
      </c>
      <c r="E67" s="69">
        <f t="shared" si="11"/>
        <v>0.99726775956284153</v>
      </c>
      <c r="F67" s="69">
        <f>$C67*E67*_xlfn.XLOOKUP($D67,'Sample Size cal and results'!$B$23:$B$24,'Sample Size cal and results'!$D$23:$D$24)</f>
        <v>38.591180599638598</v>
      </c>
      <c r="G67" s="72" t="str">
        <f>IF(DATEDIF($B67,'Inst summary and ER calculation'!$U$6,"y")=2,"2-3 years","3-4 years")</f>
        <v>3-4 years</v>
      </c>
      <c r="H67" s="69">
        <f t="shared" si="12"/>
        <v>1</v>
      </c>
      <c r="I67" s="142">
        <f>$C67*H67*_xlfn.XLOOKUP($G67,'Sample Size cal and results'!$B$25:$B$26,'Sample Size cal and results'!$D$25:$D$26)</f>
        <v>37.815224259404566</v>
      </c>
    </row>
    <row r="68" spans="1:9" ht="13">
      <c r="A68" s="131" t="s">
        <v>1441</v>
      </c>
      <c r="B68" s="53">
        <v>41796</v>
      </c>
      <c r="C68" s="52">
        <v>19</v>
      </c>
      <c r="D68" s="72" t="str">
        <f>IF(DATEDIF($B68,'Inst summary and ER calculation'!$T$6,"y")=1,"1-2 years","2-3 years")</f>
        <v>2-3 years</v>
      </c>
      <c r="E68" s="69">
        <f t="shared" si="11"/>
        <v>0.99726775956284153</v>
      </c>
      <c r="F68" s="69">
        <f>$C68*E68*_xlfn.XLOOKUP($D68,'Sample Size cal and results'!$B$23:$B$24,'Sample Size cal and results'!$D$23:$D$24)</f>
        <v>19.295590299819299</v>
      </c>
      <c r="G68" s="72" t="str">
        <f>IF(DATEDIF($B68,'Inst summary and ER calculation'!$U$6,"y")=2,"2-3 years","3-4 years")</f>
        <v>3-4 years</v>
      </c>
      <c r="H68" s="69">
        <f t="shared" si="12"/>
        <v>1</v>
      </c>
      <c r="I68" s="142">
        <f>$C68*H68*_xlfn.XLOOKUP($G68,'Sample Size cal and results'!$B$25:$B$26,'Sample Size cal and results'!$D$25:$D$26)</f>
        <v>18.907612129702283</v>
      </c>
    </row>
    <row r="69" spans="1:9" ht="13">
      <c r="A69" s="131" t="s">
        <v>1441</v>
      </c>
      <c r="B69" s="53">
        <v>41797</v>
      </c>
      <c r="C69" s="52">
        <v>26</v>
      </c>
      <c r="D69" s="72" t="str">
        <f>IF(DATEDIF($B69,'Inst summary and ER calculation'!$T$6,"y")=1,"1-2 years","2-3 years")</f>
        <v>2-3 years</v>
      </c>
      <c r="E69" s="69">
        <f t="shared" si="11"/>
        <v>0.99726775956284153</v>
      </c>
      <c r="F69" s="69">
        <f>$C69*E69*_xlfn.XLOOKUP($D69,'Sample Size cal and results'!$B$23:$B$24,'Sample Size cal and results'!$D$23:$D$24)</f>
        <v>26.404491989226415</v>
      </c>
      <c r="G69" s="72" t="str">
        <f>IF(DATEDIF($B69,'Inst summary and ER calculation'!$U$6,"y")=2,"2-3 years","3-4 years")</f>
        <v>3-4 years</v>
      </c>
      <c r="H69" s="69">
        <f t="shared" si="12"/>
        <v>1</v>
      </c>
      <c r="I69" s="142">
        <f>$C69*H69*_xlfn.XLOOKUP($G69,'Sample Size cal and results'!$B$25:$B$26,'Sample Size cal and results'!$D$25:$D$26)</f>
        <v>25.873574493276809</v>
      </c>
    </row>
    <row r="70" spans="1:9" ht="13">
      <c r="A70" s="131" t="s">
        <v>1441</v>
      </c>
      <c r="B70" s="53">
        <v>41798</v>
      </c>
      <c r="C70" s="52">
        <v>34</v>
      </c>
      <c r="D70" s="72" t="str">
        <f>IF(DATEDIF($B70,'Inst summary and ER calculation'!$T$6,"y")=1,"1-2 years","2-3 years")</f>
        <v>2-3 years</v>
      </c>
      <c r="E70" s="69">
        <f t="shared" si="11"/>
        <v>0.99726775956284153</v>
      </c>
      <c r="F70" s="69">
        <f>$C70*E70*_xlfn.XLOOKUP($D70,'Sample Size cal and results'!$B$23:$B$24,'Sample Size cal and results'!$D$23:$D$24)</f>
        <v>34.528951062834537</v>
      </c>
      <c r="G70" s="72" t="str">
        <f>IF(DATEDIF($B70,'Inst summary and ER calculation'!$U$6,"y")=2,"2-3 years","3-4 years")</f>
        <v>3-4 years</v>
      </c>
      <c r="H70" s="69">
        <f t="shared" si="12"/>
        <v>1</v>
      </c>
      <c r="I70" s="142">
        <f>$C70*H70*_xlfn.XLOOKUP($G70,'Sample Size cal and results'!$B$25:$B$26,'Sample Size cal and results'!$D$25:$D$26)</f>
        <v>33.834674337361982</v>
      </c>
    </row>
    <row r="71" spans="1:9" ht="13">
      <c r="A71" s="131" t="s">
        <v>1441</v>
      </c>
      <c r="B71" s="53">
        <v>41799</v>
      </c>
      <c r="C71" s="52">
        <v>30</v>
      </c>
      <c r="D71" s="72" t="str">
        <f>IF(DATEDIF($B71,'Inst summary and ER calculation'!$T$6,"y")=1,"1-2 years","2-3 years")</f>
        <v>2-3 years</v>
      </c>
      <c r="E71" s="69">
        <f t="shared" si="11"/>
        <v>0.99726775956284153</v>
      </c>
      <c r="F71" s="69">
        <f>$C71*E71*_xlfn.XLOOKUP($D71,'Sample Size cal and results'!$B$23:$B$24,'Sample Size cal and results'!$D$23:$D$24)</f>
        <v>30.466721526030476</v>
      </c>
      <c r="G71" s="72" t="str">
        <f>IF(DATEDIF($B71,'Inst summary and ER calculation'!$U$6,"y")=2,"2-3 years","3-4 years")</f>
        <v>3-4 years</v>
      </c>
      <c r="H71" s="69">
        <f t="shared" si="12"/>
        <v>1</v>
      </c>
      <c r="I71" s="142">
        <f>$C71*H71*_xlfn.XLOOKUP($G71,'Sample Size cal and results'!$B$25:$B$26,'Sample Size cal and results'!$D$25:$D$26)</f>
        <v>29.854124415319397</v>
      </c>
    </row>
    <row r="72" spans="1:9" ht="13">
      <c r="A72" s="131" t="s">
        <v>1441</v>
      </c>
      <c r="B72" s="53">
        <v>41800</v>
      </c>
      <c r="C72" s="52">
        <v>33</v>
      </c>
      <c r="D72" s="72" t="str">
        <f>IF(DATEDIF($B72,'Inst summary and ER calculation'!$T$6,"y")=1,"1-2 years","2-3 years")</f>
        <v>2-3 years</v>
      </c>
      <c r="E72" s="69">
        <f t="shared" si="11"/>
        <v>0.99726775956284153</v>
      </c>
      <c r="F72" s="69">
        <f>$C72*E72*_xlfn.XLOOKUP($D72,'Sample Size cal and results'!$B$23:$B$24,'Sample Size cal and results'!$D$23:$D$24)</f>
        <v>33.513393678633527</v>
      </c>
      <c r="G72" s="72" t="str">
        <f>IF(DATEDIF($B72,'Inst summary and ER calculation'!$U$6,"y")=2,"2-3 years","3-4 years")</f>
        <v>3-4 years</v>
      </c>
      <c r="H72" s="69">
        <f t="shared" si="12"/>
        <v>1</v>
      </c>
      <c r="I72" s="142">
        <f>$C72*H72*_xlfn.XLOOKUP($G72,'Sample Size cal and results'!$B$25:$B$26,'Sample Size cal and results'!$D$25:$D$26)</f>
        <v>32.839536856851339</v>
      </c>
    </row>
    <row r="73" spans="1:9" ht="13">
      <c r="A73" s="131" t="s">
        <v>1441</v>
      </c>
      <c r="B73" s="53">
        <v>41801</v>
      </c>
      <c r="C73" s="52">
        <v>23</v>
      </c>
      <c r="D73" s="72" t="str">
        <f>IF(DATEDIF($B73,'Inst summary and ER calculation'!$T$6,"y")=1,"1-2 years","2-3 years")</f>
        <v>2-3 years</v>
      </c>
      <c r="E73" s="69">
        <f t="shared" si="11"/>
        <v>0.99726775956284153</v>
      </c>
      <c r="F73" s="69">
        <f>$C73*E73*_xlfn.XLOOKUP($D73,'Sample Size cal and results'!$B$23:$B$24,'Sample Size cal and results'!$D$23:$D$24)</f>
        <v>23.357819836623367</v>
      </c>
      <c r="G73" s="72" t="str">
        <f>IF(DATEDIF($B73,'Inst summary and ER calculation'!$U$6,"y")=2,"2-3 years","3-4 years")</f>
        <v>3-4 years</v>
      </c>
      <c r="H73" s="69">
        <f t="shared" si="12"/>
        <v>1</v>
      </c>
      <c r="I73" s="142">
        <f>$C73*H73*_xlfn.XLOOKUP($G73,'Sample Size cal and results'!$B$25:$B$26,'Sample Size cal and results'!$D$25:$D$26)</f>
        <v>22.888162051744871</v>
      </c>
    </row>
    <row r="74" spans="1:9" ht="13">
      <c r="A74" s="131" t="s">
        <v>1441</v>
      </c>
      <c r="B74" s="53">
        <v>41802</v>
      </c>
      <c r="C74" s="52">
        <v>28</v>
      </c>
      <c r="D74" s="72" t="str">
        <f>IF(DATEDIF($B74,'Inst summary and ER calculation'!$T$6,"y")=1,"1-2 years","2-3 years")</f>
        <v>2-3 years</v>
      </c>
      <c r="E74" s="69">
        <f t="shared" si="11"/>
        <v>0.99726775956284153</v>
      </c>
      <c r="F74" s="69">
        <f>$C74*E74*_xlfn.XLOOKUP($D74,'Sample Size cal and results'!$B$23:$B$24,'Sample Size cal and results'!$D$23:$D$24)</f>
        <v>28.435606757628442</v>
      </c>
      <c r="G74" s="72" t="str">
        <f>IF(DATEDIF($B74,'Inst summary and ER calculation'!$U$6,"y")=2,"2-3 years","3-4 years")</f>
        <v>3-4 years</v>
      </c>
      <c r="H74" s="69">
        <f t="shared" si="12"/>
        <v>1</v>
      </c>
      <c r="I74" s="142">
        <f>$C74*H74*_xlfn.XLOOKUP($G74,'Sample Size cal and results'!$B$25:$B$26,'Sample Size cal and results'!$D$25:$D$26)</f>
        <v>27.863849454298105</v>
      </c>
    </row>
    <row r="75" spans="1:9" ht="13">
      <c r="A75" s="131" t="s">
        <v>1441</v>
      </c>
      <c r="B75" s="53">
        <v>41803</v>
      </c>
      <c r="C75" s="52">
        <v>18</v>
      </c>
      <c r="D75" s="72" t="str">
        <f>IF(DATEDIF($B75,'Inst summary and ER calculation'!$T$6,"y")=1,"1-2 years","2-3 years")</f>
        <v>2-3 years</v>
      </c>
      <c r="E75" s="69">
        <f t="shared" si="11"/>
        <v>0.99726775956284153</v>
      </c>
      <c r="F75" s="69">
        <f>$C75*E75*_xlfn.XLOOKUP($D75,'Sample Size cal and results'!$B$23:$B$24,'Sample Size cal and results'!$D$23:$D$24)</f>
        <v>18.280032915618285</v>
      </c>
      <c r="G75" s="72" t="str">
        <f>IF(DATEDIF($B75,'Inst summary and ER calculation'!$U$6,"y")=2,"2-3 years","3-4 years")</f>
        <v>3-4 years</v>
      </c>
      <c r="H75" s="69">
        <f t="shared" si="12"/>
        <v>1</v>
      </c>
      <c r="I75" s="142">
        <f>$C75*H75*_xlfn.XLOOKUP($G75,'Sample Size cal and results'!$B$25:$B$26,'Sample Size cal and results'!$D$25:$D$26)</f>
        <v>17.912474649191637</v>
      </c>
    </row>
    <row r="76" spans="1:9" ht="13">
      <c r="A76" s="131" t="s">
        <v>1441</v>
      </c>
      <c r="B76" s="53">
        <v>41804</v>
      </c>
      <c r="C76" s="52">
        <v>31</v>
      </c>
      <c r="D76" s="72" t="str">
        <f>IF(DATEDIF($B76,'Inst summary and ER calculation'!$T$6,"y")=1,"1-2 years","2-3 years")</f>
        <v>2-3 years</v>
      </c>
      <c r="E76" s="69">
        <f t="shared" si="11"/>
        <v>0.99726775956284153</v>
      </c>
      <c r="F76" s="69">
        <f>$C76*E76*_xlfn.XLOOKUP($D76,'Sample Size cal and results'!$B$23:$B$24,'Sample Size cal and results'!$D$23:$D$24)</f>
        <v>31.482278910231493</v>
      </c>
      <c r="G76" s="72" t="str">
        <f>IF(DATEDIF($B76,'Inst summary and ER calculation'!$U$6,"y")=2,"2-3 years","3-4 years")</f>
        <v>3-4 years</v>
      </c>
      <c r="H76" s="69">
        <f t="shared" si="12"/>
        <v>1</v>
      </c>
      <c r="I76" s="142">
        <f>$C76*H76*_xlfn.XLOOKUP($G76,'Sample Size cal and results'!$B$25:$B$26,'Sample Size cal and results'!$D$25:$D$26)</f>
        <v>30.849261895830043</v>
      </c>
    </row>
    <row r="77" spans="1:9" ht="13">
      <c r="A77" s="131" t="s">
        <v>1441</v>
      </c>
      <c r="B77" s="53">
        <v>41805</v>
      </c>
      <c r="C77" s="52">
        <v>737</v>
      </c>
      <c r="D77" s="72" t="str">
        <f>IF(DATEDIF($B77,'Inst summary and ER calculation'!$T$6,"y")=1,"1-2 years","2-3 years")</f>
        <v>2-3 years</v>
      </c>
      <c r="E77" s="69">
        <f t="shared" si="11"/>
        <v>0.99726775956284153</v>
      </c>
      <c r="F77" s="69">
        <f>$C77*E77*_xlfn.XLOOKUP($D77,'Sample Size cal and results'!$B$23:$B$24,'Sample Size cal and results'!$D$23:$D$24)</f>
        <v>748.46579215614872</v>
      </c>
      <c r="G77" s="72" t="str">
        <f>IF(DATEDIF($B77,'Inst summary and ER calculation'!$U$6,"y")=2,"2-3 years","3-4 years")</f>
        <v>3-4 years</v>
      </c>
      <c r="H77" s="69">
        <f t="shared" si="12"/>
        <v>1</v>
      </c>
      <c r="I77" s="142">
        <f>$C77*H77*_xlfn.XLOOKUP($G77,'Sample Size cal and results'!$B$25:$B$26,'Sample Size cal and results'!$D$25:$D$26)</f>
        <v>733.41632313634648</v>
      </c>
    </row>
    <row r="78" spans="1:9" ht="13">
      <c r="A78" s="131" t="s">
        <v>1441</v>
      </c>
      <c r="B78" s="53">
        <v>41806</v>
      </c>
      <c r="C78" s="52">
        <v>25</v>
      </c>
      <c r="D78" s="72" t="str">
        <f>IF(DATEDIF($B78,'Inst summary and ER calculation'!$T$6,"y")=1,"1-2 years","2-3 years")</f>
        <v>2-3 years</v>
      </c>
      <c r="E78" s="69">
        <f t="shared" si="11"/>
        <v>0.99726775956284153</v>
      </c>
      <c r="F78" s="69">
        <f>$C78*E78*_xlfn.XLOOKUP($D78,'Sample Size cal and results'!$B$23:$B$24,'Sample Size cal and results'!$D$23:$D$24)</f>
        <v>25.388934605025398</v>
      </c>
      <c r="G78" s="72" t="str">
        <f>IF(DATEDIF($B78,'Inst summary and ER calculation'!$U$6,"y")=2,"2-3 years","3-4 years")</f>
        <v>3-4 years</v>
      </c>
      <c r="H78" s="69">
        <f t="shared" si="12"/>
        <v>1</v>
      </c>
      <c r="I78" s="142">
        <f>$C78*H78*_xlfn.XLOOKUP($G78,'Sample Size cal and results'!$B$25:$B$26,'Sample Size cal and results'!$D$25:$D$26)</f>
        <v>24.878437012766163</v>
      </c>
    </row>
    <row r="79" spans="1:9" ht="13">
      <c r="A79" s="131" t="s">
        <v>1441</v>
      </c>
      <c r="B79" s="53">
        <v>41807</v>
      </c>
      <c r="C79" s="52">
        <v>32</v>
      </c>
      <c r="D79" s="72" t="str">
        <f>IF(DATEDIF($B79,'Inst summary and ER calculation'!$T$6,"y")=1,"1-2 years","2-3 years")</f>
        <v>2-3 years</v>
      </c>
      <c r="E79" s="69">
        <f t="shared" si="11"/>
        <v>0.99726775956284153</v>
      </c>
      <c r="F79" s="69">
        <f>$C79*E79*_xlfn.XLOOKUP($D79,'Sample Size cal and results'!$B$23:$B$24,'Sample Size cal and results'!$D$23:$D$24)</f>
        <v>32.49783629443251</v>
      </c>
      <c r="G79" s="72" t="str">
        <f>IF(DATEDIF($B79,'Inst summary and ER calculation'!$U$6,"y")=2,"2-3 years","3-4 years")</f>
        <v>3-4 years</v>
      </c>
      <c r="H79" s="69">
        <f t="shared" si="12"/>
        <v>1</v>
      </c>
      <c r="I79" s="142">
        <f>$C79*H79*_xlfn.XLOOKUP($G79,'Sample Size cal and results'!$B$25:$B$26,'Sample Size cal and results'!$D$25:$D$26)</f>
        <v>31.844399376340689</v>
      </c>
    </row>
    <row r="80" spans="1:9" ht="13">
      <c r="A80" s="131" t="s">
        <v>1441</v>
      </c>
      <c r="B80" s="53">
        <v>41808</v>
      </c>
      <c r="C80" s="52">
        <v>25</v>
      </c>
      <c r="D80" s="72" t="str">
        <f>IF(DATEDIF($B80,'Inst summary and ER calculation'!$T$6,"y")=1,"1-2 years","2-3 years")</f>
        <v>2-3 years</v>
      </c>
      <c r="E80" s="69">
        <f t="shared" si="11"/>
        <v>0.99726775956284153</v>
      </c>
      <c r="F80" s="69">
        <f>$C80*E80*_xlfn.XLOOKUP($D80,'Sample Size cal and results'!$B$23:$B$24,'Sample Size cal and results'!$D$23:$D$24)</f>
        <v>25.388934605025398</v>
      </c>
      <c r="G80" s="72" t="str">
        <f>IF(DATEDIF($B80,'Inst summary and ER calculation'!$U$6,"y")=2,"2-3 years","3-4 years")</f>
        <v>3-4 years</v>
      </c>
      <c r="H80" s="69">
        <f t="shared" si="12"/>
        <v>1</v>
      </c>
      <c r="I80" s="142">
        <f>$C80*H80*_xlfn.XLOOKUP($G80,'Sample Size cal and results'!$B$25:$B$26,'Sample Size cal and results'!$D$25:$D$26)</f>
        <v>24.878437012766163</v>
      </c>
    </row>
    <row r="81" spans="1:9" ht="13">
      <c r="A81" s="131" t="s">
        <v>1441</v>
      </c>
      <c r="B81" s="53">
        <v>41809</v>
      </c>
      <c r="C81" s="52">
        <v>27</v>
      </c>
      <c r="D81" s="72" t="str">
        <f>IF(DATEDIF($B81,'Inst summary and ER calculation'!$T$6,"y")=1,"1-2 years","2-3 years")</f>
        <v>2-3 years</v>
      </c>
      <c r="E81" s="69">
        <f t="shared" si="11"/>
        <v>0.99726775956284153</v>
      </c>
      <c r="F81" s="69">
        <f>$C81*E81*_xlfn.XLOOKUP($D81,'Sample Size cal and results'!$B$23:$B$24,'Sample Size cal and results'!$D$23:$D$24)</f>
        <v>27.420049373427428</v>
      </c>
      <c r="G81" s="72" t="str">
        <f>IF(DATEDIF($B81,'Inst summary and ER calculation'!$U$6,"y")=2,"2-3 years","3-4 years")</f>
        <v>3-4 years</v>
      </c>
      <c r="H81" s="69">
        <f t="shared" si="12"/>
        <v>1</v>
      </c>
      <c r="I81" s="142">
        <f>$C81*H81*_xlfn.XLOOKUP($G81,'Sample Size cal and results'!$B$25:$B$26,'Sample Size cal and results'!$D$25:$D$26)</f>
        <v>26.868711973787455</v>
      </c>
    </row>
    <row r="82" spans="1:9" ht="13">
      <c r="A82" s="131" t="s">
        <v>1441</v>
      </c>
      <c r="B82" s="53">
        <v>41810</v>
      </c>
      <c r="C82" s="52">
        <v>31</v>
      </c>
      <c r="D82" s="72" t="str">
        <f>IF(DATEDIF($B82,'Inst summary and ER calculation'!$T$6,"y")=1,"1-2 years","2-3 years")</f>
        <v>2-3 years</v>
      </c>
      <c r="E82" s="69">
        <f t="shared" si="11"/>
        <v>0.99726775956284153</v>
      </c>
      <c r="F82" s="69">
        <f>$C82*E82*_xlfn.XLOOKUP($D82,'Sample Size cal and results'!$B$23:$B$24,'Sample Size cal and results'!$D$23:$D$24)</f>
        <v>31.482278910231493</v>
      </c>
      <c r="G82" s="72" t="str">
        <f>IF(DATEDIF($B82,'Inst summary and ER calculation'!$U$6,"y")=2,"2-3 years","3-4 years")</f>
        <v>3-4 years</v>
      </c>
      <c r="H82" s="69">
        <f t="shared" si="12"/>
        <v>1</v>
      </c>
      <c r="I82" s="142">
        <f>$C82*H82*_xlfn.XLOOKUP($G82,'Sample Size cal and results'!$B$25:$B$26,'Sample Size cal and results'!$D$25:$D$26)</f>
        <v>30.849261895830043</v>
      </c>
    </row>
    <row r="83" spans="1:9" ht="13">
      <c r="A83" s="131" t="s">
        <v>1441</v>
      </c>
      <c r="B83" s="53">
        <v>41811</v>
      </c>
      <c r="C83" s="52">
        <v>25</v>
      </c>
      <c r="D83" s="72" t="str">
        <f>IF(DATEDIF($B83,'Inst summary and ER calculation'!$T$6,"y")=1,"1-2 years","2-3 years")</f>
        <v>2-3 years</v>
      </c>
      <c r="E83" s="69">
        <f t="shared" si="11"/>
        <v>0.99726775956284153</v>
      </c>
      <c r="F83" s="69">
        <f>$C83*E83*_xlfn.XLOOKUP($D83,'Sample Size cal and results'!$B$23:$B$24,'Sample Size cal and results'!$D$23:$D$24)</f>
        <v>25.388934605025398</v>
      </c>
      <c r="G83" s="72" t="str">
        <f>IF(DATEDIF($B83,'Inst summary and ER calculation'!$U$6,"y")=2,"2-3 years","3-4 years")</f>
        <v>3-4 years</v>
      </c>
      <c r="H83" s="69">
        <f t="shared" si="12"/>
        <v>1</v>
      </c>
      <c r="I83" s="142">
        <f>$C83*H83*_xlfn.XLOOKUP($G83,'Sample Size cal and results'!$B$25:$B$26,'Sample Size cal and results'!$D$25:$D$26)</f>
        <v>24.878437012766163</v>
      </c>
    </row>
    <row r="84" spans="1:9" ht="13">
      <c r="A84" s="131" t="s">
        <v>1441</v>
      </c>
      <c r="B84" s="53">
        <v>41812</v>
      </c>
      <c r="C84" s="52">
        <v>31</v>
      </c>
      <c r="D84" s="72" t="str">
        <f>IF(DATEDIF($B84,'Inst summary and ER calculation'!$T$6,"y")=1,"1-2 years","2-3 years")</f>
        <v>2-3 years</v>
      </c>
      <c r="E84" s="69">
        <f t="shared" si="11"/>
        <v>0.99726775956284153</v>
      </c>
      <c r="F84" s="69">
        <f>$C84*E84*_xlfn.XLOOKUP($D84,'Sample Size cal and results'!$B$23:$B$24,'Sample Size cal and results'!$D$23:$D$24)</f>
        <v>31.482278910231493</v>
      </c>
      <c r="G84" s="72" t="str">
        <f>IF(DATEDIF($B84,'Inst summary and ER calculation'!$U$6,"y")=2,"2-3 years","3-4 years")</f>
        <v>3-4 years</v>
      </c>
      <c r="H84" s="69">
        <f t="shared" si="12"/>
        <v>1</v>
      </c>
      <c r="I84" s="142">
        <f>$C84*H84*_xlfn.XLOOKUP($G84,'Sample Size cal and results'!$B$25:$B$26,'Sample Size cal and results'!$D$25:$D$26)</f>
        <v>30.849261895830043</v>
      </c>
    </row>
    <row r="85" spans="1:9" ht="13">
      <c r="A85" s="131" t="s">
        <v>1441</v>
      </c>
      <c r="B85" s="53">
        <v>41813</v>
      </c>
      <c r="C85" s="52">
        <v>24</v>
      </c>
      <c r="D85" s="72" t="str">
        <f>IF(DATEDIF($B85,'Inst summary and ER calculation'!$T$6,"y")=1,"1-2 years","2-3 years")</f>
        <v>2-3 years</v>
      </c>
      <c r="E85" s="69">
        <f t="shared" si="11"/>
        <v>0.99726775956284153</v>
      </c>
      <c r="F85" s="69">
        <f>$C85*E85*_xlfn.XLOOKUP($D85,'Sample Size cal and results'!$B$23:$B$24,'Sample Size cal and results'!$D$23:$D$24)</f>
        <v>24.373377220824381</v>
      </c>
      <c r="G85" s="72" t="str">
        <f>IF(DATEDIF($B85,'Inst summary and ER calculation'!$U$6,"y")=2,"2-3 years","3-4 years")</f>
        <v>3-4 years</v>
      </c>
      <c r="H85" s="69">
        <f t="shared" si="12"/>
        <v>1</v>
      </c>
      <c r="I85" s="142">
        <f>$C85*H85*_xlfn.XLOOKUP($G85,'Sample Size cal and results'!$B$25:$B$26,'Sample Size cal and results'!$D$25:$D$26)</f>
        <v>23.883299532255517</v>
      </c>
    </row>
    <row r="86" spans="1:9" ht="13">
      <c r="A86" s="131" t="s">
        <v>1441</v>
      </c>
      <c r="B86" s="53">
        <v>41814</v>
      </c>
      <c r="C86" s="52">
        <v>24</v>
      </c>
      <c r="D86" s="72" t="str">
        <f>IF(DATEDIF($B86,'Inst summary and ER calculation'!$T$6,"y")=1,"1-2 years","2-3 years")</f>
        <v>2-3 years</v>
      </c>
      <c r="E86" s="69">
        <f t="shared" si="11"/>
        <v>0.99726775956284153</v>
      </c>
      <c r="F86" s="69">
        <f>$C86*E86*_xlfn.XLOOKUP($D86,'Sample Size cal and results'!$B$23:$B$24,'Sample Size cal and results'!$D$23:$D$24)</f>
        <v>24.373377220824381</v>
      </c>
      <c r="G86" s="72" t="str">
        <f>IF(DATEDIF($B86,'Inst summary and ER calculation'!$U$6,"y")=2,"2-3 years","3-4 years")</f>
        <v>3-4 years</v>
      </c>
      <c r="H86" s="69">
        <f t="shared" si="12"/>
        <v>1</v>
      </c>
      <c r="I86" s="142">
        <f>$C86*H86*_xlfn.XLOOKUP($G86,'Sample Size cal and results'!$B$25:$B$26,'Sample Size cal and results'!$D$25:$D$26)</f>
        <v>23.883299532255517</v>
      </c>
    </row>
    <row r="87" spans="1:9" ht="13">
      <c r="A87" s="131" t="s">
        <v>1441</v>
      </c>
      <c r="B87" s="53">
        <v>41815</v>
      </c>
      <c r="C87" s="52">
        <v>41</v>
      </c>
      <c r="D87" s="72" t="str">
        <f>IF(DATEDIF($B87,'Inst summary and ER calculation'!$T$6,"y")=1,"1-2 years","2-3 years")</f>
        <v>2-3 years</v>
      </c>
      <c r="E87" s="69">
        <f t="shared" si="11"/>
        <v>0.99726775956284153</v>
      </c>
      <c r="F87" s="69">
        <f>$C87*E87*_xlfn.XLOOKUP($D87,'Sample Size cal and results'!$B$23:$B$24,'Sample Size cal and results'!$D$23:$D$24)</f>
        <v>41.637852752241656</v>
      </c>
      <c r="G87" s="72" t="str">
        <f>IF(DATEDIF($B87,'Inst summary and ER calculation'!$U$6,"y")=2,"2-3 years","3-4 years")</f>
        <v>3-4 years</v>
      </c>
      <c r="H87" s="69">
        <f t="shared" si="12"/>
        <v>1</v>
      </c>
      <c r="I87" s="142">
        <f>$C87*H87*_xlfn.XLOOKUP($G87,'Sample Size cal and results'!$B$25:$B$26,'Sample Size cal and results'!$D$25:$D$26)</f>
        <v>40.800636700936508</v>
      </c>
    </row>
    <row r="88" spans="1:9" ht="13">
      <c r="A88" s="131" t="s">
        <v>1441</v>
      </c>
      <c r="B88" s="53">
        <v>41816</v>
      </c>
      <c r="C88" s="52">
        <v>23</v>
      </c>
      <c r="D88" s="72" t="str">
        <f>IF(DATEDIF($B88,'Inst summary and ER calculation'!$T$6,"y")=1,"1-2 years","2-3 years")</f>
        <v>2-3 years</v>
      </c>
      <c r="E88" s="69">
        <f t="shared" si="11"/>
        <v>0.99726775956284153</v>
      </c>
      <c r="F88" s="69">
        <f>$C88*E88*_xlfn.XLOOKUP($D88,'Sample Size cal and results'!$B$23:$B$24,'Sample Size cal and results'!$D$23:$D$24)</f>
        <v>23.357819836623367</v>
      </c>
      <c r="G88" s="72" t="str">
        <f>IF(DATEDIF($B88,'Inst summary and ER calculation'!$U$6,"y")=2,"2-3 years","3-4 years")</f>
        <v>3-4 years</v>
      </c>
      <c r="H88" s="69">
        <f t="shared" si="12"/>
        <v>1</v>
      </c>
      <c r="I88" s="142">
        <f>$C88*H88*_xlfn.XLOOKUP($G88,'Sample Size cal and results'!$B$25:$B$26,'Sample Size cal and results'!$D$25:$D$26)</f>
        <v>22.888162051744871</v>
      </c>
    </row>
    <row r="89" spans="1:9" ht="13">
      <c r="A89" s="131" t="s">
        <v>1441</v>
      </c>
      <c r="B89" s="53">
        <v>41817</v>
      </c>
      <c r="C89" s="52">
        <v>21</v>
      </c>
      <c r="D89" s="72" t="str">
        <f>IF(DATEDIF($B89,'Inst summary and ER calculation'!$T$6,"y")=1,"1-2 years","2-3 years")</f>
        <v>2-3 years</v>
      </c>
      <c r="E89" s="69">
        <f t="shared" si="11"/>
        <v>0.99726775956284153</v>
      </c>
      <c r="F89" s="69">
        <f>$C89*E89*_xlfn.XLOOKUP($D89,'Sample Size cal and results'!$B$23:$B$24,'Sample Size cal and results'!$D$23:$D$24)</f>
        <v>21.326705068221333</v>
      </c>
      <c r="G89" s="72" t="str">
        <f>IF(DATEDIF($B89,'Inst summary and ER calculation'!$U$6,"y")=2,"2-3 years","3-4 years")</f>
        <v>3-4 years</v>
      </c>
      <c r="H89" s="69">
        <f t="shared" si="12"/>
        <v>1</v>
      </c>
      <c r="I89" s="142">
        <f>$C89*H89*_xlfn.XLOOKUP($G89,'Sample Size cal and results'!$B$25:$B$26,'Sample Size cal and results'!$D$25:$D$26)</f>
        <v>20.897887090723579</v>
      </c>
    </row>
    <row r="90" spans="1:9" ht="13">
      <c r="A90" s="131" t="s">
        <v>1441</v>
      </c>
      <c r="B90" s="53">
        <v>41818</v>
      </c>
      <c r="C90" s="52">
        <v>33</v>
      </c>
      <c r="D90" s="72" t="str">
        <f>IF(DATEDIF($B90,'Inst summary and ER calculation'!$T$6,"y")=1,"1-2 years","2-3 years")</f>
        <v>2-3 years</v>
      </c>
      <c r="E90" s="69">
        <f t="shared" si="11"/>
        <v>0.99726775956284153</v>
      </c>
      <c r="F90" s="69">
        <f>$C90*E90*_xlfn.XLOOKUP($D90,'Sample Size cal and results'!$B$23:$B$24,'Sample Size cal and results'!$D$23:$D$24)</f>
        <v>33.513393678633527</v>
      </c>
      <c r="G90" s="72" t="str">
        <f>IF(DATEDIF($B90,'Inst summary and ER calculation'!$U$6,"y")=2,"2-3 years","3-4 years")</f>
        <v>3-4 years</v>
      </c>
      <c r="H90" s="69">
        <f t="shared" si="12"/>
        <v>1</v>
      </c>
      <c r="I90" s="142">
        <f>$C90*H90*_xlfn.XLOOKUP($G90,'Sample Size cal and results'!$B$25:$B$26,'Sample Size cal and results'!$D$25:$D$26)</f>
        <v>32.839536856851339</v>
      </c>
    </row>
    <row r="91" spans="1:9" ht="13">
      <c r="A91" s="131" t="s">
        <v>1441</v>
      </c>
      <c r="B91" s="53">
        <v>41819</v>
      </c>
      <c r="C91" s="52">
        <v>30</v>
      </c>
      <c r="D91" s="72" t="str">
        <f>IF(DATEDIF($B91,'Inst summary and ER calculation'!$T$6,"y")=1,"1-2 years","2-3 years")</f>
        <v>2-3 years</v>
      </c>
      <c r="E91" s="69">
        <f t="shared" si="11"/>
        <v>0.99726775956284153</v>
      </c>
      <c r="F91" s="69">
        <f>$C91*E91*_xlfn.XLOOKUP($D91,'Sample Size cal and results'!$B$23:$B$24,'Sample Size cal and results'!$D$23:$D$24)</f>
        <v>30.466721526030476</v>
      </c>
      <c r="G91" s="72" t="str">
        <f>IF(DATEDIF($B91,'Inst summary and ER calculation'!$U$6,"y")=2,"2-3 years","3-4 years")</f>
        <v>3-4 years</v>
      </c>
      <c r="H91" s="69">
        <f t="shared" si="12"/>
        <v>1</v>
      </c>
      <c r="I91" s="142">
        <f>$C91*H91*_xlfn.XLOOKUP($G91,'Sample Size cal and results'!$B$25:$B$26,'Sample Size cal and results'!$D$25:$D$26)</f>
        <v>29.854124415319397</v>
      </c>
    </row>
    <row r="92" spans="1:9" ht="13">
      <c r="A92" s="131" t="s">
        <v>1441</v>
      </c>
      <c r="B92" s="53">
        <v>41820</v>
      </c>
      <c r="C92" s="52">
        <v>43</v>
      </c>
      <c r="D92" s="72" t="str">
        <f>IF(DATEDIF($B92,'Inst summary and ER calculation'!$T$6,"y")=1,"1-2 years","2-3 years")</f>
        <v>2-3 years</v>
      </c>
      <c r="E92" s="69">
        <f t="shared" si="11"/>
        <v>0.99726775956284153</v>
      </c>
      <c r="F92" s="69">
        <f>$C92*E92*_xlfn.XLOOKUP($D92,'Sample Size cal and results'!$B$23:$B$24,'Sample Size cal and results'!$D$23:$D$24)</f>
        <v>43.668967520643676</v>
      </c>
      <c r="G92" s="72" t="str">
        <f>IF(DATEDIF($B92,'Inst summary and ER calculation'!$U$6,"y")=2,"2-3 years","3-4 years")</f>
        <v>3-4 years</v>
      </c>
      <c r="H92" s="69">
        <f t="shared" si="12"/>
        <v>1</v>
      </c>
      <c r="I92" s="142">
        <f>$C92*H92*_xlfn.XLOOKUP($G92,'Sample Size cal and results'!$B$25:$B$26,'Sample Size cal and results'!$D$25:$D$26)</f>
        <v>42.7909116619578</v>
      </c>
    </row>
    <row r="93" spans="1:9" ht="13">
      <c r="A93" s="131" t="s">
        <v>1441</v>
      </c>
      <c r="B93" s="53">
        <v>41821</v>
      </c>
      <c r="C93" s="52">
        <v>1</v>
      </c>
      <c r="D93" s="72" t="str">
        <f>IF(DATEDIF($B93,'Inst summary and ER calculation'!$T$6,"y")=1,"1-2 years","2-3 years")</f>
        <v>2-3 years</v>
      </c>
      <c r="E93" s="69">
        <f t="shared" si="11"/>
        <v>0.99726775956284153</v>
      </c>
      <c r="F93" s="69">
        <f>$C93*E93*_xlfn.XLOOKUP($D93,'Sample Size cal and results'!$B$23:$B$24,'Sample Size cal and results'!$D$23:$D$24)</f>
        <v>1.0155573842010159</v>
      </c>
      <c r="G93" s="72" t="str">
        <f>IF(DATEDIF($B93,'Inst summary and ER calculation'!$U$6,"y")=2,"2-3 years","3-4 years")</f>
        <v>3-4 years</v>
      </c>
      <c r="H93" s="69">
        <f t="shared" si="12"/>
        <v>1</v>
      </c>
      <c r="I93" s="142">
        <f>$C93*H93*_xlfn.XLOOKUP($G93,'Sample Size cal and results'!$B$25:$B$26,'Sample Size cal and results'!$D$25:$D$26)</f>
        <v>0.99513748051064654</v>
      </c>
    </row>
    <row r="94" spans="1:9" ht="13">
      <c r="A94" s="131" t="s">
        <v>1441</v>
      </c>
      <c r="B94" s="53">
        <v>41822</v>
      </c>
      <c r="C94" s="52">
        <v>9</v>
      </c>
      <c r="D94" s="72" t="str">
        <f>IF(DATEDIF($B94,'Inst summary and ER calculation'!$T$6,"y")=1,"1-2 years","2-3 years")</f>
        <v>2-3 years</v>
      </c>
      <c r="E94" s="69">
        <f t="shared" si="11"/>
        <v>0.99726775956284153</v>
      </c>
      <c r="F94" s="69">
        <f>$C94*E94*_xlfn.XLOOKUP($D94,'Sample Size cal and results'!$B$23:$B$24,'Sample Size cal and results'!$D$23:$D$24)</f>
        <v>9.1400164578091427</v>
      </c>
      <c r="G94" s="72" t="str">
        <f>IF(DATEDIF($B94,'Inst summary and ER calculation'!$U$6,"y")=2,"2-3 years","3-4 years")</f>
        <v>3-4 years</v>
      </c>
      <c r="H94" s="69">
        <f t="shared" si="12"/>
        <v>1</v>
      </c>
      <c r="I94" s="142">
        <f>$C94*H94*_xlfn.XLOOKUP($G94,'Sample Size cal and results'!$B$25:$B$26,'Sample Size cal and results'!$D$25:$D$26)</f>
        <v>8.9562373245958184</v>
      </c>
    </row>
    <row r="95" spans="1:9" ht="13">
      <c r="A95" s="131" t="s">
        <v>1441</v>
      </c>
      <c r="B95" s="53">
        <v>41823</v>
      </c>
      <c r="C95" s="52">
        <v>5</v>
      </c>
      <c r="D95" s="72" t="str">
        <f>IF(DATEDIF($B95,'Inst summary and ER calculation'!$T$6,"y")=1,"1-2 years","2-3 years")</f>
        <v>2-3 years</v>
      </c>
      <c r="E95" s="69">
        <f t="shared" si="11"/>
        <v>0.99726775956284153</v>
      </c>
      <c r="F95" s="69">
        <f>$C95*E95*_xlfn.XLOOKUP($D95,'Sample Size cal and results'!$B$23:$B$24,'Sample Size cal and results'!$D$23:$D$24)</f>
        <v>5.077786921005079</v>
      </c>
      <c r="G95" s="72" t="str">
        <f>IF(DATEDIF($B95,'Inst summary and ER calculation'!$U$6,"y")=2,"2-3 years","3-4 years")</f>
        <v>3-4 years</v>
      </c>
      <c r="H95" s="69">
        <f t="shared" si="12"/>
        <v>1</v>
      </c>
      <c r="I95" s="142">
        <f>$C95*H95*_xlfn.XLOOKUP($G95,'Sample Size cal and results'!$B$25:$B$26,'Sample Size cal and results'!$D$25:$D$26)</f>
        <v>4.9756874025532323</v>
      </c>
    </row>
    <row r="96" spans="1:9" ht="13">
      <c r="A96" s="131" t="s">
        <v>1441</v>
      </c>
      <c r="B96" s="53">
        <v>41824</v>
      </c>
      <c r="C96" s="52">
        <v>8</v>
      </c>
      <c r="D96" s="72" t="str">
        <f>IF(DATEDIF($B96,'Inst summary and ER calculation'!$T$6,"y")=1,"1-2 years","2-3 years")</f>
        <v>2-3 years</v>
      </c>
      <c r="E96" s="69">
        <f t="shared" si="11"/>
        <v>0.99726775956284153</v>
      </c>
      <c r="F96" s="69">
        <f>$C96*E96*_xlfn.XLOOKUP($D96,'Sample Size cal and results'!$B$23:$B$24,'Sample Size cal and results'!$D$23:$D$24)</f>
        <v>8.1244590736081275</v>
      </c>
      <c r="G96" s="72" t="str">
        <f>IF(DATEDIF($B96,'Inst summary and ER calculation'!$U$6,"y")=2,"2-3 years","3-4 years")</f>
        <v>3-4 years</v>
      </c>
      <c r="H96" s="69">
        <f t="shared" si="12"/>
        <v>1</v>
      </c>
      <c r="I96" s="142">
        <f>$C96*H96*_xlfn.XLOOKUP($G96,'Sample Size cal and results'!$B$25:$B$26,'Sample Size cal and results'!$D$25:$D$26)</f>
        <v>7.9610998440851724</v>
      </c>
    </row>
    <row r="97" spans="1:9" ht="13">
      <c r="A97" s="131" t="s">
        <v>1441</v>
      </c>
      <c r="B97" s="53">
        <v>41825</v>
      </c>
      <c r="C97" s="52">
        <v>15</v>
      </c>
      <c r="D97" s="72" t="str">
        <f>IF(DATEDIF($B97,'Inst summary and ER calculation'!$T$6,"y")=1,"1-2 years","2-3 years")</f>
        <v>2-3 years</v>
      </c>
      <c r="E97" s="69">
        <f t="shared" si="11"/>
        <v>0.99726775956284153</v>
      </c>
      <c r="F97" s="69">
        <f>$C97*E97*_xlfn.XLOOKUP($D97,'Sample Size cal and results'!$B$23:$B$24,'Sample Size cal and results'!$D$23:$D$24)</f>
        <v>15.233360763015238</v>
      </c>
      <c r="G97" s="72" t="str">
        <f>IF(DATEDIF($B97,'Inst summary and ER calculation'!$U$6,"y")=2,"2-3 years","3-4 years")</f>
        <v>3-4 years</v>
      </c>
      <c r="H97" s="69">
        <f t="shared" si="12"/>
        <v>1</v>
      </c>
      <c r="I97" s="142">
        <f>$C97*H97*_xlfn.XLOOKUP($G97,'Sample Size cal and results'!$B$25:$B$26,'Sample Size cal and results'!$D$25:$D$26)</f>
        <v>14.927062207659699</v>
      </c>
    </row>
    <row r="98" spans="1:9" ht="13">
      <c r="A98" s="131" t="s">
        <v>1441</v>
      </c>
      <c r="B98" s="53">
        <v>41826</v>
      </c>
      <c r="C98" s="52">
        <v>13</v>
      </c>
      <c r="D98" s="72" t="str">
        <f>IF(DATEDIF($B98,'Inst summary and ER calculation'!$T$6,"y")=1,"1-2 years","2-3 years")</f>
        <v>2-3 years</v>
      </c>
      <c r="E98" s="69">
        <f t="shared" si="11"/>
        <v>0.99726775956284153</v>
      </c>
      <c r="F98" s="69">
        <f>$C98*E98*_xlfn.XLOOKUP($D98,'Sample Size cal and results'!$B$23:$B$24,'Sample Size cal and results'!$D$23:$D$24)</f>
        <v>13.202245994613207</v>
      </c>
      <c r="G98" s="72" t="str">
        <f>IF(DATEDIF($B98,'Inst summary and ER calculation'!$U$6,"y")=2,"2-3 years","3-4 years")</f>
        <v>3-4 years</v>
      </c>
      <c r="H98" s="69">
        <f t="shared" si="12"/>
        <v>1</v>
      </c>
      <c r="I98" s="142">
        <f>$C98*H98*_xlfn.XLOOKUP($G98,'Sample Size cal and results'!$B$25:$B$26,'Sample Size cal and results'!$D$25:$D$26)</f>
        <v>12.936787246638405</v>
      </c>
    </row>
    <row r="99" spans="1:9" ht="13">
      <c r="A99" s="131" t="s">
        <v>1441</v>
      </c>
      <c r="B99" s="53">
        <v>41827</v>
      </c>
      <c r="C99" s="52">
        <v>14</v>
      </c>
      <c r="D99" s="72" t="str">
        <f>IF(DATEDIF($B99,'Inst summary and ER calculation'!$T$6,"y")=1,"1-2 years","2-3 years")</f>
        <v>2-3 years</v>
      </c>
      <c r="E99" s="69">
        <f t="shared" si="11"/>
        <v>0.99726775956284153</v>
      </c>
      <c r="F99" s="69">
        <f>$C99*E99*_xlfn.XLOOKUP($D99,'Sample Size cal and results'!$B$23:$B$24,'Sample Size cal and results'!$D$23:$D$24)</f>
        <v>14.217803378814221</v>
      </c>
      <c r="G99" s="72" t="str">
        <f>IF(DATEDIF($B99,'Inst summary and ER calculation'!$U$6,"y")=2,"2-3 years","3-4 years")</f>
        <v>3-4 years</v>
      </c>
      <c r="H99" s="69">
        <f t="shared" si="12"/>
        <v>1</v>
      </c>
      <c r="I99" s="142">
        <f>$C99*H99*_xlfn.XLOOKUP($G99,'Sample Size cal and results'!$B$25:$B$26,'Sample Size cal and results'!$D$25:$D$26)</f>
        <v>13.931924727149053</v>
      </c>
    </row>
    <row r="100" spans="1:9" ht="13">
      <c r="A100" s="131" t="s">
        <v>1441</v>
      </c>
      <c r="B100" s="53">
        <v>41828</v>
      </c>
      <c r="C100" s="52">
        <v>20</v>
      </c>
      <c r="D100" s="72" t="str">
        <f>IF(DATEDIF($B100,'Inst summary and ER calculation'!$T$6,"y")=1,"1-2 years","2-3 years")</f>
        <v>2-3 years</v>
      </c>
      <c r="E100" s="69">
        <f t="shared" si="11"/>
        <v>0.99726775956284153</v>
      </c>
      <c r="F100" s="69">
        <f>$C100*E100*_xlfn.XLOOKUP($D100,'Sample Size cal and results'!$B$23:$B$24,'Sample Size cal and results'!$D$23:$D$24)</f>
        <v>20.311147684020316</v>
      </c>
      <c r="G100" s="72" t="str">
        <f>IF(DATEDIF($B100,'Inst summary and ER calculation'!$U$6,"y")=2,"2-3 years","3-4 years")</f>
        <v>3-4 years</v>
      </c>
      <c r="H100" s="69">
        <f t="shared" si="12"/>
        <v>1</v>
      </c>
      <c r="I100" s="142">
        <f>$C100*H100*_xlfn.XLOOKUP($G100,'Sample Size cal and results'!$B$25:$B$26,'Sample Size cal and results'!$D$25:$D$26)</f>
        <v>19.902749610212929</v>
      </c>
    </row>
    <row r="101" spans="1:9" ht="13">
      <c r="A101" s="131" t="s">
        <v>1441</v>
      </c>
      <c r="B101" s="53">
        <v>41829</v>
      </c>
      <c r="C101" s="52">
        <v>18</v>
      </c>
      <c r="D101" s="72" t="str">
        <f>IF(DATEDIF($B101,'Inst summary and ER calculation'!$T$6,"y")=1,"1-2 years","2-3 years")</f>
        <v>2-3 years</v>
      </c>
      <c r="E101" s="69">
        <f t="shared" si="11"/>
        <v>0.99726775956284153</v>
      </c>
      <c r="F101" s="69">
        <f>$C101*E101*_xlfn.XLOOKUP($D101,'Sample Size cal and results'!$B$23:$B$24,'Sample Size cal and results'!$D$23:$D$24)</f>
        <v>18.280032915618285</v>
      </c>
      <c r="G101" s="72" t="str">
        <f>IF(DATEDIF($B101,'Inst summary and ER calculation'!$U$6,"y")=2,"2-3 years","3-4 years")</f>
        <v>3-4 years</v>
      </c>
      <c r="H101" s="69">
        <f t="shared" si="12"/>
        <v>1</v>
      </c>
      <c r="I101" s="142">
        <f>$C101*H101*_xlfn.XLOOKUP($G101,'Sample Size cal and results'!$B$25:$B$26,'Sample Size cal and results'!$D$25:$D$26)</f>
        <v>17.912474649191637</v>
      </c>
    </row>
    <row r="102" spans="1:9" ht="13">
      <c r="A102" s="131" t="s">
        <v>1441</v>
      </c>
      <c r="B102" s="53">
        <v>41830</v>
      </c>
      <c r="C102" s="52">
        <v>31</v>
      </c>
      <c r="D102" s="72" t="str">
        <f>IF(DATEDIF($B102,'Inst summary and ER calculation'!$T$6,"y")=1,"1-2 years","2-3 years")</f>
        <v>2-3 years</v>
      </c>
      <c r="E102" s="69">
        <f t="shared" si="11"/>
        <v>0.99726775956284153</v>
      </c>
      <c r="F102" s="69">
        <f>$C102*E102*_xlfn.XLOOKUP($D102,'Sample Size cal and results'!$B$23:$B$24,'Sample Size cal and results'!$D$23:$D$24)</f>
        <v>31.482278910231493</v>
      </c>
      <c r="G102" s="72" t="str">
        <f>IF(DATEDIF($B102,'Inst summary and ER calculation'!$U$6,"y")=2,"2-3 years","3-4 years")</f>
        <v>3-4 years</v>
      </c>
      <c r="H102" s="69">
        <f t="shared" si="12"/>
        <v>1</v>
      </c>
      <c r="I102" s="142">
        <f>$C102*H102*_xlfn.XLOOKUP($G102,'Sample Size cal and results'!$B$25:$B$26,'Sample Size cal and results'!$D$25:$D$26)</f>
        <v>30.849261895830043</v>
      </c>
    </row>
    <row r="103" spans="1:9" ht="13">
      <c r="A103" s="131" t="s">
        <v>1441</v>
      </c>
      <c r="B103" s="53">
        <v>41831</v>
      </c>
      <c r="C103" s="52">
        <v>20</v>
      </c>
      <c r="D103" s="72" t="str">
        <f>IF(DATEDIF($B103,'Inst summary and ER calculation'!$T$6,"y")=1,"1-2 years","2-3 years")</f>
        <v>2-3 years</v>
      </c>
      <c r="E103" s="69">
        <f t="shared" si="11"/>
        <v>0.99726775956284153</v>
      </c>
      <c r="F103" s="69">
        <f>$C103*E103*_xlfn.XLOOKUP($D103,'Sample Size cal and results'!$B$23:$B$24,'Sample Size cal and results'!$D$23:$D$24)</f>
        <v>20.311147684020316</v>
      </c>
      <c r="G103" s="72" t="str">
        <f>IF(DATEDIF($B103,'Inst summary and ER calculation'!$U$6,"y")=2,"2-3 years","3-4 years")</f>
        <v>3-4 years</v>
      </c>
      <c r="H103" s="69">
        <f t="shared" si="12"/>
        <v>1</v>
      </c>
      <c r="I103" s="142">
        <f>$C103*H103*_xlfn.XLOOKUP($G103,'Sample Size cal and results'!$B$25:$B$26,'Sample Size cal and results'!$D$25:$D$26)</f>
        <v>19.902749610212929</v>
      </c>
    </row>
    <row r="104" spans="1:9" ht="13">
      <c r="A104" s="131" t="s">
        <v>1441</v>
      </c>
      <c r="B104" s="53">
        <v>41832</v>
      </c>
      <c r="C104" s="52">
        <v>26</v>
      </c>
      <c r="D104" s="72" t="str">
        <f>IF(DATEDIF($B104,'Inst summary and ER calculation'!$T$6,"y")=1,"1-2 years","2-3 years")</f>
        <v>2-3 years</v>
      </c>
      <c r="E104" s="69">
        <f t="shared" si="11"/>
        <v>0.99726775956284153</v>
      </c>
      <c r="F104" s="69">
        <f>$C104*E104*_xlfn.XLOOKUP($D104,'Sample Size cal and results'!$B$23:$B$24,'Sample Size cal and results'!$D$23:$D$24)</f>
        <v>26.404491989226415</v>
      </c>
      <c r="G104" s="72" t="str">
        <f>IF(DATEDIF($B104,'Inst summary and ER calculation'!$U$6,"y")=2,"2-3 years","3-4 years")</f>
        <v>3-4 years</v>
      </c>
      <c r="H104" s="69">
        <f t="shared" si="12"/>
        <v>1</v>
      </c>
      <c r="I104" s="142">
        <f>$C104*H104*_xlfn.XLOOKUP($G104,'Sample Size cal and results'!$B$25:$B$26,'Sample Size cal and results'!$D$25:$D$26)</f>
        <v>25.873574493276809</v>
      </c>
    </row>
    <row r="105" spans="1:9" ht="13">
      <c r="A105" s="131" t="s">
        <v>1441</v>
      </c>
      <c r="B105" s="53">
        <v>41833</v>
      </c>
      <c r="C105" s="52">
        <v>16</v>
      </c>
      <c r="D105" s="72" t="str">
        <f>IF(DATEDIF($B105,'Inst summary and ER calculation'!$T$6,"y")=1,"1-2 years","2-3 years")</f>
        <v>2-3 years</v>
      </c>
      <c r="E105" s="69">
        <f t="shared" si="11"/>
        <v>0.99726775956284153</v>
      </c>
      <c r="F105" s="69">
        <f>$C105*E105*_xlfn.XLOOKUP($D105,'Sample Size cal and results'!$B$23:$B$24,'Sample Size cal and results'!$D$23:$D$24)</f>
        <v>16.248918147216255</v>
      </c>
      <c r="G105" s="72" t="str">
        <f>IF(DATEDIF($B105,'Inst summary and ER calculation'!$U$6,"y")=2,"2-3 years","3-4 years")</f>
        <v>3-4 years</v>
      </c>
      <c r="H105" s="69">
        <f t="shared" si="12"/>
        <v>1</v>
      </c>
      <c r="I105" s="142">
        <f>$C105*H105*_xlfn.XLOOKUP($G105,'Sample Size cal and results'!$B$25:$B$26,'Sample Size cal and results'!$D$25:$D$26)</f>
        <v>15.922199688170345</v>
      </c>
    </row>
    <row r="106" spans="1:9" ht="13">
      <c r="A106" s="131" t="s">
        <v>1441</v>
      </c>
      <c r="B106" s="53">
        <v>41834</v>
      </c>
      <c r="C106" s="52">
        <v>24</v>
      </c>
      <c r="D106" s="72" t="str">
        <f>IF(DATEDIF($B106,'Inst summary and ER calculation'!$T$6,"y")=1,"1-2 years","2-3 years")</f>
        <v>2-3 years</v>
      </c>
      <c r="E106" s="69">
        <f t="shared" si="11"/>
        <v>0.99726775956284153</v>
      </c>
      <c r="F106" s="69">
        <f>$C106*E106*_xlfn.XLOOKUP($D106,'Sample Size cal and results'!$B$23:$B$24,'Sample Size cal and results'!$D$23:$D$24)</f>
        <v>24.373377220824381</v>
      </c>
      <c r="G106" s="72" t="str">
        <f>IF(DATEDIF($B106,'Inst summary and ER calculation'!$U$6,"y")=2,"2-3 years","3-4 years")</f>
        <v>3-4 years</v>
      </c>
      <c r="H106" s="69">
        <f t="shared" si="12"/>
        <v>1</v>
      </c>
      <c r="I106" s="142">
        <f>$C106*H106*_xlfn.XLOOKUP($G106,'Sample Size cal and results'!$B$25:$B$26,'Sample Size cal and results'!$D$25:$D$26)</f>
        <v>23.883299532255517</v>
      </c>
    </row>
    <row r="107" spans="1:9" ht="13">
      <c r="A107" s="131" t="s">
        <v>1441</v>
      </c>
      <c r="B107" s="53">
        <v>41835</v>
      </c>
      <c r="C107" s="52">
        <v>648</v>
      </c>
      <c r="D107" s="72" t="str">
        <f>IF(DATEDIF($B107,'Inst summary and ER calculation'!$T$6,"y")=1,"1-2 years","2-3 years")</f>
        <v>2-3 years</v>
      </c>
      <c r="E107" s="69">
        <f t="shared" si="11"/>
        <v>0.99726775956284153</v>
      </c>
      <c r="F107" s="69">
        <f>$C107*E107*_xlfn.XLOOKUP($D107,'Sample Size cal and results'!$B$23:$B$24,'Sample Size cal and results'!$D$23:$D$24)</f>
        <v>658.08118496225825</v>
      </c>
      <c r="G107" s="72" t="str">
        <f>IF(DATEDIF($B107,'Inst summary and ER calculation'!$U$6,"y")=2,"2-3 years","3-4 years")</f>
        <v>3-4 years</v>
      </c>
      <c r="H107" s="69">
        <f t="shared" si="12"/>
        <v>1</v>
      </c>
      <c r="I107" s="142">
        <f>$C107*H107*_xlfn.XLOOKUP($G107,'Sample Size cal and results'!$B$25:$B$26,'Sample Size cal and results'!$D$25:$D$26)</f>
        <v>644.84908737089893</v>
      </c>
    </row>
    <row r="108" spans="1:9" ht="13">
      <c r="A108" s="131" t="s">
        <v>1441</v>
      </c>
      <c r="B108" s="53">
        <v>41836</v>
      </c>
      <c r="C108" s="52">
        <v>20</v>
      </c>
      <c r="D108" s="72" t="str">
        <f>IF(DATEDIF($B108,'Inst summary and ER calculation'!$T$6,"y")=1,"1-2 years","2-3 years")</f>
        <v>2-3 years</v>
      </c>
      <c r="E108" s="69">
        <f t="shared" si="11"/>
        <v>0.99726775956284153</v>
      </c>
      <c r="F108" s="69">
        <f>$C108*E108*_xlfn.XLOOKUP($D108,'Sample Size cal and results'!$B$23:$B$24,'Sample Size cal and results'!$D$23:$D$24)</f>
        <v>20.311147684020316</v>
      </c>
      <c r="G108" s="72" t="str">
        <f>IF(DATEDIF($B108,'Inst summary and ER calculation'!$U$6,"y")=2,"2-3 years","3-4 years")</f>
        <v>3-4 years</v>
      </c>
      <c r="H108" s="69">
        <f t="shared" si="12"/>
        <v>1</v>
      </c>
      <c r="I108" s="142">
        <f>$C108*H108*_xlfn.XLOOKUP($G108,'Sample Size cal and results'!$B$25:$B$26,'Sample Size cal and results'!$D$25:$D$26)</f>
        <v>19.902749610212929</v>
      </c>
    </row>
    <row r="109" spans="1:9" ht="13">
      <c r="A109" s="131" t="s">
        <v>1441</v>
      </c>
      <c r="B109" s="53">
        <v>41837</v>
      </c>
      <c r="C109" s="52">
        <v>19</v>
      </c>
      <c r="D109" s="72" t="str">
        <f>IF(DATEDIF($B109,'Inst summary and ER calculation'!$T$6,"y")=1,"1-2 years","2-3 years")</f>
        <v>2-3 years</v>
      </c>
      <c r="E109" s="69">
        <f t="shared" si="11"/>
        <v>0.99726775956284153</v>
      </c>
      <c r="F109" s="69">
        <f>$C109*E109*_xlfn.XLOOKUP($D109,'Sample Size cal and results'!$B$23:$B$24,'Sample Size cal and results'!$D$23:$D$24)</f>
        <v>19.295590299819299</v>
      </c>
      <c r="G109" s="72" t="str">
        <f>IF(DATEDIF($B109,'Inst summary and ER calculation'!$U$6,"y")=2,"2-3 years","3-4 years")</f>
        <v>3-4 years</v>
      </c>
      <c r="H109" s="69">
        <f t="shared" si="12"/>
        <v>1</v>
      </c>
      <c r="I109" s="142">
        <f>$C109*H109*_xlfn.XLOOKUP($G109,'Sample Size cal and results'!$B$25:$B$26,'Sample Size cal and results'!$D$25:$D$26)</f>
        <v>18.907612129702283</v>
      </c>
    </row>
    <row r="110" spans="1:9" ht="13">
      <c r="A110" s="131" t="s">
        <v>1441</v>
      </c>
      <c r="B110" s="53">
        <v>41838</v>
      </c>
      <c r="C110" s="52">
        <v>35</v>
      </c>
      <c r="D110" s="72" t="str">
        <f>IF(DATEDIF($B110,'Inst summary and ER calculation'!$T$6,"y")=1,"1-2 years","2-3 years")</f>
        <v>2-3 years</v>
      </c>
      <c r="E110" s="69">
        <f t="shared" si="11"/>
        <v>0.99726775956284153</v>
      </c>
      <c r="F110" s="69">
        <f>$C110*E110*_xlfn.XLOOKUP($D110,'Sample Size cal and results'!$B$23:$B$24,'Sample Size cal and results'!$D$23:$D$24)</f>
        <v>35.544508447035554</v>
      </c>
      <c r="G110" s="72" t="str">
        <f>IF(DATEDIF($B110,'Inst summary and ER calculation'!$U$6,"y")=2,"2-3 years","3-4 years")</f>
        <v>3-4 years</v>
      </c>
      <c r="H110" s="69">
        <f t="shared" si="12"/>
        <v>1</v>
      </c>
      <c r="I110" s="142">
        <f>$C110*H110*_xlfn.XLOOKUP($G110,'Sample Size cal and results'!$B$25:$B$26,'Sample Size cal and results'!$D$25:$D$26)</f>
        <v>34.829811817872631</v>
      </c>
    </row>
    <row r="111" spans="1:9" ht="13">
      <c r="A111" s="131" t="s">
        <v>1441</v>
      </c>
      <c r="B111" s="53">
        <v>41839</v>
      </c>
      <c r="C111" s="52">
        <v>18</v>
      </c>
      <c r="D111" s="72" t="str">
        <f>IF(DATEDIF($B111,'Inst summary and ER calculation'!$T$6,"y")=1,"1-2 years","2-3 years")</f>
        <v>2-3 years</v>
      </c>
      <c r="E111" s="69">
        <f t="shared" si="11"/>
        <v>0.99726775956284153</v>
      </c>
      <c r="F111" s="69">
        <f>$C111*E111*_xlfn.XLOOKUP($D111,'Sample Size cal and results'!$B$23:$B$24,'Sample Size cal and results'!$D$23:$D$24)</f>
        <v>18.280032915618285</v>
      </c>
      <c r="G111" s="72" t="str">
        <f>IF(DATEDIF($B111,'Inst summary and ER calculation'!$U$6,"y")=2,"2-3 years","3-4 years")</f>
        <v>3-4 years</v>
      </c>
      <c r="H111" s="69">
        <f t="shared" si="12"/>
        <v>1</v>
      </c>
      <c r="I111" s="142">
        <f>$C111*H111*_xlfn.XLOOKUP($G111,'Sample Size cal and results'!$B$25:$B$26,'Sample Size cal and results'!$D$25:$D$26)</f>
        <v>17.912474649191637</v>
      </c>
    </row>
    <row r="112" spans="1:9" ht="13">
      <c r="A112" s="131" t="s">
        <v>1441</v>
      </c>
      <c r="B112" s="53">
        <v>41840</v>
      </c>
      <c r="C112" s="52">
        <v>34</v>
      </c>
      <c r="D112" s="72" t="str">
        <f>IF(DATEDIF($B112,'Inst summary and ER calculation'!$T$6,"y")=1,"1-2 years","2-3 years")</f>
        <v>2-3 years</v>
      </c>
      <c r="E112" s="69">
        <f t="shared" si="11"/>
        <v>0.99726775956284153</v>
      </c>
      <c r="F112" s="69">
        <f>$C112*E112*_xlfn.XLOOKUP($D112,'Sample Size cal and results'!$B$23:$B$24,'Sample Size cal and results'!$D$23:$D$24)</f>
        <v>34.528951062834537</v>
      </c>
      <c r="G112" s="72" t="str">
        <f>IF(DATEDIF($B112,'Inst summary and ER calculation'!$U$6,"y")=2,"2-3 years","3-4 years")</f>
        <v>3-4 years</v>
      </c>
      <c r="H112" s="69">
        <f t="shared" si="12"/>
        <v>1</v>
      </c>
      <c r="I112" s="142">
        <f>$C112*H112*_xlfn.XLOOKUP($G112,'Sample Size cal and results'!$B$25:$B$26,'Sample Size cal and results'!$D$25:$D$26)</f>
        <v>33.834674337361982</v>
      </c>
    </row>
    <row r="113" spans="1:9" ht="13">
      <c r="A113" s="131" t="s">
        <v>1441</v>
      </c>
      <c r="B113" s="53">
        <v>41841</v>
      </c>
      <c r="C113" s="52">
        <v>23</v>
      </c>
      <c r="D113" s="72" t="str">
        <f>IF(DATEDIF($B113,'Inst summary and ER calculation'!$T$6,"y")=1,"1-2 years","2-3 years")</f>
        <v>2-3 years</v>
      </c>
      <c r="E113" s="69">
        <f t="shared" si="11"/>
        <v>0.99726775956284153</v>
      </c>
      <c r="F113" s="69">
        <f>$C113*E113*_xlfn.XLOOKUP($D113,'Sample Size cal and results'!$B$23:$B$24,'Sample Size cal and results'!$D$23:$D$24)</f>
        <v>23.357819836623367</v>
      </c>
      <c r="G113" s="72" t="str">
        <f>IF(DATEDIF($B113,'Inst summary and ER calculation'!$U$6,"y")=2,"2-3 years","3-4 years")</f>
        <v>3-4 years</v>
      </c>
      <c r="H113" s="69">
        <f t="shared" si="12"/>
        <v>1</v>
      </c>
      <c r="I113" s="142">
        <f>$C113*H113*_xlfn.XLOOKUP($G113,'Sample Size cal and results'!$B$25:$B$26,'Sample Size cal and results'!$D$25:$D$26)</f>
        <v>22.888162051744871</v>
      </c>
    </row>
    <row r="114" spans="1:9" ht="13">
      <c r="A114" s="131" t="s">
        <v>1441</v>
      </c>
      <c r="B114" s="53">
        <v>41842</v>
      </c>
      <c r="C114" s="52">
        <v>41</v>
      </c>
      <c r="D114" s="72" t="str">
        <f>IF(DATEDIF($B114,'Inst summary and ER calculation'!$T$6,"y")=1,"1-2 years","2-3 years")</f>
        <v>2-3 years</v>
      </c>
      <c r="E114" s="69">
        <f t="shared" si="11"/>
        <v>0.99726775956284153</v>
      </c>
      <c r="F114" s="69">
        <f>$C114*E114*_xlfn.XLOOKUP($D114,'Sample Size cal and results'!$B$23:$B$24,'Sample Size cal and results'!$D$23:$D$24)</f>
        <v>41.637852752241656</v>
      </c>
      <c r="G114" s="72" t="str">
        <f>IF(DATEDIF($B114,'Inst summary and ER calculation'!$U$6,"y")=2,"2-3 years","3-4 years")</f>
        <v>3-4 years</v>
      </c>
      <c r="H114" s="69">
        <f t="shared" si="12"/>
        <v>1</v>
      </c>
      <c r="I114" s="142">
        <f>$C114*H114*_xlfn.XLOOKUP($G114,'Sample Size cal and results'!$B$25:$B$26,'Sample Size cal and results'!$D$25:$D$26)</f>
        <v>40.800636700936508</v>
      </c>
    </row>
    <row r="115" spans="1:9" ht="13">
      <c r="A115" s="131" t="s">
        <v>1441</v>
      </c>
      <c r="B115" s="53">
        <v>41843</v>
      </c>
      <c r="C115" s="52">
        <v>18</v>
      </c>
      <c r="D115" s="72" t="str">
        <f>IF(DATEDIF($B115,'Inst summary and ER calculation'!$T$6,"y")=1,"1-2 years","2-3 years")</f>
        <v>2-3 years</v>
      </c>
      <c r="E115" s="69">
        <f t="shared" si="11"/>
        <v>0.99726775956284153</v>
      </c>
      <c r="F115" s="69">
        <f>$C115*E115*_xlfn.XLOOKUP($D115,'Sample Size cal and results'!$B$23:$B$24,'Sample Size cal and results'!$D$23:$D$24)</f>
        <v>18.280032915618285</v>
      </c>
      <c r="G115" s="72" t="str">
        <f>IF(DATEDIF($B115,'Inst summary and ER calculation'!$U$6,"y")=2,"2-3 years","3-4 years")</f>
        <v>3-4 years</v>
      </c>
      <c r="H115" s="69">
        <f t="shared" si="12"/>
        <v>1</v>
      </c>
      <c r="I115" s="142">
        <f>$C115*H115*_xlfn.XLOOKUP($G115,'Sample Size cal and results'!$B$25:$B$26,'Sample Size cal and results'!$D$25:$D$26)</f>
        <v>17.912474649191637</v>
      </c>
    </row>
    <row r="116" spans="1:9" ht="13">
      <c r="A116" s="131" t="s">
        <v>1441</v>
      </c>
      <c r="B116" s="53">
        <v>41844</v>
      </c>
      <c r="C116" s="52">
        <v>23</v>
      </c>
      <c r="D116" s="72" t="str">
        <f>IF(DATEDIF($B116,'Inst summary and ER calculation'!$T$6,"y")=1,"1-2 years","2-3 years")</f>
        <v>2-3 years</v>
      </c>
      <c r="E116" s="69">
        <f t="shared" si="11"/>
        <v>0.99726775956284153</v>
      </c>
      <c r="F116" s="69">
        <f>$C116*E116*_xlfn.XLOOKUP($D116,'Sample Size cal and results'!$B$23:$B$24,'Sample Size cal and results'!$D$23:$D$24)</f>
        <v>23.357819836623367</v>
      </c>
      <c r="G116" s="72" t="str">
        <f>IF(DATEDIF($B116,'Inst summary and ER calculation'!$U$6,"y")=2,"2-3 years","3-4 years")</f>
        <v>3-4 years</v>
      </c>
      <c r="H116" s="69">
        <f t="shared" si="12"/>
        <v>1</v>
      </c>
      <c r="I116" s="142">
        <f>$C116*H116*_xlfn.XLOOKUP($G116,'Sample Size cal and results'!$B$25:$B$26,'Sample Size cal and results'!$D$25:$D$26)</f>
        <v>22.888162051744871</v>
      </c>
    </row>
    <row r="117" spans="1:9" ht="13">
      <c r="A117" s="131" t="s">
        <v>1441</v>
      </c>
      <c r="B117" s="53">
        <v>41845</v>
      </c>
      <c r="C117" s="52">
        <v>23</v>
      </c>
      <c r="D117" s="72" t="str">
        <f>IF(DATEDIF($B117,'Inst summary and ER calculation'!$T$6,"y")=1,"1-2 years","2-3 years")</f>
        <v>2-3 years</v>
      </c>
      <c r="E117" s="69">
        <f t="shared" si="11"/>
        <v>0.99726775956284153</v>
      </c>
      <c r="F117" s="69">
        <f>$C117*E117*_xlfn.XLOOKUP($D117,'Sample Size cal and results'!$B$23:$B$24,'Sample Size cal and results'!$D$23:$D$24)</f>
        <v>23.357819836623367</v>
      </c>
      <c r="G117" s="72" t="str">
        <f>IF(DATEDIF($B117,'Inst summary and ER calculation'!$U$6,"y")=2,"2-3 years","3-4 years")</f>
        <v>3-4 years</v>
      </c>
      <c r="H117" s="69">
        <f t="shared" si="12"/>
        <v>1</v>
      </c>
      <c r="I117" s="142">
        <f>$C117*H117*_xlfn.XLOOKUP($G117,'Sample Size cal and results'!$B$25:$B$26,'Sample Size cal and results'!$D$25:$D$26)</f>
        <v>22.888162051744871</v>
      </c>
    </row>
    <row r="118" spans="1:9" ht="13">
      <c r="A118" s="131" t="s">
        <v>1441</v>
      </c>
      <c r="B118" s="53">
        <v>41846</v>
      </c>
      <c r="C118" s="52">
        <v>17</v>
      </c>
      <c r="D118" s="72" t="str">
        <f>IF(DATEDIF($B118,'Inst summary and ER calculation'!$T$6,"y")=1,"1-2 years","2-3 years")</f>
        <v>2-3 years</v>
      </c>
      <c r="E118" s="69">
        <f t="shared" si="11"/>
        <v>0.99726775956284153</v>
      </c>
      <c r="F118" s="69">
        <f>$C118*E118*_xlfn.XLOOKUP($D118,'Sample Size cal and results'!$B$23:$B$24,'Sample Size cal and results'!$D$23:$D$24)</f>
        <v>17.264475531417268</v>
      </c>
      <c r="G118" s="72" t="str">
        <f>IF(DATEDIF($B118,'Inst summary and ER calculation'!$U$6,"y")=2,"2-3 years","3-4 years")</f>
        <v>3-4 years</v>
      </c>
      <c r="H118" s="69">
        <f t="shared" si="12"/>
        <v>1</v>
      </c>
      <c r="I118" s="142">
        <f>$C118*H118*_xlfn.XLOOKUP($G118,'Sample Size cal and results'!$B$25:$B$26,'Sample Size cal and results'!$D$25:$D$26)</f>
        <v>16.917337168680991</v>
      </c>
    </row>
    <row r="119" spans="1:9" ht="13">
      <c r="A119" s="131" t="s">
        <v>1441</v>
      </c>
      <c r="B119" s="53">
        <v>41847</v>
      </c>
      <c r="C119" s="52">
        <v>20</v>
      </c>
      <c r="D119" s="72" t="str">
        <f>IF(DATEDIF($B119,'Inst summary and ER calculation'!$T$6,"y")=1,"1-2 years","2-3 years")</f>
        <v>2-3 years</v>
      </c>
      <c r="E119" s="69">
        <f t="shared" si="11"/>
        <v>0.99726775956284153</v>
      </c>
      <c r="F119" s="69">
        <f>$C119*E119*_xlfn.XLOOKUP($D119,'Sample Size cal and results'!$B$23:$B$24,'Sample Size cal and results'!$D$23:$D$24)</f>
        <v>20.311147684020316</v>
      </c>
      <c r="G119" s="72" t="str">
        <f>IF(DATEDIF($B119,'Inst summary and ER calculation'!$U$6,"y")=2,"2-3 years","3-4 years")</f>
        <v>3-4 years</v>
      </c>
      <c r="H119" s="69">
        <f t="shared" si="12"/>
        <v>1</v>
      </c>
      <c r="I119" s="142">
        <f>$C119*H119*_xlfn.XLOOKUP($G119,'Sample Size cal and results'!$B$25:$B$26,'Sample Size cal and results'!$D$25:$D$26)</f>
        <v>19.902749610212929</v>
      </c>
    </row>
    <row r="120" spans="1:9" ht="13">
      <c r="A120" s="131" t="s">
        <v>1441</v>
      </c>
      <c r="B120" s="53">
        <v>41848</v>
      </c>
      <c r="C120" s="52">
        <v>19</v>
      </c>
      <c r="D120" s="72" t="str">
        <f>IF(DATEDIF($B120,'Inst summary and ER calculation'!$T$6,"y")=1,"1-2 years","2-3 years")</f>
        <v>2-3 years</v>
      </c>
      <c r="E120" s="69">
        <f t="shared" si="11"/>
        <v>0.99726775956284153</v>
      </c>
      <c r="F120" s="69">
        <f>$C120*E120*_xlfn.XLOOKUP($D120,'Sample Size cal and results'!$B$23:$B$24,'Sample Size cal and results'!$D$23:$D$24)</f>
        <v>19.295590299819299</v>
      </c>
      <c r="G120" s="72" t="str">
        <f>IF(DATEDIF($B120,'Inst summary and ER calculation'!$U$6,"y")=2,"2-3 years","3-4 years")</f>
        <v>3-4 years</v>
      </c>
      <c r="H120" s="69">
        <f t="shared" si="12"/>
        <v>1</v>
      </c>
      <c r="I120" s="142">
        <f>$C120*H120*_xlfn.XLOOKUP($G120,'Sample Size cal and results'!$B$25:$B$26,'Sample Size cal and results'!$D$25:$D$26)</f>
        <v>18.907612129702283</v>
      </c>
    </row>
    <row r="121" spans="1:9" ht="13">
      <c r="A121" s="131" t="s">
        <v>1441</v>
      </c>
      <c r="B121" s="53">
        <v>41849</v>
      </c>
      <c r="C121" s="52">
        <v>19</v>
      </c>
      <c r="D121" s="72" t="str">
        <f>IF(DATEDIF($B121,'Inst summary and ER calculation'!$T$6,"y")=1,"1-2 years","2-3 years")</f>
        <v>2-3 years</v>
      </c>
      <c r="E121" s="69">
        <f t="shared" si="11"/>
        <v>0.99726775956284153</v>
      </c>
      <c r="F121" s="69">
        <f>$C121*E121*_xlfn.XLOOKUP($D121,'Sample Size cal and results'!$B$23:$B$24,'Sample Size cal and results'!$D$23:$D$24)</f>
        <v>19.295590299819299</v>
      </c>
      <c r="G121" s="72" t="str">
        <f>IF(DATEDIF($B121,'Inst summary and ER calculation'!$U$6,"y")=2,"2-3 years","3-4 years")</f>
        <v>3-4 years</v>
      </c>
      <c r="H121" s="69">
        <f t="shared" si="12"/>
        <v>1</v>
      </c>
      <c r="I121" s="142">
        <f>$C121*H121*_xlfn.XLOOKUP($G121,'Sample Size cal and results'!$B$25:$B$26,'Sample Size cal and results'!$D$25:$D$26)</f>
        <v>18.907612129702283</v>
      </c>
    </row>
    <row r="122" spans="1:9" ht="13">
      <c r="A122" s="131" t="s">
        <v>1441</v>
      </c>
      <c r="B122" s="53">
        <v>41850</v>
      </c>
      <c r="C122" s="52">
        <v>15</v>
      </c>
      <c r="D122" s="72" t="str">
        <f>IF(DATEDIF($B122,'Inst summary and ER calculation'!$T$6,"y")=1,"1-2 years","2-3 years")</f>
        <v>2-3 years</v>
      </c>
      <c r="E122" s="69">
        <f t="shared" si="11"/>
        <v>0.99726775956284153</v>
      </c>
      <c r="F122" s="69">
        <f>$C122*E122*_xlfn.XLOOKUP($D122,'Sample Size cal and results'!$B$23:$B$24,'Sample Size cal and results'!$D$23:$D$24)</f>
        <v>15.233360763015238</v>
      </c>
      <c r="G122" s="72" t="str">
        <f>IF(DATEDIF($B122,'Inst summary and ER calculation'!$U$6,"y")=2,"2-3 years","3-4 years")</f>
        <v>3-4 years</v>
      </c>
      <c r="H122" s="69">
        <f t="shared" si="12"/>
        <v>1</v>
      </c>
      <c r="I122" s="142">
        <f>$C122*H122*_xlfn.XLOOKUP($G122,'Sample Size cal and results'!$B$25:$B$26,'Sample Size cal and results'!$D$25:$D$26)</f>
        <v>14.927062207659699</v>
      </c>
    </row>
    <row r="123" spans="1:9" ht="13">
      <c r="A123" s="131" t="s">
        <v>1441</v>
      </c>
      <c r="B123" s="53">
        <v>41851</v>
      </c>
      <c r="C123" s="52">
        <v>2</v>
      </c>
      <c r="D123" s="72" t="str">
        <f>IF(DATEDIF($B123,'Inst summary and ER calculation'!$T$6,"y")=1,"1-2 years","2-3 years")</f>
        <v>2-3 years</v>
      </c>
      <c r="E123" s="69">
        <f t="shared" si="11"/>
        <v>0.99726775956284153</v>
      </c>
      <c r="F123" s="69">
        <f>$C123*E123*_xlfn.XLOOKUP($D123,'Sample Size cal and results'!$B$23:$B$24,'Sample Size cal and results'!$D$23:$D$24)</f>
        <v>2.0311147684020319</v>
      </c>
      <c r="G123" s="72" t="str">
        <f>IF(DATEDIF($B123,'Inst summary and ER calculation'!$U$6,"y")=2,"2-3 years","3-4 years")</f>
        <v>3-4 years</v>
      </c>
      <c r="H123" s="69">
        <f t="shared" si="12"/>
        <v>1</v>
      </c>
      <c r="I123" s="142">
        <f>$C123*H123*_xlfn.XLOOKUP($G123,'Sample Size cal and results'!$B$25:$B$26,'Sample Size cal and results'!$D$25:$D$26)</f>
        <v>1.9902749610212931</v>
      </c>
    </row>
    <row r="124" spans="1:9" ht="13">
      <c r="A124" s="131" t="s">
        <v>1441</v>
      </c>
      <c r="B124" s="53">
        <v>41852</v>
      </c>
      <c r="C124" s="52">
        <v>4</v>
      </c>
      <c r="D124" s="72" t="str">
        <f>IF(DATEDIF($B124,'Inst summary and ER calculation'!$T$6,"y")=1,"1-2 years","2-3 years")</f>
        <v>2-3 years</v>
      </c>
      <c r="E124" s="69">
        <f t="shared" si="11"/>
        <v>0.99726775956284153</v>
      </c>
      <c r="F124" s="69">
        <f>$C124*E124*_xlfn.XLOOKUP($D124,'Sample Size cal and results'!$B$23:$B$24,'Sample Size cal and results'!$D$23:$D$24)</f>
        <v>4.0622295368040637</v>
      </c>
      <c r="G124" s="72" t="str">
        <f>IF(DATEDIF($B124,'Inst summary and ER calculation'!$U$6,"y")=2,"2-3 years","3-4 years")</f>
        <v>3-4 years</v>
      </c>
      <c r="H124" s="69">
        <f t="shared" si="12"/>
        <v>1</v>
      </c>
      <c r="I124" s="142">
        <f>$C124*H124*_xlfn.XLOOKUP($G124,'Sample Size cal and results'!$B$25:$B$26,'Sample Size cal and results'!$D$25:$D$26)</f>
        <v>3.9805499220425862</v>
      </c>
    </row>
    <row r="125" spans="1:9" ht="13">
      <c r="A125" s="131" t="s">
        <v>1441</v>
      </c>
      <c r="B125" s="53">
        <v>41853</v>
      </c>
      <c r="C125" s="52">
        <v>8</v>
      </c>
      <c r="D125" s="72" t="str">
        <f>IF(DATEDIF($B125,'Inst summary and ER calculation'!$T$6,"y")=1,"1-2 years","2-3 years")</f>
        <v>2-3 years</v>
      </c>
      <c r="E125" s="69">
        <f t="shared" si="11"/>
        <v>0.99726775956284153</v>
      </c>
      <c r="F125" s="69">
        <f>$C125*E125*_xlfn.XLOOKUP($D125,'Sample Size cal and results'!$B$23:$B$24,'Sample Size cal and results'!$D$23:$D$24)</f>
        <v>8.1244590736081275</v>
      </c>
      <c r="G125" s="72" t="str">
        <f>IF(DATEDIF($B125,'Inst summary and ER calculation'!$U$6,"y")=2,"2-3 years","3-4 years")</f>
        <v>3-4 years</v>
      </c>
      <c r="H125" s="69">
        <f t="shared" si="12"/>
        <v>1</v>
      </c>
      <c r="I125" s="142">
        <f>$C125*H125*_xlfn.XLOOKUP($G125,'Sample Size cal and results'!$B$25:$B$26,'Sample Size cal and results'!$D$25:$D$26)</f>
        <v>7.9610998440851724</v>
      </c>
    </row>
    <row r="126" spans="1:9" ht="13">
      <c r="A126" s="131" t="s">
        <v>1441</v>
      </c>
      <c r="B126" s="53">
        <v>41854</v>
      </c>
      <c r="C126" s="52">
        <v>9</v>
      </c>
      <c r="D126" s="72" t="str">
        <f>IF(DATEDIF($B126,'Inst summary and ER calculation'!$T$6,"y")=1,"1-2 years","2-3 years")</f>
        <v>2-3 years</v>
      </c>
      <c r="E126" s="69">
        <f t="shared" si="11"/>
        <v>0.99726775956284153</v>
      </c>
      <c r="F126" s="69">
        <f>$C126*E126*_xlfn.XLOOKUP($D126,'Sample Size cal and results'!$B$23:$B$24,'Sample Size cal and results'!$D$23:$D$24)</f>
        <v>9.1400164578091427</v>
      </c>
      <c r="G126" s="72" t="str">
        <f>IF(DATEDIF($B126,'Inst summary and ER calculation'!$U$6,"y")=2,"2-3 years","3-4 years")</f>
        <v>3-4 years</v>
      </c>
      <c r="H126" s="69">
        <f t="shared" si="12"/>
        <v>1</v>
      </c>
      <c r="I126" s="142">
        <f>$C126*H126*_xlfn.XLOOKUP($G126,'Sample Size cal and results'!$B$25:$B$26,'Sample Size cal and results'!$D$25:$D$26)</f>
        <v>8.9562373245958184</v>
      </c>
    </row>
    <row r="127" spans="1:9" ht="13">
      <c r="A127" s="131" t="s">
        <v>1441</v>
      </c>
      <c r="B127" s="53">
        <v>41855</v>
      </c>
      <c r="C127" s="52">
        <v>8</v>
      </c>
      <c r="D127" s="72" t="str">
        <f>IF(DATEDIF($B127,'Inst summary and ER calculation'!$T$6,"y")=1,"1-2 years","2-3 years")</f>
        <v>2-3 years</v>
      </c>
      <c r="E127" s="69">
        <f t="shared" si="11"/>
        <v>0.99726775956284153</v>
      </c>
      <c r="F127" s="69">
        <f>$C127*E127*_xlfn.XLOOKUP($D127,'Sample Size cal and results'!$B$23:$B$24,'Sample Size cal and results'!$D$23:$D$24)</f>
        <v>8.1244590736081275</v>
      </c>
      <c r="G127" s="72" t="str">
        <f>IF(DATEDIF($B127,'Inst summary and ER calculation'!$U$6,"y")=2,"2-3 years","3-4 years")</f>
        <v>3-4 years</v>
      </c>
      <c r="H127" s="69">
        <f t="shared" si="12"/>
        <v>1</v>
      </c>
      <c r="I127" s="142">
        <f>$C127*H127*_xlfn.XLOOKUP($G127,'Sample Size cal and results'!$B$25:$B$26,'Sample Size cal and results'!$D$25:$D$26)</f>
        <v>7.9610998440851724</v>
      </c>
    </row>
    <row r="128" spans="1:9" ht="13">
      <c r="A128" s="131" t="s">
        <v>1441</v>
      </c>
      <c r="B128" s="53">
        <v>41856</v>
      </c>
      <c r="C128" s="52">
        <v>22</v>
      </c>
      <c r="D128" s="72" t="str">
        <f>IF(DATEDIF($B128,'Inst summary and ER calculation'!$T$6,"y")=1,"1-2 years","2-3 years")</f>
        <v>2-3 years</v>
      </c>
      <c r="E128" s="69">
        <f t="shared" si="11"/>
        <v>0.99726775956284153</v>
      </c>
      <c r="F128" s="69">
        <f>$C128*E128*_xlfn.XLOOKUP($D128,'Sample Size cal and results'!$B$23:$B$24,'Sample Size cal and results'!$D$23:$D$24)</f>
        <v>22.34226245242235</v>
      </c>
      <c r="G128" s="72" t="str">
        <f>IF(DATEDIF($B128,'Inst summary and ER calculation'!$U$6,"y")=2,"2-3 years","3-4 years")</f>
        <v>3-4 years</v>
      </c>
      <c r="H128" s="69">
        <f t="shared" si="12"/>
        <v>1</v>
      </c>
      <c r="I128" s="142">
        <f>$C128*H128*_xlfn.XLOOKUP($G128,'Sample Size cal and results'!$B$25:$B$26,'Sample Size cal and results'!$D$25:$D$26)</f>
        <v>21.893024571234225</v>
      </c>
    </row>
    <row r="129" spans="1:9" ht="13">
      <c r="A129" s="131" t="s">
        <v>1441</v>
      </c>
      <c r="B129" s="53">
        <v>41857</v>
      </c>
      <c r="C129" s="52">
        <v>9</v>
      </c>
      <c r="D129" s="72" t="str">
        <f>IF(DATEDIF($B129,'Inst summary and ER calculation'!$T$6,"y")=1,"1-2 years","2-3 years")</f>
        <v>2-3 years</v>
      </c>
      <c r="E129" s="69">
        <f t="shared" si="11"/>
        <v>0.99726775956284153</v>
      </c>
      <c r="F129" s="69">
        <f>$C129*E129*_xlfn.XLOOKUP($D129,'Sample Size cal and results'!$B$23:$B$24,'Sample Size cal and results'!$D$23:$D$24)</f>
        <v>9.1400164578091427</v>
      </c>
      <c r="G129" s="72" t="str">
        <f>IF(DATEDIF($B129,'Inst summary and ER calculation'!$U$6,"y")=2,"2-3 years","3-4 years")</f>
        <v>3-4 years</v>
      </c>
      <c r="H129" s="69">
        <f t="shared" si="12"/>
        <v>1</v>
      </c>
      <c r="I129" s="142">
        <f>$C129*H129*_xlfn.XLOOKUP($G129,'Sample Size cal and results'!$B$25:$B$26,'Sample Size cal and results'!$D$25:$D$26)</f>
        <v>8.9562373245958184</v>
      </c>
    </row>
    <row r="130" spans="1:9" ht="13">
      <c r="A130" s="131" t="s">
        <v>1441</v>
      </c>
      <c r="B130" s="53">
        <v>41858</v>
      </c>
      <c r="C130" s="52">
        <v>22</v>
      </c>
      <c r="D130" s="72" t="str">
        <f>IF(DATEDIF($B130,'Inst summary and ER calculation'!$T$6,"y")=1,"1-2 years","2-3 years")</f>
        <v>2-3 years</v>
      </c>
      <c r="E130" s="69">
        <f t="shared" ref="E130:E193" si="13">MAX(MIN($T$6)-MAX($T$4,$B130,_xlfn.XLOOKUP($A130,$W$1:$W$36,$X$1:$X$36))+1,0)/366</f>
        <v>0.99726775956284153</v>
      </c>
      <c r="F130" s="69">
        <f>$C130*E130*_xlfn.XLOOKUP($D130,'Sample Size cal and results'!$B$23:$B$24,'Sample Size cal and results'!$D$23:$D$24)</f>
        <v>22.34226245242235</v>
      </c>
      <c r="G130" s="72" t="str">
        <f>IF(DATEDIF($B130,'Inst summary and ER calculation'!$U$6,"y")=2,"2-3 years","3-4 years")</f>
        <v>3-4 years</v>
      </c>
      <c r="H130" s="69">
        <f t="shared" ref="H130:H193" si="14">MAX(MIN($U$6)-MAX($U$4,$B130,_xlfn.XLOOKUP($A130,$W$1:$W$36,$X$1:$X$36))+1,0)/365</f>
        <v>1</v>
      </c>
      <c r="I130" s="142">
        <f>$C130*H130*_xlfn.XLOOKUP($G130,'Sample Size cal and results'!$B$25:$B$26,'Sample Size cal and results'!$D$25:$D$26)</f>
        <v>21.893024571234225</v>
      </c>
    </row>
    <row r="131" spans="1:9" ht="13">
      <c r="A131" s="131" t="s">
        <v>1441</v>
      </c>
      <c r="B131" s="53">
        <v>41859</v>
      </c>
      <c r="C131" s="52">
        <v>20</v>
      </c>
      <c r="D131" s="72" t="str">
        <f>IF(DATEDIF($B131,'Inst summary and ER calculation'!$T$6,"y")=1,"1-2 years","2-3 years")</f>
        <v>2-3 years</v>
      </c>
      <c r="E131" s="69">
        <f t="shared" si="13"/>
        <v>0.99726775956284153</v>
      </c>
      <c r="F131" s="69">
        <f>$C131*E131*_xlfn.XLOOKUP($D131,'Sample Size cal and results'!$B$23:$B$24,'Sample Size cal and results'!$D$23:$D$24)</f>
        <v>20.311147684020316</v>
      </c>
      <c r="G131" s="72" t="str">
        <f>IF(DATEDIF($B131,'Inst summary and ER calculation'!$U$6,"y")=2,"2-3 years","3-4 years")</f>
        <v>3-4 years</v>
      </c>
      <c r="H131" s="69">
        <f t="shared" si="14"/>
        <v>1</v>
      </c>
      <c r="I131" s="142">
        <f>$C131*H131*_xlfn.XLOOKUP($G131,'Sample Size cal and results'!$B$25:$B$26,'Sample Size cal and results'!$D$25:$D$26)</f>
        <v>19.902749610212929</v>
      </c>
    </row>
    <row r="132" spans="1:9" ht="13">
      <c r="A132" s="131" t="s">
        <v>1441</v>
      </c>
      <c r="B132" s="53">
        <v>41860</v>
      </c>
      <c r="C132" s="52">
        <v>15</v>
      </c>
      <c r="D132" s="72" t="str">
        <f>IF(DATEDIF($B132,'Inst summary and ER calculation'!$T$6,"y")=1,"1-2 years","2-3 years")</f>
        <v>2-3 years</v>
      </c>
      <c r="E132" s="69">
        <f t="shared" si="13"/>
        <v>0.99726775956284153</v>
      </c>
      <c r="F132" s="69">
        <f>$C132*E132*_xlfn.XLOOKUP($D132,'Sample Size cal and results'!$B$23:$B$24,'Sample Size cal and results'!$D$23:$D$24)</f>
        <v>15.233360763015238</v>
      </c>
      <c r="G132" s="72" t="str">
        <f>IF(DATEDIF($B132,'Inst summary and ER calculation'!$U$6,"y")=2,"2-3 years","3-4 years")</f>
        <v>3-4 years</v>
      </c>
      <c r="H132" s="69">
        <f t="shared" si="14"/>
        <v>1</v>
      </c>
      <c r="I132" s="142">
        <f>$C132*H132*_xlfn.XLOOKUP($G132,'Sample Size cal and results'!$B$25:$B$26,'Sample Size cal and results'!$D$25:$D$26)</f>
        <v>14.927062207659699</v>
      </c>
    </row>
    <row r="133" spans="1:9" ht="13">
      <c r="A133" s="131" t="s">
        <v>1441</v>
      </c>
      <c r="B133" s="53">
        <v>41861</v>
      </c>
      <c r="C133" s="52">
        <v>25</v>
      </c>
      <c r="D133" s="72" t="str">
        <f>IF(DATEDIF($B133,'Inst summary and ER calculation'!$T$6,"y")=1,"1-2 years","2-3 years")</f>
        <v>2-3 years</v>
      </c>
      <c r="E133" s="69">
        <f t="shared" si="13"/>
        <v>0.99726775956284153</v>
      </c>
      <c r="F133" s="69">
        <f>$C133*E133*_xlfn.XLOOKUP($D133,'Sample Size cal and results'!$B$23:$B$24,'Sample Size cal and results'!$D$23:$D$24)</f>
        <v>25.388934605025398</v>
      </c>
      <c r="G133" s="72" t="str">
        <f>IF(DATEDIF($B133,'Inst summary and ER calculation'!$U$6,"y")=2,"2-3 years","3-4 years")</f>
        <v>3-4 years</v>
      </c>
      <c r="H133" s="69">
        <f t="shared" si="14"/>
        <v>1</v>
      </c>
      <c r="I133" s="142">
        <f>$C133*H133*_xlfn.XLOOKUP($G133,'Sample Size cal and results'!$B$25:$B$26,'Sample Size cal and results'!$D$25:$D$26)</f>
        <v>24.878437012766163</v>
      </c>
    </row>
    <row r="134" spans="1:9" ht="13">
      <c r="A134" s="131" t="s">
        <v>1441</v>
      </c>
      <c r="B134" s="53">
        <v>41862</v>
      </c>
      <c r="C134" s="52">
        <v>23</v>
      </c>
      <c r="D134" s="72" t="str">
        <f>IF(DATEDIF($B134,'Inst summary and ER calculation'!$T$6,"y")=1,"1-2 years","2-3 years")</f>
        <v>2-3 years</v>
      </c>
      <c r="E134" s="69">
        <f t="shared" si="13"/>
        <v>0.99726775956284153</v>
      </c>
      <c r="F134" s="69">
        <f>$C134*E134*_xlfn.XLOOKUP($D134,'Sample Size cal and results'!$B$23:$B$24,'Sample Size cal and results'!$D$23:$D$24)</f>
        <v>23.357819836623367</v>
      </c>
      <c r="G134" s="72" t="str">
        <f>IF(DATEDIF($B134,'Inst summary and ER calculation'!$U$6,"y")=2,"2-3 years","3-4 years")</f>
        <v>3-4 years</v>
      </c>
      <c r="H134" s="69">
        <f t="shared" si="14"/>
        <v>1</v>
      </c>
      <c r="I134" s="142">
        <f>$C134*H134*_xlfn.XLOOKUP($G134,'Sample Size cal and results'!$B$25:$B$26,'Sample Size cal and results'!$D$25:$D$26)</f>
        <v>22.888162051744871</v>
      </c>
    </row>
    <row r="135" spans="1:9" ht="13">
      <c r="A135" s="131" t="s">
        <v>1441</v>
      </c>
      <c r="B135" s="53">
        <v>41863</v>
      </c>
      <c r="C135" s="52">
        <v>26</v>
      </c>
      <c r="D135" s="72" t="str">
        <f>IF(DATEDIF($B135,'Inst summary and ER calculation'!$T$6,"y")=1,"1-2 years","2-3 years")</f>
        <v>2-3 years</v>
      </c>
      <c r="E135" s="69">
        <f t="shared" si="13"/>
        <v>0.99726775956284153</v>
      </c>
      <c r="F135" s="69">
        <f>$C135*E135*_xlfn.XLOOKUP($D135,'Sample Size cal and results'!$B$23:$B$24,'Sample Size cal and results'!$D$23:$D$24)</f>
        <v>26.404491989226415</v>
      </c>
      <c r="G135" s="72" t="str">
        <f>IF(DATEDIF($B135,'Inst summary and ER calculation'!$U$6,"y")=2,"2-3 years","3-4 years")</f>
        <v>3-4 years</v>
      </c>
      <c r="H135" s="69">
        <f t="shared" si="14"/>
        <v>1</v>
      </c>
      <c r="I135" s="142">
        <f>$C135*H135*_xlfn.XLOOKUP($G135,'Sample Size cal and results'!$B$25:$B$26,'Sample Size cal and results'!$D$25:$D$26)</f>
        <v>25.873574493276809</v>
      </c>
    </row>
    <row r="136" spans="1:9" ht="13">
      <c r="A136" s="131" t="s">
        <v>1441</v>
      </c>
      <c r="B136" s="53">
        <v>41864</v>
      </c>
      <c r="C136" s="52">
        <v>18</v>
      </c>
      <c r="D136" s="72" t="str">
        <f>IF(DATEDIF($B136,'Inst summary and ER calculation'!$T$6,"y")=1,"1-2 years","2-3 years")</f>
        <v>2-3 years</v>
      </c>
      <c r="E136" s="69">
        <f t="shared" si="13"/>
        <v>0.99726775956284153</v>
      </c>
      <c r="F136" s="69">
        <f>$C136*E136*_xlfn.XLOOKUP($D136,'Sample Size cal and results'!$B$23:$B$24,'Sample Size cal and results'!$D$23:$D$24)</f>
        <v>18.280032915618285</v>
      </c>
      <c r="G136" s="72" t="str">
        <f>IF(DATEDIF($B136,'Inst summary and ER calculation'!$U$6,"y")=2,"2-3 years","3-4 years")</f>
        <v>3-4 years</v>
      </c>
      <c r="H136" s="69">
        <f t="shared" si="14"/>
        <v>1</v>
      </c>
      <c r="I136" s="142">
        <f>$C136*H136*_xlfn.XLOOKUP($G136,'Sample Size cal and results'!$B$25:$B$26,'Sample Size cal and results'!$D$25:$D$26)</f>
        <v>17.912474649191637</v>
      </c>
    </row>
    <row r="137" spans="1:9" ht="13">
      <c r="A137" s="131" t="s">
        <v>1441</v>
      </c>
      <c r="B137" s="53">
        <v>41865</v>
      </c>
      <c r="C137" s="52">
        <v>14</v>
      </c>
      <c r="D137" s="72" t="str">
        <f>IF(DATEDIF($B137,'Inst summary and ER calculation'!$T$6,"y")=1,"1-2 years","2-3 years")</f>
        <v>2-3 years</v>
      </c>
      <c r="E137" s="69">
        <f t="shared" si="13"/>
        <v>0.99726775956284153</v>
      </c>
      <c r="F137" s="69">
        <f>$C137*E137*_xlfn.XLOOKUP($D137,'Sample Size cal and results'!$B$23:$B$24,'Sample Size cal and results'!$D$23:$D$24)</f>
        <v>14.217803378814221</v>
      </c>
      <c r="G137" s="72" t="str">
        <f>IF(DATEDIF($B137,'Inst summary and ER calculation'!$U$6,"y")=2,"2-3 years","3-4 years")</f>
        <v>3-4 years</v>
      </c>
      <c r="H137" s="69">
        <f t="shared" si="14"/>
        <v>1</v>
      </c>
      <c r="I137" s="142">
        <f>$C137*H137*_xlfn.XLOOKUP($G137,'Sample Size cal and results'!$B$25:$B$26,'Sample Size cal and results'!$D$25:$D$26)</f>
        <v>13.931924727149053</v>
      </c>
    </row>
    <row r="138" spans="1:9" ht="13">
      <c r="A138" s="131" t="s">
        <v>1441</v>
      </c>
      <c r="B138" s="53">
        <v>41866</v>
      </c>
      <c r="C138" s="52">
        <v>757</v>
      </c>
      <c r="D138" s="72" t="str">
        <f>IF(DATEDIF($B138,'Inst summary and ER calculation'!$T$6,"y")=1,"1-2 years","2-3 years")</f>
        <v>2-3 years</v>
      </c>
      <c r="E138" s="69">
        <f t="shared" si="13"/>
        <v>0.99726775956284153</v>
      </c>
      <c r="F138" s="69">
        <f>$C138*E138*_xlfn.XLOOKUP($D138,'Sample Size cal and results'!$B$23:$B$24,'Sample Size cal and results'!$D$23:$D$24)</f>
        <v>768.77693984016901</v>
      </c>
      <c r="G138" s="72" t="str">
        <f>IF(DATEDIF($B138,'Inst summary and ER calculation'!$U$6,"y")=2,"2-3 years","3-4 years")</f>
        <v>3-4 years</v>
      </c>
      <c r="H138" s="69">
        <f t="shared" si="14"/>
        <v>1</v>
      </c>
      <c r="I138" s="142">
        <f>$C138*H138*_xlfn.XLOOKUP($G138,'Sample Size cal and results'!$B$25:$B$26,'Sample Size cal and results'!$D$25:$D$26)</f>
        <v>753.31907274655941</v>
      </c>
    </row>
    <row r="139" spans="1:9" ht="13">
      <c r="A139" s="131" t="s">
        <v>1441</v>
      </c>
      <c r="B139" s="53">
        <v>41867</v>
      </c>
      <c r="C139" s="52">
        <v>17</v>
      </c>
      <c r="D139" s="72" t="str">
        <f>IF(DATEDIF($B139,'Inst summary and ER calculation'!$T$6,"y")=1,"1-2 years","2-3 years")</f>
        <v>2-3 years</v>
      </c>
      <c r="E139" s="69">
        <f t="shared" si="13"/>
        <v>0.99726775956284153</v>
      </c>
      <c r="F139" s="69">
        <f>$C139*E139*_xlfn.XLOOKUP($D139,'Sample Size cal and results'!$B$23:$B$24,'Sample Size cal and results'!$D$23:$D$24)</f>
        <v>17.264475531417268</v>
      </c>
      <c r="G139" s="72" t="str">
        <f>IF(DATEDIF($B139,'Inst summary and ER calculation'!$U$6,"y")=2,"2-3 years","3-4 years")</f>
        <v>3-4 years</v>
      </c>
      <c r="H139" s="69">
        <f t="shared" si="14"/>
        <v>1</v>
      </c>
      <c r="I139" s="142">
        <f>$C139*H139*_xlfn.XLOOKUP($G139,'Sample Size cal and results'!$B$25:$B$26,'Sample Size cal and results'!$D$25:$D$26)</f>
        <v>16.917337168680991</v>
      </c>
    </row>
    <row r="140" spans="1:9" ht="13">
      <c r="A140" s="131" t="s">
        <v>1441</v>
      </c>
      <c r="B140" s="53">
        <v>41868</v>
      </c>
      <c r="C140" s="52">
        <v>24</v>
      </c>
      <c r="D140" s="72" t="str">
        <f>IF(DATEDIF($B140,'Inst summary and ER calculation'!$T$6,"y")=1,"1-2 years","2-3 years")</f>
        <v>2-3 years</v>
      </c>
      <c r="E140" s="69">
        <f t="shared" si="13"/>
        <v>0.99726775956284153</v>
      </c>
      <c r="F140" s="69">
        <f>$C140*E140*_xlfn.XLOOKUP($D140,'Sample Size cal and results'!$B$23:$B$24,'Sample Size cal and results'!$D$23:$D$24)</f>
        <v>24.373377220824381</v>
      </c>
      <c r="G140" s="72" t="str">
        <f>IF(DATEDIF($B140,'Inst summary and ER calculation'!$U$6,"y")=2,"2-3 years","3-4 years")</f>
        <v>3-4 years</v>
      </c>
      <c r="H140" s="69">
        <f t="shared" si="14"/>
        <v>1</v>
      </c>
      <c r="I140" s="142">
        <f>$C140*H140*_xlfn.XLOOKUP($G140,'Sample Size cal and results'!$B$25:$B$26,'Sample Size cal and results'!$D$25:$D$26)</f>
        <v>23.883299532255517</v>
      </c>
    </row>
    <row r="141" spans="1:9" ht="13">
      <c r="A141" s="131" t="s">
        <v>1441</v>
      </c>
      <c r="B141" s="53">
        <v>41869</v>
      </c>
      <c r="C141" s="52">
        <v>28</v>
      </c>
      <c r="D141" s="72" t="str">
        <f>IF(DATEDIF($B141,'Inst summary and ER calculation'!$T$6,"y")=1,"1-2 years","2-3 years")</f>
        <v>2-3 years</v>
      </c>
      <c r="E141" s="69">
        <f t="shared" si="13"/>
        <v>0.99726775956284153</v>
      </c>
      <c r="F141" s="69">
        <f>$C141*E141*_xlfn.XLOOKUP($D141,'Sample Size cal and results'!$B$23:$B$24,'Sample Size cal and results'!$D$23:$D$24)</f>
        <v>28.435606757628442</v>
      </c>
      <c r="G141" s="72" t="str">
        <f>IF(DATEDIF($B141,'Inst summary and ER calculation'!$U$6,"y")=2,"2-3 years","3-4 years")</f>
        <v>3-4 years</v>
      </c>
      <c r="H141" s="69">
        <f t="shared" si="14"/>
        <v>1</v>
      </c>
      <c r="I141" s="142">
        <f>$C141*H141*_xlfn.XLOOKUP($G141,'Sample Size cal and results'!$B$25:$B$26,'Sample Size cal and results'!$D$25:$D$26)</f>
        <v>27.863849454298105</v>
      </c>
    </row>
    <row r="142" spans="1:9" ht="13">
      <c r="A142" s="131" t="s">
        <v>1441</v>
      </c>
      <c r="B142" s="53">
        <v>41870</v>
      </c>
      <c r="C142" s="52">
        <v>29</v>
      </c>
      <c r="D142" s="72" t="str">
        <f>IF(DATEDIF($B142,'Inst summary and ER calculation'!$T$6,"y")=1,"1-2 years","2-3 years")</f>
        <v>2-3 years</v>
      </c>
      <c r="E142" s="69">
        <f t="shared" si="13"/>
        <v>0.99726775956284153</v>
      </c>
      <c r="F142" s="69">
        <f>$C142*E142*_xlfn.XLOOKUP($D142,'Sample Size cal and results'!$B$23:$B$24,'Sample Size cal and results'!$D$23:$D$24)</f>
        <v>29.451164141829459</v>
      </c>
      <c r="G142" s="72" t="str">
        <f>IF(DATEDIF($B142,'Inst summary and ER calculation'!$U$6,"y")=2,"2-3 years","3-4 years")</f>
        <v>3-4 years</v>
      </c>
      <c r="H142" s="69">
        <f t="shared" si="14"/>
        <v>1</v>
      </c>
      <c r="I142" s="142">
        <f>$C142*H142*_xlfn.XLOOKUP($G142,'Sample Size cal and results'!$B$25:$B$26,'Sample Size cal and results'!$D$25:$D$26)</f>
        <v>28.858986934808751</v>
      </c>
    </row>
    <row r="143" spans="1:9" ht="13">
      <c r="A143" s="131" t="s">
        <v>1441</v>
      </c>
      <c r="B143" s="53">
        <v>41871</v>
      </c>
      <c r="C143" s="52">
        <v>27</v>
      </c>
      <c r="D143" s="72" t="str">
        <f>IF(DATEDIF($B143,'Inst summary and ER calculation'!$T$6,"y")=1,"1-2 years","2-3 years")</f>
        <v>2-3 years</v>
      </c>
      <c r="E143" s="69">
        <f t="shared" si="13"/>
        <v>0.99726775956284153</v>
      </c>
      <c r="F143" s="69">
        <f>$C143*E143*_xlfn.XLOOKUP($D143,'Sample Size cal and results'!$B$23:$B$24,'Sample Size cal and results'!$D$23:$D$24)</f>
        <v>27.420049373427428</v>
      </c>
      <c r="G143" s="72" t="str">
        <f>IF(DATEDIF($B143,'Inst summary and ER calculation'!$U$6,"y")=2,"2-3 years","3-4 years")</f>
        <v>3-4 years</v>
      </c>
      <c r="H143" s="69">
        <f t="shared" si="14"/>
        <v>1</v>
      </c>
      <c r="I143" s="142">
        <f>$C143*H143*_xlfn.XLOOKUP($G143,'Sample Size cal and results'!$B$25:$B$26,'Sample Size cal and results'!$D$25:$D$26)</f>
        <v>26.868711973787455</v>
      </c>
    </row>
    <row r="144" spans="1:9" ht="13">
      <c r="A144" s="131" t="s">
        <v>1441</v>
      </c>
      <c r="B144" s="53">
        <v>41872</v>
      </c>
      <c r="C144" s="52">
        <v>19</v>
      </c>
      <c r="D144" s="72" t="str">
        <f>IF(DATEDIF($B144,'Inst summary and ER calculation'!$T$6,"y")=1,"1-2 years","2-3 years")</f>
        <v>2-3 years</v>
      </c>
      <c r="E144" s="69">
        <f t="shared" si="13"/>
        <v>0.99726775956284153</v>
      </c>
      <c r="F144" s="69">
        <f>$C144*E144*_xlfn.XLOOKUP($D144,'Sample Size cal and results'!$B$23:$B$24,'Sample Size cal and results'!$D$23:$D$24)</f>
        <v>19.295590299819299</v>
      </c>
      <c r="G144" s="72" t="str">
        <f>IF(DATEDIF($B144,'Inst summary and ER calculation'!$U$6,"y")=2,"2-3 years","3-4 years")</f>
        <v>3-4 years</v>
      </c>
      <c r="H144" s="69">
        <f t="shared" si="14"/>
        <v>1</v>
      </c>
      <c r="I144" s="142">
        <f>$C144*H144*_xlfn.XLOOKUP($G144,'Sample Size cal and results'!$B$25:$B$26,'Sample Size cal and results'!$D$25:$D$26)</f>
        <v>18.907612129702283</v>
      </c>
    </row>
    <row r="145" spans="1:9" ht="13">
      <c r="A145" s="131" t="s">
        <v>1441</v>
      </c>
      <c r="B145" s="53">
        <v>41873</v>
      </c>
      <c r="C145" s="52">
        <v>28</v>
      </c>
      <c r="D145" s="72" t="str">
        <f>IF(DATEDIF($B145,'Inst summary and ER calculation'!$T$6,"y")=1,"1-2 years","2-3 years")</f>
        <v>2-3 years</v>
      </c>
      <c r="E145" s="69">
        <f t="shared" si="13"/>
        <v>0.99726775956284153</v>
      </c>
      <c r="F145" s="69">
        <f>$C145*E145*_xlfn.XLOOKUP($D145,'Sample Size cal and results'!$B$23:$B$24,'Sample Size cal and results'!$D$23:$D$24)</f>
        <v>28.435606757628442</v>
      </c>
      <c r="G145" s="72" t="str">
        <f>IF(DATEDIF($B145,'Inst summary and ER calculation'!$U$6,"y")=2,"2-3 years","3-4 years")</f>
        <v>3-4 years</v>
      </c>
      <c r="H145" s="69">
        <f t="shared" si="14"/>
        <v>1</v>
      </c>
      <c r="I145" s="142">
        <f>$C145*H145*_xlfn.XLOOKUP($G145,'Sample Size cal and results'!$B$25:$B$26,'Sample Size cal and results'!$D$25:$D$26)</f>
        <v>27.863849454298105</v>
      </c>
    </row>
    <row r="146" spans="1:9" ht="13">
      <c r="A146" s="131" t="s">
        <v>1441</v>
      </c>
      <c r="B146" s="53">
        <v>41874</v>
      </c>
      <c r="C146" s="52">
        <v>19</v>
      </c>
      <c r="D146" s="72" t="str">
        <f>IF(DATEDIF($B146,'Inst summary and ER calculation'!$T$6,"y")=1,"1-2 years","2-3 years")</f>
        <v>2-3 years</v>
      </c>
      <c r="E146" s="69">
        <f t="shared" si="13"/>
        <v>0.99726775956284153</v>
      </c>
      <c r="F146" s="69">
        <f>$C146*E146*_xlfn.XLOOKUP($D146,'Sample Size cal and results'!$B$23:$B$24,'Sample Size cal and results'!$D$23:$D$24)</f>
        <v>19.295590299819299</v>
      </c>
      <c r="G146" s="72" t="str">
        <f>IF(DATEDIF($B146,'Inst summary and ER calculation'!$U$6,"y")=2,"2-3 years","3-4 years")</f>
        <v>3-4 years</v>
      </c>
      <c r="H146" s="69">
        <f t="shared" si="14"/>
        <v>1</v>
      </c>
      <c r="I146" s="142">
        <f>$C146*H146*_xlfn.XLOOKUP($G146,'Sample Size cal and results'!$B$25:$B$26,'Sample Size cal and results'!$D$25:$D$26)</f>
        <v>18.907612129702283</v>
      </c>
    </row>
    <row r="147" spans="1:9" ht="13">
      <c r="A147" s="131" t="s">
        <v>1441</v>
      </c>
      <c r="B147" s="53">
        <v>41875</v>
      </c>
      <c r="C147" s="52">
        <v>16</v>
      </c>
      <c r="D147" s="72" t="str">
        <f>IF(DATEDIF($B147,'Inst summary and ER calculation'!$T$6,"y")=1,"1-2 years","2-3 years")</f>
        <v>2-3 years</v>
      </c>
      <c r="E147" s="69">
        <f t="shared" si="13"/>
        <v>0.99726775956284153</v>
      </c>
      <c r="F147" s="69">
        <f>$C147*E147*_xlfn.XLOOKUP($D147,'Sample Size cal and results'!$B$23:$B$24,'Sample Size cal and results'!$D$23:$D$24)</f>
        <v>16.248918147216255</v>
      </c>
      <c r="G147" s="72" t="str">
        <f>IF(DATEDIF($B147,'Inst summary and ER calculation'!$U$6,"y")=2,"2-3 years","3-4 years")</f>
        <v>3-4 years</v>
      </c>
      <c r="H147" s="69">
        <f t="shared" si="14"/>
        <v>1</v>
      </c>
      <c r="I147" s="142">
        <f>$C147*H147*_xlfn.XLOOKUP($G147,'Sample Size cal and results'!$B$25:$B$26,'Sample Size cal and results'!$D$25:$D$26)</f>
        <v>15.922199688170345</v>
      </c>
    </row>
    <row r="148" spans="1:9" ht="13">
      <c r="A148" s="131" t="s">
        <v>1441</v>
      </c>
      <c r="B148" s="53">
        <v>41876</v>
      </c>
      <c r="C148" s="52">
        <v>27</v>
      </c>
      <c r="D148" s="72" t="str">
        <f>IF(DATEDIF($B148,'Inst summary and ER calculation'!$T$6,"y")=1,"1-2 years","2-3 years")</f>
        <v>2-3 years</v>
      </c>
      <c r="E148" s="69">
        <f t="shared" si="13"/>
        <v>0.99726775956284153</v>
      </c>
      <c r="F148" s="69">
        <f>$C148*E148*_xlfn.XLOOKUP($D148,'Sample Size cal and results'!$B$23:$B$24,'Sample Size cal and results'!$D$23:$D$24)</f>
        <v>27.420049373427428</v>
      </c>
      <c r="G148" s="72" t="str">
        <f>IF(DATEDIF($B148,'Inst summary and ER calculation'!$U$6,"y")=2,"2-3 years","3-4 years")</f>
        <v>3-4 years</v>
      </c>
      <c r="H148" s="69">
        <f t="shared" si="14"/>
        <v>1</v>
      </c>
      <c r="I148" s="142">
        <f>$C148*H148*_xlfn.XLOOKUP($G148,'Sample Size cal and results'!$B$25:$B$26,'Sample Size cal and results'!$D$25:$D$26)</f>
        <v>26.868711973787455</v>
      </c>
    </row>
    <row r="149" spans="1:9" ht="13">
      <c r="A149" s="131" t="s">
        <v>1441</v>
      </c>
      <c r="B149" s="53">
        <v>41877</v>
      </c>
      <c r="C149" s="52">
        <v>23</v>
      </c>
      <c r="D149" s="72" t="str">
        <f>IF(DATEDIF($B149,'Inst summary and ER calculation'!$T$6,"y")=1,"1-2 years","2-3 years")</f>
        <v>2-3 years</v>
      </c>
      <c r="E149" s="69">
        <f t="shared" si="13"/>
        <v>0.99726775956284153</v>
      </c>
      <c r="F149" s="69">
        <f>$C149*E149*_xlfn.XLOOKUP($D149,'Sample Size cal and results'!$B$23:$B$24,'Sample Size cal and results'!$D$23:$D$24)</f>
        <v>23.357819836623367</v>
      </c>
      <c r="G149" s="72" t="str">
        <f>IF(DATEDIF($B149,'Inst summary and ER calculation'!$U$6,"y")=2,"2-3 years","3-4 years")</f>
        <v>3-4 years</v>
      </c>
      <c r="H149" s="69">
        <f t="shared" si="14"/>
        <v>1</v>
      </c>
      <c r="I149" s="142">
        <f>$C149*H149*_xlfn.XLOOKUP($G149,'Sample Size cal and results'!$B$25:$B$26,'Sample Size cal and results'!$D$25:$D$26)</f>
        <v>22.888162051744871</v>
      </c>
    </row>
    <row r="150" spans="1:9" ht="13">
      <c r="A150" s="131" t="s">
        <v>1441</v>
      </c>
      <c r="B150" s="53">
        <v>41878</v>
      </c>
      <c r="C150" s="52">
        <v>29</v>
      </c>
      <c r="D150" s="72" t="str">
        <f>IF(DATEDIF($B150,'Inst summary and ER calculation'!$T$6,"y")=1,"1-2 years","2-3 years")</f>
        <v>2-3 years</v>
      </c>
      <c r="E150" s="69">
        <f t="shared" si="13"/>
        <v>0.99726775956284153</v>
      </c>
      <c r="F150" s="69">
        <f>$C150*E150*_xlfn.XLOOKUP($D150,'Sample Size cal and results'!$B$23:$B$24,'Sample Size cal and results'!$D$23:$D$24)</f>
        <v>29.451164141829459</v>
      </c>
      <c r="G150" s="72" t="str">
        <f>IF(DATEDIF($B150,'Inst summary and ER calculation'!$U$6,"y")=2,"2-3 years","3-4 years")</f>
        <v>3-4 years</v>
      </c>
      <c r="H150" s="69">
        <f t="shared" si="14"/>
        <v>1</v>
      </c>
      <c r="I150" s="142">
        <f>$C150*H150*_xlfn.XLOOKUP($G150,'Sample Size cal and results'!$B$25:$B$26,'Sample Size cal and results'!$D$25:$D$26)</f>
        <v>28.858986934808751</v>
      </c>
    </row>
    <row r="151" spans="1:9" ht="13">
      <c r="A151" s="131" t="s">
        <v>1441</v>
      </c>
      <c r="B151" s="53">
        <v>41879</v>
      </c>
      <c r="C151" s="52">
        <v>27</v>
      </c>
      <c r="D151" s="72" t="str">
        <f>IF(DATEDIF($B151,'Inst summary and ER calculation'!$T$6,"y")=1,"1-2 years","2-3 years")</f>
        <v>2-3 years</v>
      </c>
      <c r="E151" s="69">
        <f t="shared" si="13"/>
        <v>0.99726775956284153</v>
      </c>
      <c r="F151" s="69">
        <f>$C151*E151*_xlfn.XLOOKUP($D151,'Sample Size cal and results'!$B$23:$B$24,'Sample Size cal and results'!$D$23:$D$24)</f>
        <v>27.420049373427428</v>
      </c>
      <c r="G151" s="72" t="str">
        <f>IF(DATEDIF($B151,'Inst summary and ER calculation'!$U$6,"y")=2,"2-3 years","3-4 years")</f>
        <v>3-4 years</v>
      </c>
      <c r="H151" s="69">
        <f t="shared" si="14"/>
        <v>1</v>
      </c>
      <c r="I151" s="142">
        <f>$C151*H151*_xlfn.XLOOKUP($G151,'Sample Size cal and results'!$B$25:$B$26,'Sample Size cal and results'!$D$25:$D$26)</f>
        <v>26.868711973787455</v>
      </c>
    </row>
    <row r="152" spans="1:9" ht="13">
      <c r="A152" s="131" t="s">
        <v>1441</v>
      </c>
      <c r="B152" s="53">
        <v>41880</v>
      </c>
      <c r="C152" s="52">
        <v>19</v>
      </c>
      <c r="D152" s="72" t="str">
        <f>IF(DATEDIF($B152,'Inst summary and ER calculation'!$T$6,"y")=1,"1-2 years","2-3 years")</f>
        <v>2-3 years</v>
      </c>
      <c r="E152" s="69">
        <f t="shared" si="13"/>
        <v>0.99726775956284153</v>
      </c>
      <c r="F152" s="69">
        <f>$C152*E152*_xlfn.XLOOKUP($D152,'Sample Size cal and results'!$B$23:$B$24,'Sample Size cal and results'!$D$23:$D$24)</f>
        <v>19.295590299819299</v>
      </c>
      <c r="G152" s="72" t="str">
        <f>IF(DATEDIF($B152,'Inst summary and ER calculation'!$U$6,"y")=2,"2-3 years","3-4 years")</f>
        <v>3-4 years</v>
      </c>
      <c r="H152" s="69">
        <f t="shared" si="14"/>
        <v>1</v>
      </c>
      <c r="I152" s="142">
        <f>$C152*H152*_xlfn.XLOOKUP($G152,'Sample Size cal and results'!$B$25:$B$26,'Sample Size cal and results'!$D$25:$D$26)</f>
        <v>18.907612129702283</v>
      </c>
    </row>
    <row r="153" spans="1:9" ht="13">
      <c r="A153" s="131" t="s">
        <v>1441</v>
      </c>
      <c r="B153" s="53">
        <v>41881</v>
      </c>
      <c r="C153" s="52">
        <v>29</v>
      </c>
      <c r="D153" s="72" t="str">
        <f>IF(DATEDIF($B153,'Inst summary and ER calculation'!$T$6,"y")=1,"1-2 years","2-3 years")</f>
        <v>2-3 years</v>
      </c>
      <c r="E153" s="69">
        <f t="shared" si="13"/>
        <v>0.99726775956284153</v>
      </c>
      <c r="F153" s="69">
        <f>$C153*E153*_xlfn.XLOOKUP($D153,'Sample Size cal and results'!$B$23:$B$24,'Sample Size cal and results'!$D$23:$D$24)</f>
        <v>29.451164141829459</v>
      </c>
      <c r="G153" s="72" t="str">
        <f>IF(DATEDIF($B153,'Inst summary and ER calculation'!$U$6,"y")=2,"2-3 years","3-4 years")</f>
        <v>3-4 years</v>
      </c>
      <c r="H153" s="69">
        <f t="shared" si="14"/>
        <v>1</v>
      </c>
      <c r="I153" s="142">
        <f>$C153*H153*_xlfn.XLOOKUP($G153,'Sample Size cal and results'!$B$25:$B$26,'Sample Size cal and results'!$D$25:$D$26)</f>
        <v>28.858986934808751</v>
      </c>
    </row>
    <row r="154" spans="1:9" ht="13">
      <c r="A154" s="131" t="s">
        <v>1441</v>
      </c>
      <c r="B154" s="53">
        <v>41882</v>
      </c>
      <c r="C154" s="52">
        <v>2</v>
      </c>
      <c r="D154" s="72" t="str">
        <f>IF(DATEDIF($B154,'Inst summary and ER calculation'!$T$6,"y")=1,"1-2 years","2-3 years")</f>
        <v>2-3 years</v>
      </c>
      <c r="E154" s="69">
        <f t="shared" si="13"/>
        <v>0.99726775956284153</v>
      </c>
      <c r="F154" s="69">
        <f>$C154*E154*_xlfn.XLOOKUP($D154,'Sample Size cal and results'!$B$23:$B$24,'Sample Size cal and results'!$D$23:$D$24)</f>
        <v>2.0311147684020319</v>
      </c>
      <c r="G154" s="72" t="str">
        <f>IF(DATEDIF($B154,'Inst summary and ER calculation'!$U$6,"y")=2,"2-3 years","3-4 years")</f>
        <v>3-4 years</v>
      </c>
      <c r="H154" s="69">
        <f t="shared" si="14"/>
        <v>1</v>
      </c>
      <c r="I154" s="142">
        <f>$C154*H154*_xlfn.XLOOKUP($G154,'Sample Size cal and results'!$B$25:$B$26,'Sample Size cal and results'!$D$25:$D$26)</f>
        <v>1.9902749610212931</v>
      </c>
    </row>
    <row r="155" spans="1:9" ht="13">
      <c r="A155" s="131" t="s">
        <v>1441</v>
      </c>
      <c r="B155" s="53">
        <v>41883</v>
      </c>
      <c r="C155" s="52">
        <v>10</v>
      </c>
      <c r="D155" s="72" t="str">
        <f>IF(DATEDIF($B155,'Inst summary and ER calculation'!$T$6,"y")=1,"1-2 years","2-3 years")</f>
        <v>2-3 years</v>
      </c>
      <c r="E155" s="69">
        <f t="shared" si="13"/>
        <v>0.99726775956284153</v>
      </c>
      <c r="F155" s="69">
        <f>$C155*E155*_xlfn.XLOOKUP($D155,'Sample Size cal and results'!$B$23:$B$24,'Sample Size cal and results'!$D$23:$D$24)</f>
        <v>10.155573842010158</v>
      </c>
      <c r="G155" s="72" t="str">
        <f>IF(DATEDIF($B155,'Inst summary and ER calculation'!$U$6,"y")=2,"2-3 years","3-4 years")</f>
        <v>3-4 years</v>
      </c>
      <c r="H155" s="69">
        <f t="shared" si="14"/>
        <v>1</v>
      </c>
      <c r="I155" s="142">
        <f>$C155*H155*_xlfn.XLOOKUP($G155,'Sample Size cal and results'!$B$25:$B$26,'Sample Size cal and results'!$D$25:$D$26)</f>
        <v>9.9513748051064645</v>
      </c>
    </row>
    <row r="156" spans="1:9" ht="13">
      <c r="A156" s="131" t="s">
        <v>1441</v>
      </c>
      <c r="B156" s="53">
        <v>41884</v>
      </c>
      <c r="C156" s="52">
        <v>15</v>
      </c>
      <c r="D156" s="72" t="str">
        <f>IF(DATEDIF($B156,'Inst summary and ER calculation'!$T$6,"y")=1,"1-2 years","2-3 years")</f>
        <v>2-3 years</v>
      </c>
      <c r="E156" s="69">
        <f t="shared" si="13"/>
        <v>0.99726775956284153</v>
      </c>
      <c r="F156" s="69">
        <f>$C156*E156*_xlfn.XLOOKUP($D156,'Sample Size cal and results'!$B$23:$B$24,'Sample Size cal and results'!$D$23:$D$24)</f>
        <v>15.233360763015238</v>
      </c>
      <c r="G156" s="72" t="str">
        <f>IF(DATEDIF($B156,'Inst summary and ER calculation'!$U$6,"y")=2,"2-3 years","3-4 years")</f>
        <v>3-4 years</v>
      </c>
      <c r="H156" s="69">
        <f t="shared" si="14"/>
        <v>1</v>
      </c>
      <c r="I156" s="142">
        <f>$C156*H156*_xlfn.XLOOKUP($G156,'Sample Size cal and results'!$B$25:$B$26,'Sample Size cal and results'!$D$25:$D$26)</f>
        <v>14.927062207659699</v>
      </c>
    </row>
    <row r="157" spans="1:9" ht="13">
      <c r="A157" s="131" t="s">
        <v>1441</v>
      </c>
      <c r="B157" s="53">
        <v>41885</v>
      </c>
      <c r="C157" s="52">
        <v>15</v>
      </c>
      <c r="D157" s="72" t="str">
        <f>IF(DATEDIF($B157,'Inst summary and ER calculation'!$T$6,"y")=1,"1-2 years","2-3 years")</f>
        <v>2-3 years</v>
      </c>
      <c r="E157" s="69">
        <f t="shared" si="13"/>
        <v>0.99726775956284153</v>
      </c>
      <c r="F157" s="69">
        <f>$C157*E157*_xlfn.XLOOKUP($D157,'Sample Size cal and results'!$B$23:$B$24,'Sample Size cal and results'!$D$23:$D$24)</f>
        <v>15.233360763015238</v>
      </c>
      <c r="G157" s="72" t="str">
        <f>IF(DATEDIF($B157,'Inst summary and ER calculation'!$U$6,"y")=2,"2-3 years","3-4 years")</f>
        <v>3-4 years</v>
      </c>
      <c r="H157" s="69">
        <f t="shared" si="14"/>
        <v>1</v>
      </c>
      <c r="I157" s="142">
        <f>$C157*H157*_xlfn.XLOOKUP($G157,'Sample Size cal and results'!$B$25:$B$26,'Sample Size cal and results'!$D$25:$D$26)</f>
        <v>14.927062207659699</v>
      </c>
    </row>
    <row r="158" spans="1:9" ht="13">
      <c r="A158" s="131" t="s">
        <v>1441</v>
      </c>
      <c r="B158" s="53">
        <v>41886</v>
      </c>
      <c r="C158" s="52">
        <v>14</v>
      </c>
      <c r="D158" s="72" t="str">
        <f>IF(DATEDIF($B158,'Inst summary and ER calculation'!$T$6,"y")=1,"1-2 years","2-3 years")</f>
        <v>2-3 years</v>
      </c>
      <c r="E158" s="69">
        <f t="shared" si="13"/>
        <v>0.99726775956284153</v>
      </c>
      <c r="F158" s="69">
        <f>$C158*E158*_xlfn.XLOOKUP($D158,'Sample Size cal and results'!$B$23:$B$24,'Sample Size cal and results'!$D$23:$D$24)</f>
        <v>14.217803378814221</v>
      </c>
      <c r="G158" s="72" t="str">
        <f>IF(DATEDIF($B158,'Inst summary and ER calculation'!$U$6,"y")=2,"2-3 years","3-4 years")</f>
        <v>3-4 years</v>
      </c>
      <c r="H158" s="69">
        <f t="shared" si="14"/>
        <v>1</v>
      </c>
      <c r="I158" s="142">
        <f>$C158*H158*_xlfn.XLOOKUP($G158,'Sample Size cal and results'!$B$25:$B$26,'Sample Size cal and results'!$D$25:$D$26)</f>
        <v>13.931924727149053</v>
      </c>
    </row>
    <row r="159" spans="1:9" ht="13">
      <c r="A159" s="131" t="s">
        <v>1441</v>
      </c>
      <c r="B159" s="53">
        <v>41887</v>
      </c>
      <c r="C159" s="52">
        <v>24</v>
      </c>
      <c r="D159" s="72" t="str">
        <f>IF(DATEDIF($B159,'Inst summary and ER calculation'!$T$6,"y")=1,"1-2 years","2-3 years")</f>
        <v>2-3 years</v>
      </c>
      <c r="E159" s="69">
        <f t="shared" si="13"/>
        <v>0.99726775956284153</v>
      </c>
      <c r="F159" s="69">
        <f>$C159*E159*_xlfn.XLOOKUP($D159,'Sample Size cal and results'!$B$23:$B$24,'Sample Size cal and results'!$D$23:$D$24)</f>
        <v>24.373377220824381</v>
      </c>
      <c r="G159" s="72" t="str">
        <f>IF(DATEDIF($B159,'Inst summary and ER calculation'!$U$6,"y")=2,"2-3 years","3-4 years")</f>
        <v>3-4 years</v>
      </c>
      <c r="H159" s="69">
        <f t="shared" si="14"/>
        <v>1</v>
      </c>
      <c r="I159" s="142">
        <f>$C159*H159*_xlfn.XLOOKUP($G159,'Sample Size cal and results'!$B$25:$B$26,'Sample Size cal and results'!$D$25:$D$26)</f>
        <v>23.883299532255517</v>
      </c>
    </row>
    <row r="160" spans="1:9" ht="13">
      <c r="A160" s="131" t="s">
        <v>1441</v>
      </c>
      <c r="B160" s="53">
        <v>41888</v>
      </c>
      <c r="C160" s="52">
        <v>12</v>
      </c>
      <c r="D160" s="72" t="str">
        <f>IF(DATEDIF($B160,'Inst summary and ER calculation'!$T$6,"y")=1,"1-2 years","2-3 years")</f>
        <v>2-3 years</v>
      </c>
      <c r="E160" s="69">
        <f t="shared" si="13"/>
        <v>0.99726775956284153</v>
      </c>
      <c r="F160" s="69">
        <f>$C160*E160*_xlfn.XLOOKUP($D160,'Sample Size cal and results'!$B$23:$B$24,'Sample Size cal and results'!$D$23:$D$24)</f>
        <v>12.18668861041219</v>
      </c>
      <c r="G160" s="72" t="str">
        <f>IF(DATEDIF($B160,'Inst summary and ER calculation'!$U$6,"y")=2,"2-3 years","3-4 years")</f>
        <v>3-4 years</v>
      </c>
      <c r="H160" s="69">
        <f t="shared" si="14"/>
        <v>1</v>
      </c>
      <c r="I160" s="142">
        <f>$C160*H160*_xlfn.XLOOKUP($G160,'Sample Size cal and results'!$B$25:$B$26,'Sample Size cal and results'!$D$25:$D$26)</f>
        <v>11.941649766127759</v>
      </c>
    </row>
    <row r="161" spans="1:9" ht="13">
      <c r="A161" s="131" t="s">
        <v>1441</v>
      </c>
      <c r="B161" s="53">
        <v>41889</v>
      </c>
      <c r="C161" s="52">
        <v>22</v>
      </c>
      <c r="D161" s="72" t="str">
        <f>IF(DATEDIF($B161,'Inst summary and ER calculation'!$T$6,"y")=1,"1-2 years","2-3 years")</f>
        <v>2-3 years</v>
      </c>
      <c r="E161" s="69">
        <f t="shared" si="13"/>
        <v>0.99726775956284153</v>
      </c>
      <c r="F161" s="69">
        <f>$C161*E161*_xlfn.XLOOKUP($D161,'Sample Size cal and results'!$B$23:$B$24,'Sample Size cal and results'!$D$23:$D$24)</f>
        <v>22.34226245242235</v>
      </c>
      <c r="G161" s="72" t="str">
        <f>IF(DATEDIF($B161,'Inst summary and ER calculation'!$U$6,"y")=2,"2-3 years","3-4 years")</f>
        <v>3-4 years</v>
      </c>
      <c r="H161" s="69">
        <f t="shared" si="14"/>
        <v>1</v>
      </c>
      <c r="I161" s="142">
        <f>$C161*H161*_xlfn.XLOOKUP($G161,'Sample Size cal and results'!$B$25:$B$26,'Sample Size cal and results'!$D$25:$D$26)</f>
        <v>21.893024571234225</v>
      </c>
    </row>
    <row r="162" spans="1:9" ht="13">
      <c r="A162" s="131" t="s">
        <v>1441</v>
      </c>
      <c r="B162" s="53">
        <v>41890</v>
      </c>
      <c r="C162" s="52">
        <v>17</v>
      </c>
      <c r="D162" s="72" t="str">
        <f>IF(DATEDIF($B162,'Inst summary and ER calculation'!$T$6,"y")=1,"1-2 years","2-3 years")</f>
        <v>2-3 years</v>
      </c>
      <c r="E162" s="69">
        <f t="shared" si="13"/>
        <v>0.99726775956284153</v>
      </c>
      <c r="F162" s="69">
        <f>$C162*E162*_xlfn.XLOOKUP($D162,'Sample Size cal and results'!$B$23:$B$24,'Sample Size cal and results'!$D$23:$D$24)</f>
        <v>17.264475531417268</v>
      </c>
      <c r="G162" s="72" t="str">
        <f>IF(DATEDIF($B162,'Inst summary and ER calculation'!$U$6,"y")=2,"2-3 years","3-4 years")</f>
        <v>3-4 years</v>
      </c>
      <c r="H162" s="69">
        <f t="shared" si="14"/>
        <v>1</v>
      </c>
      <c r="I162" s="142">
        <f>$C162*H162*_xlfn.XLOOKUP($G162,'Sample Size cal and results'!$B$25:$B$26,'Sample Size cal and results'!$D$25:$D$26)</f>
        <v>16.917337168680991</v>
      </c>
    </row>
    <row r="163" spans="1:9" ht="13">
      <c r="A163" s="131" t="s">
        <v>1441</v>
      </c>
      <c r="B163" s="53">
        <v>41891</v>
      </c>
      <c r="C163" s="52">
        <v>22</v>
      </c>
      <c r="D163" s="72" t="str">
        <f>IF(DATEDIF($B163,'Inst summary and ER calculation'!$T$6,"y")=1,"1-2 years","2-3 years")</f>
        <v>2-3 years</v>
      </c>
      <c r="E163" s="69">
        <f t="shared" si="13"/>
        <v>0.99726775956284153</v>
      </c>
      <c r="F163" s="69">
        <f>$C163*E163*_xlfn.XLOOKUP($D163,'Sample Size cal and results'!$B$23:$B$24,'Sample Size cal and results'!$D$23:$D$24)</f>
        <v>22.34226245242235</v>
      </c>
      <c r="G163" s="72" t="str">
        <f>IF(DATEDIF($B163,'Inst summary and ER calculation'!$U$6,"y")=2,"2-3 years","3-4 years")</f>
        <v>3-4 years</v>
      </c>
      <c r="H163" s="69">
        <f t="shared" si="14"/>
        <v>1</v>
      </c>
      <c r="I163" s="142">
        <f>$C163*H163*_xlfn.XLOOKUP($G163,'Sample Size cal and results'!$B$25:$B$26,'Sample Size cal and results'!$D$25:$D$26)</f>
        <v>21.893024571234225</v>
      </c>
    </row>
    <row r="164" spans="1:9" ht="13">
      <c r="A164" s="131" t="s">
        <v>1441</v>
      </c>
      <c r="B164" s="53">
        <v>41892</v>
      </c>
      <c r="C164" s="52">
        <v>34</v>
      </c>
      <c r="D164" s="72" t="str">
        <f>IF(DATEDIF($B164,'Inst summary and ER calculation'!$T$6,"y")=1,"1-2 years","2-3 years")</f>
        <v>2-3 years</v>
      </c>
      <c r="E164" s="69">
        <f t="shared" si="13"/>
        <v>0.99726775956284153</v>
      </c>
      <c r="F164" s="69">
        <f>$C164*E164*_xlfn.XLOOKUP($D164,'Sample Size cal and results'!$B$23:$B$24,'Sample Size cal and results'!$D$23:$D$24)</f>
        <v>34.528951062834537</v>
      </c>
      <c r="G164" s="72" t="str">
        <f>IF(DATEDIF($B164,'Inst summary and ER calculation'!$U$6,"y")=2,"2-3 years","3-4 years")</f>
        <v>3-4 years</v>
      </c>
      <c r="H164" s="69">
        <f t="shared" si="14"/>
        <v>1</v>
      </c>
      <c r="I164" s="142">
        <f>$C164*H164*_xlfn.XLOOKUP($G164,'Sample Size cal and results'!$B$25:$B$26,'Sample Size cal and results'!$D$25:$D$26)</f>
        <v>33.834674337361982</v>
      </c>
    </row>
    <row r="165" spans="1:9" ht="13">
      <c r="A165" s="131" t="s">
        <v>1441</v>
      </c>
      <c r="B165" s="53">
        <v>41893</v>
      </c>
      <c r="C165" s="52">
        <v>22</v>
      </c>
      <c r="D165" s="72" t="str">
        <f>IF(DATEDIF($B165,'Inst summary and ER calculation'!$T$6,"y")=1,"1-2 years","2-3 years")</f>
        <v>2-3 years</v>
      </c>
      <c r="E165" s="69">
        <f t="shared" si="13"/>
        <v>0.99726775956284153</v>
      </c>
      <c r="F165" s="69">
        <f>$C165*E165*_xlfn.XLOOKUP($D165,'Sample Size cal and results'!$B$23:$B$24,'Sample Size cal and results'!$D$23:$D$24)</f>
        <v>22.34226245242235</v>
      </c>
      <c r="G165" s="72" t="str">
        <f>IF(DATEDIF($B165,'Inst summary and ER calculation'!$U$6,"y")=2,"2-3 years","3-4 years")</f>
        <v>3-4 years</v>
      </c>
      <c r="H165" s="69">
        <f t="shared" si="14"/>
        <v>1</v>
      </c>
      <c r="I165" s="142">
        <f>$C165*H165*_xlfn.XLOOKUP($G165,'Sample Size cal and results'!$B$25:$B$26,'Sample Size cal and results'!$D$25:$D$26)</f>
        <v>21.893024571234225</v>
      </c>
    </row>
    <row r="166" spans="1:9" ht="13">
      <c r="A166" s="131" t="s">
        <v>1441</v>
      </c>
      <c r="B166" s="53">
        <v>41894</v>
      </c>
      <c r="C166" s="52">
        <v>59</v>
      </c>
      <c r="D166" s="72" t="str">
        <f>IF(DATEDIF($B166,'Inst summary and ER calculation'!$T$6,"y")=1,"1-2 years","2-3 years")</f>
        <v>2-3 years</v>
      </c>
      <c r="E166" s="69">
        <f t="shared" si="13"/>
        <v>0.99726775956284153</v>
      </c>
      <c r="F166" s="69">
        <f>$C166*E166*_xlfn.XLOOKUP($D166,'Sample Size cal and results'!$B$23:$B$24,'Sample Size cal and results'!$D$23:$D$24)</f>
        <v>59.917885667859935</v>
      </c>
      <c r="G166" s="72" t="str">
        <f>IF(DATEDIF($B166,'Inst summary and ER calculation'!$U$6,"y")=2,"2-3 years","3-4 years")</f>
        <v>3-4 years</v>
      </c>
      <c r="H166" s="69">
        <f t="shared" si="14"/>
        <v>1</v>
      </c>
      <c r="I166" s="142">
        <f>$C166*H166*_xlfn.XLOOKUP($G166,'Sample Size cal and results'!$B$25:$B$26,'Sample Size cal and results'!$D$25:$D$26)</f>
        <v>58.713111350128145</v>
      </c>
    </row>
    <row r="167" spans="1:9" ht="13">
      <c r="A167" s="131" t="s">
        <v>1441</v>
      </c>
      <c r="B167" s="53">
        <v>41895</v>
      </c>
      <c r="C167" s="52">
        <v>53</v>
      </c>
      <c r="D167" s="72" t="str">
        <f>IF(DATEDIF($B167,'Inst summary and ER calculation'!$T$6,"y")=1,"1-2 years","2-3 years")</f>
        <v>2-3 years</v>
      </c>
      <c r="E167" s="69">
        <f t="shared" si="13"/>
        <v>0.99726775956284153</v>
      </c>
      <c r="F167" s="69">
        <f>$C167*E167*_xlfn.XLOOKUP($D167,'Sample Size cal and results'!$B$23:$B$24,'Sample Size cal and results'!$D$23:$D$24)</f>
        <v>53.824541362653839</v>
      </c>
      <c r="G167" s="72" t="str">
        <f>IF(DATEDIF($B167,'Inst summary and ER calculation'!$U$6,"y")=2,"2-3 years","3-4 years")</f>
        <v>3-4 years</v>
      </c>
      <c r="H167" s="69">
        <f t="shared" si="14"/>
        <v>1</v>
      </c>
      <c r="I167" s="142">
        <f>$C167*H167*_xlfn.XLOOKUP($G167,'Sample Size cal and results'!$B$25:$B$26,'Sample Size cal and results'!$D$25:$D$26)</f>
        <v>52.742286467064268</v>
      </c>
    </row>
    <row r="168" spans="1:9" ht="13">
      <c r="A168" s="131" t="s">
        <v>1441</v>
      </c>
      <c r="B168" s="53">
        <v>41896</v>
      </c>
      <c r="C168" s="52">
        <v>24</v>
      </c>
      <c r="D168" s="72" t="str">
        <f>IF(DATEDIF($B168,'Inst summary and ER calculation'!$T$6,"y")=1,"1-2 years","2-3 years")</f>
        <v>2-3 years</v>
      </c>
      <c r="E168" s="69">
        <f t="shared" si="13"/>
        <v>0.99726775956284153</v>
      </c>
      <c r="F168" s="69">
        <f>$C168*E168*_xlfn.XLOOKUP($D168,'Sample Size cal and results'!$B$23:$B$24,'Sample Size cal and results'!$D$23:$D$24)</f>
        <v>24.373377220824381</v>
      </c>
      <c r="G168" s="72" t="str">
        <f>IF(DATEDIF($B168,'Inst summary and ER calculation'!$U$6,"y")=2,"2-3 years","3-4 years")</f>
        <v>3-4 years</v>
      </c>
      <c r="H168" s="69">
        <f t="shared" si="14"/>
        <v>1</v>
      </c>
      <c r="I168" s="142">
        <f>$C168*H168*_xlfn.XLOOKUP($G168,'Sample Size cal and results'!$B$25:$B$26,'Sample Size cal and results'!$D$25:$D$26)</f>
        <v>23.883299532255517</v>
      </c>
    </row>
    <row r="169" spans="1:9" ht="13">
      <c r="A169" s="131" t="s">
        <v>1441</v>
      </c>
      <c r="B169" s="53">
        <v>41897</v>
      </c>
      <c r="C169" s="52">
        <v>1296</v>
      </c>
      <c r="D169" s="72" t="str">
        <f>IF(DATEDIF($B169,'Inst summary and ER calculation'!$T$6,"y")=1,"1-2 years","2-3 years")</f>
        <v>2-3 years</v>
      </c>
      <c r="E169" s="69">
        <f t="shared" si="13"/>
        <v>0.99726775956284153</v>
      </c>
      <c r="F169" s="69">
        <f>$C169*E169*_xlfn.XLOOKUP($D169,'Sample Size cal and results'!$B$23:$B$24,'Sample Size cal and results'!$D$23:$D$24)</f>
        <v>1316.1623699245165</v>
      </c>
      <c r="G169" s="72" t="str">
        <f>IF(DATEDIF($B169,'Inst summary and ER calculation'!$U$6,"y")=2,"2-3 years","3-4 years")</f>
        <v>3-4 years</v>
      </c>
      <c r="H169" s="69">
        <f t="shared" si="14"/>
        <v>1</v>
      </c>
      <c r="I169" s="142">
        <f>$C169*H169*_xlfn.XLOOKUP($G169,'Sample Size cal and results'!$B$25:$B$26,'Sample Size cal and results'!$D$25:$D$26)</f>
        <v>1289.6981747417979</v>
      </c>
    </row>
    <row r="170" spans="1:9" ht="13">
      <c r="A170" s="131" t="s">
        <v>1443</v>
      </c>
      <c r="B170" s="53">
        <v>41764</v>
      </c>
      <c r="C170" s="52">
        <v>1</v>
      </c>
      <c r="D170" s="72" t="str">
        <f>IF(DATEDIF($B170,'Inst summary and ER calculation'!$T$6,"y")=1,"1-2 years","2-3 years")</f>
        <v>2-3 years</v>
      </c>
      <c r="E170" s="69">
        <f t="shared" si="13"/>
        <v>0.99726775956284153</v>
      </c>
      <c r="F170" s="69">
        <f>$C170*E170*_xlfn.XLOOKUP($D170,'Sample Size cal and results'!$B$23:$B$24,'Sample Size cal and results'!$D$23:$D$24)</f>
        <v>1.0155573842010159</v>
      </c>
      <c r="G170" s="72" t="str">
        <f>IF(DATEDIF($B170,'Inst summary and ER calculation'!$U$6,"y")=2,"2-3 years","3-4 years")</f>
        <v>3-4 years</v>
      </c>
      <c r="H170" s="69">
        <f t="shared" si="14"/>
        <v>1</v>
      </c>
      <c r="I170" s="142">
        <f>$C170*H170*_xlfn.XLOOKUP($G170,'Sample Size cal and results'!$B$25:$B$26,'Sample Size cal and results'!$D$25:$D$26)</f>
        <v>0.99513748051064654</v>
      </c>
    </row>
    <row r="171" spans="1:9" ht="13">
      <c r="A171" s="131" t="s">
        <v>1443</v>
      </c>
      <c r="B171" s="53">
        <v>41765</v>
      </c>
      <c r="C171" s="52">
        <v>1</v>
      </c>
      <c r="D171" s="72" t="str">
        <f>IF(DATEDIF($B171,'Inst summary and ER calculation'!$T$6,"y")=1,"1-2 years","2-3 years")</f>
        <v>2-3 years</v>
      </c>
      <c r="E171" s="69">
        <f t="shared" si="13"/>
        <v>0.99726775956284153</v>
      </c>
      <c r="F171" s="69">
        <f>$C171*E171*_xlfn.XLOOKUP($D171,'Sample Size cal and results'!$B$23:$B$24,'Sample Size cal and results'!$D$23:$D$24)</f>
        <v>1.0155573842010159</v>
      </c>
      <c r="G171" s="72" t="str">
        <f>IF(DATEDIF($B171,'Inst summary and ER calculation'!$U$6,"y")=2,"2-3 years","3-4 years")</f>
        <v>3-4 years</v>
      </c>
      <c r="H171" s="69">
        <f t="shared" si="14"/>
        <v>1</v>
      </c>
      <c r="I171" s="142">
        <f>$C171*H171*_xlfn.XLOOKUP($G171,'Sample Size cal and results'!$B$25:$B$26,'Sample Size cal and results'!$D$25:$D$26)</f>
        <v>0.99513748051064654</v>
      </c>
    </row>
    <row r="172" spans="1:9" ht="13">
      <c r="A172" s="131" t="s">
        <v>1443</v>
      </c>
      <c r="B172" s="53">
        <v>41766</v>
      </c>
      <c r="C172" s="52">
        <v>1</v>
      </c>
      <c r="D172" s="72" t="str">
        <f>IF(DATEDIF($B172,'Inst summary and ER calculation'!$T$6,"y")=1,"1-2 years","2-3 years")</f>
        <v>2-3 years</v>
      </c>
      <c r="E172" s="69">
        <f t="shared" si="13"/>
        <v>0.99726775956284153</v>
      </c>
      <c r="F172" s="69">
        <f>$C172*E172*_xlfn.XLOOKUP($D172,'Sample Size cal and results'!$B$23:$B$24,'Sample Size cal and results'!$D$23:$D$24)</f>
        <v>1.0155573842010159</v>
      </c>
      <c r="G172" s="72" t="str">
        <f>IF(DATEDIF($B172,'Inst summary and ER calculation'!$U$6,"y")=2,"2-3 years","3-4 years")</f>
        <v>3-4 years</v>
      </c>
      <c r="H172" s="69">
        <f t="shared" si="14"/>
        <v>1</v>
      </c>
      <c r="I172" s="142">
        <f>$C172*H172*_xlfn.XLOOKUP($G172,'Sample Size cal and results'!$B$25:$B$26,'Sample Size cal and results'!$D$25:$D$26)</f>
        <v>0.99513748051064654</v>
      </c>
    </row>
    <row r="173" spans="1:9" ht="13">
      <c r="A173" s="131" t="s">
        <v>1443</v>
      </c>
      <c r="B173" s="53">
        <v>41767</v>
      </c>
      <c r="C173" s="52">
        <v>1</v>
      </c>
      <c r="D173" s="72" t="str">
        <f>IF(DATEDIF($B173,'Inst summary and ER calculation'!$T$6,"y")=1,"1-2 years","2-3 years")</f>
        <v>2-3 years</v>
      </c>
      <c r="E173" s="69">
        <f t="shared" si="13"/>
        <v>0.99726775956284153</v>
      </c>
      <c r="F173" s="69">
        <f>$C173*E173*_xlfn.XLOOKUP($D173,'Sample Size cal and results'!$B$23:$B$24,'Sample Size cal and results'!$D$23:$D$24)</f>
        <v>1.0155573842010159</v>
      </c>
      <c r="G173" s="72" t="str">
        <f>IF(DATEDIF($B173,'Inst summary and ER calculation'!$U$6,"y")=2,"2-3 years","3-4 years")</f>
        <v>3-4 years</v>
      </c>
      <c r="H173" s="69">
        <f t="shared" si="14"/>
        <v>1</v>
      </c>
      <c r="I173" s="142">
        <f>$C173*H173*_xlfn.XLOOKUP($G173,'Sample Size cal and results'!$B$25:$B$26,'Sample Size cal and results'!$D$25:$D$26)</f>
        <v>0.99513748051064654</v>
      </c>
    </row>
    <row r="174" spans="1:9" ht="13">
      <c r="A174" s="131" t="s">
        <v>1443</v>
      </c>
      <c r="B174" s="53">
        <v>41768</v>
      </c>
      <c r="C174" s="52">
        <v>1</v>
      </c>
      <c r="D174" s="72" t="str">
        <f>IF(DATEDIF($B174,'Inst summary and ER calculation'!$T$6,"y")=1,"1-2 years","2-3 years")</f>
        <v>2-3 years</v>
      </c>
      <c r="E174" s="69">
        <f t="shared" si="13"/>
        <v>0.99726775956284153</v>
      </c>
      <c r="F174" s="69">
        <f>$C174*E174*_xlfn.XLOOKUP($D174,'Sample Size cal and results'!$B$23:$B$24,'Sample Size cal and results'!$D$23:$D$24)</f>
        <v>1.0155573842010159</v>
      </c>
      <c r="G174" s="72" t="str">
        <f>IF(DATEDIF($B174,'Inst summary and ER calculation'!$U$6,"y")=2,"2-3 years","3-4 years")</f>
        <v>3-4 years</v>
      </c>
      <c r="H174" s="69">
        <f t="shared" si="14"/>
        <v>1</v>
      </c>
      <c r="I174" s="142">
        <f>$C174*H174*_xlfn.XLOOKUP($G174,'Sample Size cal and results'!$B$25:$B$26,'Sample Size cal and results'!$D$25:$D$26)</f>
        <v>0.99513748051064654</v>
      </c>
    </row>
    <row r="175" spans="1:9" ht="13">
      <c r="A175" s="131" t="s">
        <v>1443</v>
      </c>
      <c r="B175" s="53">
        <v>41772</v>
      </c>
      <c r="C175" s="52">
        <v>396</v>
      </c>
      <c r="D175" s="72" t="str">
        <f>IF(DATEDIF($B175,'Inst summary and ER calculation'!$T$6,"y")=1,"1-2 years","2-3 years")</f>
        <v>2-3 years</v>
      </c>
      <c r="E175" s="69">
        <f t="shared" si="13"/>
        <v>0.99726775956284153</v>
      </c>
      <c r="F175" s="69">
        <f>$C175*E175*_xlfn.XLOOKUP($D175,'Sample Size cal and results'!$B$23:$B$24,'Sample Size cal and results'!$D$23:$D$24)</f>
        <v>402.16072414360229</v>
      </c>
      <c r="G175" s="72" t="str">
        <f>IF(DATEDIF($B175,'Inst summary and ER calculation'!$U$6,"y")=2,"2-3 years","3-4 years")</f>
        <v>3-4 years</v>
      </c>
      <c r="H175" s="69">
        <f t="shared" si="14"/>
        <v>1</v>
      </c>
      <c r="I175" s="142">
        <f>$C175*H175*_xlfn.XLOOKUP($G175,'Sample Size cal and results'!$B$25:$B$26,'Sample Size cal and results'!$D$25:$D$26)</f>
        <v>394.07444228221601</v>
      </c>
    </row>
    <row r="176" spans="1:9" ht="13">
      <c r="A176" s="131" t="s">
        <v>1443</v>
      </c>
      <c r="B176" s="53">
        <v>41773</v>
      </c>
      <c r="C176" s="52">
        <v>51</v>
      </c>
      <c r="D176" s="72" t="str">
        <f>IF(DATEDIF($B176,'Inst summary and ER calculation'!$T$6,"y")=1,"1-2 years","2-3 years")</f>
        <v>2-3 years</v>
      </c>
      <c r="E176" s="69">
        <f t="shared" si="13"/>
        <v>0.99726775956284153</v>
      </c>
      <c r="F176" s="69">
        <f>$C176*E176*_xlfn.XLOOKUP($D176,'Sample Size cal and results'!$B$23:$B$24,'Sample Size cal and results'!$D$23:$D$24)</f>
        <v>51.793426594251805</v>
      </c>
      <c r="G176" s="72" t="str">
        <f>IF(DATEDIF($B176,'Inst summary and ER calculation'!$U$6,"y")=2,"2-3 years","3-4 years")</f>
        <v>3-4 years</v>
      </c>
      <c r="H176" s="69">
        <f t="shared" si="14"/>
        <v>1</v>
      </c>
      <c r="I176" s="142">
        <f>$C176*H176*_xlfn.XLOOKUP($G176,'Sample Size cal and results'!$B$25:$B$26,'Sample Size cal and results'!$D$25:$D$26)</f>
        <v>50.752011506042976</v>
      </c>
    </row>
    <row r="177" spans="1:9" ht="13">
      <c r="A177" s="131" t="s">
        <v>1443</v>
      </c>
      <c r="B177" s="53">
        <v>41774</v>
      </c>
      <c r="C177" s="52">
        <v>152</v>
      </c>
      <c r="D177" s="72" t="str">
        <f>IF(DATEDIF($B177,'Inst summary and ER calculation'!$T$6,"y")=1,"1-2 years","2-3 years")</f>
        <v>2-3 years</v>
      </c>
      <c r="E177" s="69">
        <f t="shared" si="13"/>
        <v>0.99726775956284153</v>
      </c>
      <c r="F177" s="69">
        <f>$C177*E177*_xlfn.XLOOKUP($D177,'Sample Size cal and results'!$B$23:$B$24,'Sample Size cal and results'!$D$23:$D$24)</f>
        <v>154.36472239855439</v>
      </c>
      <c r="G177" s="72" t="str">
        <f>IF(DATEDIF($B177,'Inst summary and ER calculation'!$U$6,"y")=2,"2-3 years","3-4 years")</f>
        <v>3-4 years</v>
      </c>
      <c r="H177" s="69">
        <f t="shared" si="14"/>
        <v>1</v>
      </c>
      <c r="I177" s="142">
        <f>$C177*H177*_xlfn.XLOOKUP($G177,'Sample Size cal and results'!$B$25:$B$26,'Sample Size cal and results'!$D$25:$D$26)</f>
        <v>151.26089703761826</v>
      </c>
    </row>
    <row r="178" spans="1:9" ht="13">
      <c r="A178" s="131" t="s">
        <v>1443</v>
      </c>
      <c r="B178" s="53">
        <v>41775</v>
      </c>
      <c r="C178" s="52">
        <v>109</v>
      </c>
      <c r="D178" s="72" t="str">
        <f>IF(DATEDIF($B178,'Inst summary and ER calculation'!$T$6,"y")=1,"1-2 years","2-3 years")</f>
        <v>2-3 years</v>
      </c>
      <c r="E178" s="69">
        <f t="shared" si="13"/>
        <v>0.99726775956284153</v>
      </c>
      <c r="F178" s="69">
        <f>$C178*E178*_xlfn.XLOOKUP($D178,'Sample Size cal and results'!$B$23:$B$24,'Sample Size cal and results'!$D$23:$D$24)</f>
        <v>110.69575487791073</v>
      </c>
      <c r="G178" s="72" t="str">
        <f>IF(DATEDIF($B178,'Inst summary and ER calculation'!$U$6,"y")=2,"2-3 years","3-4 years")</f>
        <v>3-4 years</v>
      </c>
      <c r="H178" s="69">
        <f t="shared" si="14"/>
        <v>1</v>
      </c>
      <c r="I178" s="142">
        <f>$C178*H178*_xlfn.XLOOKUP($G178,'Sample Size cal and results'!$B$25:$B$26,'Sample Size cal and results'!$D$25:$D$26)</f>
        <v>108.46998537566047</v>
      </c>
    </row>
    <row r="179" spans="1:9" ht="13">
      <c r="A179" s="131" t="s">
        <v>1443</v>
      </c>
      <c r="B179" s="53">
        <v>41776</v>
      </c>
      <c r="C179" s="52">
        <v>120</v>
      </c>
      <c r="D179" s="72" t="str">
        <f>IF(DATEDIF($B179,'Inst summary and ER calculation'!$T$6,"y")=1,"1-2 years","2-3 years")</f>
        <v>2-3 years</v>
      </c>
      <c r="E179" s="69">
        <f t="shared" si="13"/>
        <v>0.99726775956284153</v>
      </c>
      <c r="F179" s="69">
        <f>$C179*E179*_xlfn.XLOOKUP($D179,'Sample Size cal and results'!$B$23:$B$24,'Sample Size cal and results'!$D$23:$D$24)</f>
        <v>121.8668861041219</v>
      </c>
      <c r="G179" s="72" t="str">
        <f>IF(DATEDIF($B179,'Inst summary and ER calculation'!$U$6,"y")=2,"2-3 years","3-4 years")</f>
        <v>3-4 years</v>
      </c>
      <c r="H179" s="69">
        <f t="shared" si="14"/>
        <v>1</v>
      </c>
      <c r="I179" s="142">
        <f>$C179*H179*_xlfn.XLOOKUP($G179,'Sample Size cal and results'!$B$25:$B$26,'Sample Size cal and results'!$D$25:$D$26)</f>
        <v>119.41649766127759</v>
      </c>
    </row>
    <row r="180" spans="1:9" ht="13">
      <c r="A180" s="131" t="s">
        <v>1443</v>
      </c>
      <c r="B180" s="53">
        <v>41777</v>
      </c>
      <c r="C180" s="52">
        <v>115</v>
      </c>
      <c r="D180" s="72" t="str">
        <f>IF(DATEDIF($B180,'Inst summary and ER calculation'!$T$6,"y")=1,"1-2 years","2-3 years")</f>
        <v>2-3 years</v>
      </c>
      <c r="E180" s="69">
        <f t="shared" si="13"/>
        <v>0.99726775956284153</v>
      </c>
      <c r="F180" s="69">
        <f>$C180*E180*_xlfn.XLOOKUP($D180,'Sample Size cal and results'!$B$23:$B$24,'Sample Size cal and results'!$D$23:$D$24)</f>
        <v>116.78909918311683</v>
      </c>
      <c r="G180" s="72" t="str">
        <f>IF(DATEDIF($B180,'Inst summary and ER calculation'!$U$6,"y")=2,"2-3 years","3-4 years")</f>
        <v>3-4 years</v>
      </c>
      <c r="H180" s="69">
        <f t="shared" si="14"/>
        <v>1</v>
      </c>
      <c r="I180" s="142">
        <f>$C180*H180*_xlfn.XLOOKUP($G180,'Sample Size cal and results'!$B$25:$B$26,'Sample Size cal and results'!$D$25:$D$26)</f>
        <v>114.44081025872435</v>
      </c>
    </row>
    <row r="181" spans="1:9" ht="13">
      <c r="A181" s="131" t="s">
        <v>1443</v>
      </c>
      <c r="B181" s="53">
        <v>41778</v>
      </c>
      <c r="C181" s="52">
        <v>102</v>
      </c>
      <c r="D181" s="72" t="str">
        <f>IF(DATEDIF($B181,'Inst summary and ER calculation'!$T$6,"y")=1,"1-2 years","2-3 years")</f>
        <v>2-3 years</v>
      </c>
      <c r="E181" s="69">
        <f t="shared" si="13"/>
        <v>0.99726775956284153</v>
      </c>
      <c r="F181" s="69">
        <f>$C181*E181*_xlfn.XLOOKUP($D181,'Sample Size cal and results'!$B$23:$B$24,'Sample Size cal and results'!$D$23:$D$24)</f>
        <v>103.58685318850361</v>
      </c>
      <c r="G181" s="72" t="str">
        <f>IF(DATEDIF($B181,'Inst summary and ER calculation'!$U$6,"y")=2,"2-3 years","3-4 years")</f>
        <v>3-4 years</v>
      </c>
      <c r="H181" s="69">
        <f t="shared" si="14"/>
        <v>1</v>
      </c>
      <c r="I181" s="142">
        <f>$C181*H181*_xlfn.XLOOKUP($G181,'Sample Size cal and results'!$B$25:$B$26,'Sample Size cal and results'!$D$25:$D$26)</f>
        <v>101.50402301208595</v>
      </c>
    </row>
    <row r="182" spans="1:9" ht="13">
      <c r="A182" s="131" t="s">
        <v>1443</v>
      </c>
      <c r="B182" s="53">
        <v>41779</v>
      </c>
      <c r="C182" s="52">
        <v>109</v>
      </c>
      <c r="D182" s="72" t="str">
        <f>IF(DATEDIF($B182,'Inst summary and ER calculation'!$T$6,"y")=1,"1-2 years","2-3 years")</f>
        <v>2-3 years</v>
      </c>
      <c r="E182" s="69">
        <f t="shared" si="13"/>
        <v>0.99726775956284153</v>
      </c>
      <c r="F182" s="69">
        <f>$C182*E182*_xlfn.XLOOKUP($D182,'Sample Size cal and results'!$B$23:$B$24,'Sample Size cal and results'!$D$23:$D$24)</f>
        <v>110.69575487791073</v>
      </c>
      <c r="G182" s="72" t="str">
        <f>IF(DATEDIF($B182,'Inst summary and ER calculation'!$U$6,"y")=2,"2-3 years","3-4 years")</f>
        <v>3-4 years</v>
      </c>
      <c r="H182" s="69">
        <f t="shared" si="14"/>
        <v>1</v>
      </c>
      <c r="I182" s="142">
        <f>$C182*H182*_xlfn.XLOOKUP($G182,'Sample Size cal and results'!$B$25:$B$26,'Sample Size cal and results'!$D$25:$D$26)</f>
        <v>108.46998537566047</v>
      </c>
    </row>
    <row r="183" spans="1:9" ht="13">
      <c r="A183" s="131" t="s">
        <v>1443</v>
      </c>
      <c r="B183" s="53">
        <v>41780</v>
      </c>
      <c r="C183" s="52">
        <v>86</v>
      </c>
      <c r="D183" s="72" t="str">
        <f>IF(DATEDIF($B183,'Inst summary and ER calculation'!$T$6,"y")=1,"1-2 years","2-3 years")</f>
        <v>2-3 years</v>
      </c>
      <c r="E183" s="69">
        <f t="shared" si="13"/>
        <v>0.99726775956284153</v>
      </c>
      <c r="F183" s="69">
        <f>$C183*E183*_xlfn.XLOOKUP($D183,'Sample Size cal and results'!$B$23:$B$24,'Sample Size cal and results'!$D$23:$D$24)</f>
        <v>87.337935041287352</v>
      </c>
      <c r="G183" s="72" t="str">
        <f>IF(DATEDIF($B183,'Inst summary and ER calculation'!$U$6,"y")=2,"2-3 years","3-4 years")</f>
        <v>3-4 years</v>
      </c>
      <c r="H183" s="69">
        <f t="shared" si="14"/>
        <v>1</v>
      </c>
      <c r="I183" s="142">
        <f>$C183*H183*_xlfn.XLOOKUP($G183,'Sample Size cal and results'!$B$25:$B$26,'Sample Size cal and results'!$D$25:$D$26)</f>
        <v>85.5818233239156</v>
      </c>
    </row>
    <row r="184" spans="1:9" ht="13">
      <c r="A184" s="131" t="s">
        <v>1443</v>
      </c>
      <c r="B184" s="53">
        <v>41781</v>
      </c>
      <c r="C184" s="52">
        <v>102</v>
      </c>
      <c r="D184" s="72" t="str">
        <f>IF(DATEDIF($B184,'Inst summary and ER calculation'!$T$6,"y")=1,"1-2 years","2-3 years")</f>
        <v>2-3 years</v>
      </c>
      <c r="E184" s="69">
        <f t="shared" si="13"/>
        <v>0.99726775956284153</v>
      </c>
      <c r="F184" s="69">
        <f>$C184*E184*_xlfn.XLOOKUP($D184,'Sample Size cal and results'!$B$23:$B$24,'Sample Size cal and results'!$D$23:$D$24)</f>
        <v>103.58685318850361</v>
      </c>
      <c r="G184" s="72" t="str">
        <f>IF(DATEDIF($B184,'Inst summary and ER calculation'!$U$6,"y")=2,"2-3 years","3-4 years")</f>
        <v>3-4 years</v>
      </c>
      <c r="H184" s="69">
        <f t="shared" si="14"/>
        <v>1</v>
      </c>
      <c r="I184" s="142">
        <f>$C184*H184*_xlfn.XLOOKUP($G184,'Sample Size cal and results'!$B$25:$B$26,'Sample Size cal and results'!$D$25:$D$26)</f>
        <v>101.50402301208595</v>
      </c>
    </row>
    <row r="185" spans="1:9" ht="13">
      <c r="A185" s="131" t="s">
        <v>1443</v>
      </c>
      <c r="B185" s="53">
        <v>41782</v>
      </c>
      <c r="C185" s="52">
        <v>77</v>
      </c>
      <c r="D185" s="72" t="str">
        <f>IF(DATEDIF($B185,'Inst summary and ER calculation'!$T$6,"y")=1,"1-2 years","2-3 years")</f>
        <v>2-3 years</v>
      </c>
      <c r="E185" s="69">
        <f t="shared" si="13"/>
        <v>0.99726775956284153</v>
      </c>
      <c r="F185" s="69">
        <f>$C185*E185*_xlfn.XLOOKUP($D185,'Sample Size cal and results'!$B$23:$B$24,'Sample Size cal and results'!$D$23:$D$24)</f>
        <v>78.197918583478227</v>
      </c>
      <c r="G185" s="72" t="str">
        <f>IF(DATEDIF($B185,'Inst summary and ER calculation'!$U$6,"y")=2,"2-3 years","3-4 years")</f>
        <v>3-4 years</v>
      </c>
      <c r="H185" s="69">
        <f t="shared" si="14"/>
        <v>1</v>
      </c>
      <c r="I185" s="142">
        <f>$C185*H185*_xlfn.XLOOKUP($G185,'Sample Size cal and results'!$B$25:$B$26,'Sample Size cal and results'!$D$25:$D$26)</f>
        <v>76.625585999319782</v>
      </c>
    </row>
    <row r="186" spans="1:9" ht="13">
      <c r="A186" s="131" t="s">
        <v>1443</v>
      </c>
      <c r="B186" s="53">
        <v>41783</v>
      </c>
      <c r="C186" s="52">
        <v>82</v>
      </c>
      <c r="D186" s="72" t="str">
        <f>IF(DATEDIF($B186,'Inst summary and ER calculation'!$T$6,"y")=1,"1-2 years","2-3 years")</f>
        <v>2-3 years</v>
      </c>
      <c r="E186" s="69">
        <f t="shared" si="13"/>
        <v>0.99726775956284153</v>
      </c>
      <c r="F186" s="69">
        <f>$C186*E186*_xlfn.XLOOKUP($D186,'Sample Size cal and results'!$B$23:$B$24,'Sample Size cal and results'!$D$23:$D$24)</f>
        <v>83.275705504483312</v>
      </c>
      <c r="G186" s="72" t="str">
        <f>IF(DATEDIF($B186,'Inst summary and ER calculation'!$U$6,"y")=2,"2-3 years","3-4 years")</f>
        <v>3-4 years</v>
      </c>
      <c r="H186" s="69">
        <f t="shared" si="14"/>
        <v>1</v>
      </c>
      <c r="I186" s="142">
        <f>$C186*H186*_xlfn.XLOOKUP($G186,'Sample Size cal and results'!$B$25:$B$26,'Sample Size cal and results'!$D$25:$D$26)</f>
        <v>81.601273401873016</v>
      </c>
    </row>
    <row r="187" spans="1:9" ht="13">
      <c r="A187" s="131" t="s">
        <v>1443</v>
      </c>
      <c r="B187" s="53">
        <v>41784</v>
      </c>
      <c r="C187" s="52">
        <v>87</v>
      </c>
      <c r="D187" s="72" t="str">
        <f>IF(DATEDIF($B187,'Inst summary and ER calculation'!$T$6,"y")=1,"1-2 years","2-3 years")</f>
        <v>2-3 years</v>
      </c>
      <c r="E187" s="69">
        <f t="shared" si="13"/>
        <v>0.99726775956284153</v>
      </c>
      <c r="F187" s="69">
        <f>$C187*E187*_xlfn.XLOOKUP($D187,'Sample Size cal and results'!$B$23:$B$24,'Sample Size cal and results'!$D$23:$D$24)</f>
        <v>88.353492425488383</v>
      </c>
      <c r="G187" s="72" t="str">
        <f>IF(DATEDIF($B187,'Inst summary and ER calculation'!$U$6,"y")=2,"2-3 years","3-4 years")</f>
        <v>3-4 years</v>
      </c>
      <c r="H187" s="69">
        <f t="shared" si="14"/>
        <v>1</v>
      </c>
      <c r="I187" s="142">
        <f>$C187*H187*_xlfn.XLOOKUP($G187,'Sample Size cal and results'!$B$25:$B$26,'Sample Size cal and results'!$D$25:$D$26)</f>
        <v>86.57696080442625</v>
      </c>
    </row>
    <row r="188" spans="1:9" ht="13">
      <c r="A188" s="131" t="s">
        <v>1443</v>
      </c>
      <c r="B188" s="53">
        <v>41785</v>
      </c>
      <c r="C188" s="52">
        <v>58</v>
      </c>
      <c r="D188" s="72" t="str">
        <f>IF(DATEDIF($B188,'Inst summary and ER calculation'!$T$6,"y")=1,"1-2 years","2-3 years")</f>
        <v>2-3 years</v>
      </c>
      <c r="E188" s="69">
        <f t="shared" si="13"/>
        <v>0.99726775956284153</v>
      </c>
      <c r="F188" s="69">
        <f>$C188*E188*_xlfn.XLOOKUP($D188,'Sample Size cal and results'!$B$23:$B$24,'Sample Size cal and results'!$D$23:$D$24)</f>
        <v>58.902328283658917</v>
      </c>
      <c r="G188" s="72" t="str">
        <f>IF(DATEDIF($B188,'Inst summary and ER calculation'!$U$6,"y")=2,"2-3 years","3-4 years")</f>
        <v>3-4 years</v>
      </c>
      <c r="H188" s="69">
        <f t="shared" si="14"/>
        <v>1</v>
      </c>
      <c r="I188" s="142">
        <f>$C188*H188*_xlfn.XLOOKUP($G188,'Sample Size cal and results'!$B$25:$B$26,'Sample Size cal and results'!$D$25:$D$26)</f>
        <v>57.717973869617502</v>
      </c>
    </row>
    <row r="189" spans="1:9" ht="13">
      <c r="A189" s="131" t="s">
        <v>1443</v>
      </c>
      <c r="B189" s="53">
        <v>41786</v>
      </c>
      <c r="C189" s="52">
        <v>60</v>
      </c>
      <c r="D189" s="72" t="str">
        <f>IF(DATEDIF($B189,'Inst summary and ER calculation'!$T$6,"y")=1,"1-2 years","2-3 years")</f>
        <v>2-3 years</v>
      </c>
      <c r="E189" s="69">
        <f t="shared" si="13"/>
        <v>0.99726775956284153</v>
      </c>
      <c r="F189" s="69">
        <f>$C189*E189*_xlfn.XLOOKUP($D189,'Sample Size cal and results'!$B$23:$B$24,'Sample Size cal and results'!$D$23:$D$24)</f>
        <v>60.933443052060952</v>
      </c>
      <c r="G189" s="72" t="str">
        <f>IF(DATEDIF($B189,'Inst summary and ER calculation'!$U$6,"y")=2,"2-3 years","3-4 years")</f>
        <v>3-4 years</v>
      </c>
      <c r="H189" s="69">
        <f t="shared" si="14"/>
        <v>1</v>
      </c>
      <c r="I189" s="142">
        <f>$C189*H189*_xlfn.XLOOKUP($G189,'Sample Size cal and results'!$B$25:$B$26,'Sample Size cal and results'!$D$25:$D$26)</f>
        <v>59.708248830638794</v>
      </c>
    </row>
    <row r="190" spans="1:9" ht="13">
      <c r="A190" s="131" t="s">
        <v>1443</v>
      </c>
      <c r="B190" s="53">
        <v>41787</v>
      </c>
      <c r="C190" s="52">
        <v>69</v>
      </c>
      <c r="D190" s="72" t="str">
        <f>IF(DATEDIF($B190,'Inst summary and ER calculation'!$T$6,"y")=1,"1-2 years","2-3 years")</f>
        <v>2-3 years</v>
      </c>
      <c r="E190" s="69">
        <f t="shared" si="13"/>
        <v>0.99726775956284153</v>
      </c>
      <c r="F190" s="69">
        <f>$C190*E190*_xlfn.XLOOKUP($D190,'Sample Size cal and results'!$B$23:$B$24,'Sample Size cal and results'!$D$23:$D$24)</f>
        <v>70.073459509870091</v>
      </c>
      <c r="G190" s="72" t="str">
        <f>IF(DATEDIF($B190,'Inst summary and ER calculation'!$U$6,"y")=2,"2-3 years","3-4 years")</f>
        <v>3-4 years</v>
      </c>
      <c r="H190" s="69">
        <f t="shared" si="14"/>
        <v>1</v>
      </c>
      <c r="I190" s="142">
        <f>$C190*H190*_xlfn.XLOOKUP($G190,'Sample Size cal and results'!$B$25:$B$26,'Sample Size cal and results'!$D$25:$D$26)</f>
        <v>68.664486155234613</v>
      </c>
    </row>
    <row r="191" spans="1:9" ht="13">
      <c r="A191" s="131" t="s">
        <v>1443</v>
      </c>
      <c r="B191" s="53">
        <v>41788</v>
      </c>
      <c r="C191" s="52">
        <v>64</v>
      </c>
      <c r="D191" s="72" t="str">
        <f>IF(DATEDIF($B191,'Inst summary and ER calculation'!$T$6,"y")=1,"1-2 years","2-3 years")</f>
        <v>2-3 years</v>
      </c>
      <c r="E191" s="69">
        <f t="shared" si="13"/>
        <v>0.99726775956284153</v>
      </c>
      <c r="F191" s="69">
        <f>$C191*E191*_xlfn.XLOOKUP($D191,'Sample Size cal and results'!$B$23:$B$24,'Sample Size cal and results'!$D$23:$D$24)</f>
        <v>64.99567258886502</v>
      </c>
      <c r="G191" s="72" t="str">
        <f>IF(DATEDIF($B191,'Inst summary and ER calculation'!$U$6,"y")=2,"2-3 years","3-4 years")</f>
        <v>3-4 years</v>
      </c>
      <c r="H191" s="69">
        <f t="shared" si="14"/>
        <v>1</v>
      </c>
      <c r="I191" s="142">
        <f>$C191*H191*_xlfn.XLOOKUP($G191,'Sample Size cal and results'!$B$25:$B$26,'Sample Size cal and results'!$D$25:$D$26)</f>
        <v>63.688798752681379</v>
      </c>
    </row>
    <row r="192" spans="1:9" ht="13">
      <c r="A192" s="131" t="s">
        <v>1443</v>
      </c>
      <c r="B192" s="53">
        <v>41789</v>
      </c>
      <c r="C192" s="52">
        <v>60</v>
      </c>
      <c r="D192" s="72" t="str">
        <f>IF(DATEDIF($B192,'Inst summary and ER calculation'!$T$6,"y")=1,"1-2 years","2-3 years")</f>
        <v>2-3 years</v>
      </c>
      <c r="E192" s="69">
        <f t="shared" si="13"/>
        <v>0.99726775956284153</v>
      </c>
      <c r="F192" s="69">
        <f>$C192*E192*_xlfn.XLOOKUP($D192,'Sample Size cal and results'!$B$23:$B$24,'Sample Size cal and results'!$D$23:$D$24)</f>
        <v>60.933443052060952</v>
      </c>
      <c r="G192" s="72" t="str">
        <f>IF(DATEDIF($B192,'Inst summary and ER calculation'!$U$6,"y")=2,"2-3 years","3-4 years")</f>
        <v>3-4 years</v>
      </c>
      <c r="H192" s="69">
        <f t="shared" si="14"/>
        <v>1</v>
      </c>
      <c r="I192" s="142">
        <f>$C192*H192*_xlfn.XLOOKUP($G192,'Sample Size cal and results'!$B$25:$B$26,'Sample Size cal and results'!$D$25:$D$26)</f>
        <v>59.708248830638794</v>
      </c>
    </row>
    <row r="193" spans="1:9" ht="13">
      <c r="A193" s="131" t="s">
        <v>1443</v>
      </c>
      <c r="B193" s="53">
        <v>41790</v>
      </c>
      <c r="C193" s="52">
        <v>29</v>
      </c>
      <c r="D193" s="72" t="str">
        <f>IF(DATEDIF($B193,'Inst summary and ER calculation'!$T$6,"y")=1,"1-2 years","2-3 years")</f>
        <v>2-3 years</v>
      </c>
      <c r="E193" s="69">
        <f t="shared" si="13"/>
        <v>0.99726775956284153</v>
      </c>
      <c r="F193" s="69">
        <f>$C193*E193*_xlfn.XLOOKUP($D193,'Sample Size cal and results'!$B$23:$B$24,'Sample Size cal and results'!$D$23:$D$24)</f>
        <v>29.451164141829459</v>
      </c>
      <c r="G193" s="72" t="str">
        <f>IF(DATEDIF($B193,'Inst summary and ER calculation'!$U$6,"y")=2,"2-3 years","3-4 years")</f>
        <v>3-4 years</v>
      </c>
      <c r="H193" s="69">
        <f t="shared" si="14"/>
        <v>1</v>
      </c>
      <c r="I193" s="142">
        <f>$C193*H193*_xlfn.XLOOKUP($G193,'Sample Size cal and results'!$B$25:$B$26,'Sample Size cal and results'!$D$25:$D$26)</f>
        <v>28.858986934808751</v>
      </c>
    </row>
    <row r="194" spans="1:9" ht="13">
      <c r="A194" s="131" t="s">
        <v>1443</v>
      </c>
      <c r="B194" s="53">
        <v>41791</v>
      </c>
      <c r="C194" s="52">
        <v>39</v>
      </c>
      <c r="D194" s="72" t="str">
        <f>IF(DATEDIF($B194,'Inst summary and ER calculation'!$T$6,"y")=1,"1-2 years","2-3 years")</f>
        <v>2-3 years</v>
      </c>
      <c r="E194" s="69">
        <f t="shared" ref="E194:E257" si="15">MAX(MIN($T$6)-MAX($T$4,$B194,_xlfn.XLOOKUP($A194,$W$1:$W$36,$X$1:$X$36))+1,0)/366</f>
        <v>0.99726775956284153</v>
      </c>
      <c r="F194" s="69">
        <f>$C194*E194*_xlfn.XLOOKUP($D194,'Sample Size cal and results'!$B$23:$B$24,'Sample Size cal and results'!$D$23:$D$24)</f>
        <v>39.606737983839622</v>
      </c>
      <c r="G194" s="72" t="str">
        <f>IF(DATEDIF($B194,'Inst summary and ER calculation'!$U$6,"y")=2,"2-3 years","3-4 years")</f>
        <v>3-4 years</v>
      </c>
      <c r="H194" s="69">
        <f t="shared" ref="H194:H257" si="16">MAX(MIN($U$6)-MAX($U$4,$B194,_xlfn.XLOOKUP($A194,$W$1:$W$36,$X$1:$X$36))+1,0)/365</f>
        <v>1</v>
      </c>
      <c r="I194" s="142">
        <f>$C194*H194*_xlfn.XLOOKUP($G194,'Sample Size cal and results'!$B$25:$B$26,'Sample Size cal and results'!$D$25:$D$26)</f>
        <v>38.810361739915216</v>
      </c>
    </row>
    <row r="195" spans="1:9" ht="13">
      <c r="A195" s="131" t="s">
        <v>1443</v>
      </c>
      <c r="B195" s="53">
        <v>41792</v>
      </c>
      <c r="C195" s="52">
        <v>53</v>
      </c>
      <c r="D195" s="72" t="str">
        <f>IF(DATEDIF($B195,'Inst summary and ER calculation'!$T$6,"y")=1,"1-2 years","2-3 years")</f>
        <v>2-3 years</v>
      </c>
      <c r="E195" s="69">
        <f t="shared" si="15"/>
        <v>0.99726775956284153</v>
      </c>
      <c r="F195" s="69">
        <f>$C195*E195*_xlfn.XLOOKUP($D195,'Sample Size cal and results'!$B$23:$B$24,'Sample Size cal and results'!$D$23:$D$24)</f>
        <v>53.824541362653839</v>
      </c>
      <c r="G195" s="72" t="str">
        <f>IF(DATEDIF($B195,'Inst summary and ER calculation'!$U$6,"y")=2,"2-3 years","3-4 years")</f>
        <v>3-4 years</v>
      </c>
      <c r="H195" s="69">
        <f t="shared" si="16"/>
        <v>1</v>
      </c>
      <c r="I195" s="142">
        <f>$C195*H195*_xlfn.XLOOKUP($G195,'Sample Size cal and results'!$B$25:$B$26,'Sample Size cal and results'!$D$25:$D$26)</f>
        <v>52.742286467064268</v>
      </c>
    </row>
    <row r="196" spans="1:9" ht="13">
      <c r="A196" s="131" t="s">
        <v>1443</v>
      </c>
      <c r="B196" s="53">
        <v>41793</v>
      </c>
      <c r="C196" s="52">
        <v>50</v>
      </c>
      <c r="D196" s="72" t="str">
        <f>IF(DATEDIF($B196,'Inst summary and ER calculation'!$T$6,"y")=1,"1-2 years","2-3 years")</f>
        <v>2-3 years</v>
      </c>
      <c r="E196" s="69">
        <f t="shared" si="15"/>
        <v>0.99726775956284153</v>
      </c>
      <c r="F196" s="69">
        <f>$C196*E196*_xlfn.XLOOKUP($D196,'Sample Size cal and results'!$B$23:$B$24,'Sample Size cal and results'!$D$23:$D$24)</f>
        <v>50.777869210050795</v>
      </c>
      <c r="G196" s="72" t="str">
        <f>IF(DATEDIF($B196,'Inst summary and ER calculation'!$U$6,"y")=2,"2-3 years","3-4 years")</f>
        <v>3-4 years</v>
      </c>
      <c r="H196" s="69">
        <f t="shared" si="16"/>
        <v>1</v>
      </c>
      <c r="I196" s="142">
        <f>$C196*H196*_xlfn.XLOOKUP($G196,'Sample Size cal and results'!$B$25:$B$26,'Sample Size cal and results'!$D$25:$D$26)</f>
        <v>49.756874025532326</v>
      </c>
    </row>
    <row r="197" spans="1:9" ht="13">
      <c r="A197" s="131" t="s">
        <v>1443</v>
      </c>
      <c r="B197" s="53">
        <v>41794</v>
      </c>
      <c r="C197" s="52">
        <v>46</v>
      </c>
      <c r="D197" s="72" t="str">
        <f>IF(DATEDIF($B197,'Inst summary and ER calculation'!$T$6,"y")=1,"1-2 years","2-3 years")</f>
        <v>2-3 years</v>
      </c>
      <c r="E197" s="69">
        <f t="shared" si="15"/>
        <v>0.99726775956284153</v>
      </c>
      <c r="F197" s="69">
        <f>$C197*E197*_xlfn.XLOOKUP($D197,'Sample Size cal and results'!$B$23:$B$24,'Sample Size cal and results'!$D$23:$D$24)</f>
        <v>46.715639673246734</v>
      </c>
      <c r="G197" s="72" t="str">
        <f>IF(DATEDIF($B197,'Inst summary and ER calculation'!$U$6,"y")=2,"2-3 years","3-4 years")</f>
        <v>3-4 years</v>
      </c>
      <c r="H197" s="69">
        <f t="shared" si="16"/>
        <v>1</v>
      </c>
      <c r="I197" s="142">
        <f>$C197*H197*_xlfn.XLOOKUP($G197,'Sample Size cal and results'!$B$25:$B$26,'Sample Size cal and results'!$D$25:$D$26)</f>
        <v>45.776324103489742</v>
      </c>
    </row>
    <row r="198" spans="1:9" ht="13">
      <c r="A198" s="131" t="s">
        <v>1443</v>
      </c>
      <c r="B198" s="53">
        <v>41795</v>
      </c>
      <c r="C198" s="52">
        <v>67</v>
      </c>
      <c r="D198" s="72" t="str">
        <f>IF(DATEDIF($B198,'Inst summary and ER calculation'!$T$6,"y")=1,"1-2 years","2-3 years")</f>
        <v>2-3 years</v>
      </c>
      <c r="E198" s="69">
        <f t="shared" si="15"/>
        <v>0.99726775956284153</v>
      </c>
      <c r="F198" s="69">
        <f>$C198*E198*_xlfn.XLOOKUP($D198,'Sample Size cal and results'!$B$23:$B$24,'Sample Size cal and results'!$D$23:$D$24)</f>
        <v>68.042344741468071</v>
      </c>
      <c r="G198" s="72" t="str">
        <f>IF(DATEDIF($B198,'Inst summary and ER calculation'!$U$6,"y")=2,"2-3 years","3-4 years")</f>
        <v>3-4 years</v>
      </c>
      <c r="H198" s="69">
        <f t="shared" si="16"/>
        <v>1</v>
      </c>
      <c r="I198" s="142">
        <f>$C198*H198*_xlfn.XLOOKUP($G198,'Sample Size cal and results'!$B$25:$B$26,'Sample Size cal and results'!$D$25:$D$26)</f>
        <v>66.674211194213314</v>
      </c>
    </row>
    <row r="199" spans="1:9" ht="13">
      <c r="A199" s="131" t="s">
        <v>1443</v>
      </c>
      <c r="B199" s="53">
        <v>41796</v>
      </c>
      <c r="C199" s="52">
        <v>49</v>
      </c>
      <c r="D199" s="72" t="str">
        <f>IF(DATEDIF($B199,'Inst summary and ER calculation'!$T$6,"y")=1,"1-2 years","2-3 years")</f>
        <v>2-3 years</v>
      </c>
      <c r="E199" s="69">
        <f t="shared" si="15"/>
        <v>0.99726775956284153</v>
      </c>
      <c r="F199" s="69">
        <f>$C199*E199*_xlfn.XLOOKUP($D199,'Sample Size cal and results'!$B$23:$B$24,'Sample Size cal and results'!$D$23:$D$24)</f>
        <v>49.762311825849778</v>
      </c>
      <c r="G199" s="72" t="str">
        <f>IF(DATEDIF($B199,'Inst summary and ER calculation'!$U$6,"y")=2,"2-3 years","3-4 years")</f>
        <v>3-4 years</v>
      </c>
      <c r="H199" s="69">
        <f t="shared" si="16"/>
        <v>1</v>
      </c>
      <c r="I199" s="142">
        <f>$C199*H199*_xlfn.XLOOKUP($G199,'Sample Size cal and results'!$B$25:$B$26,'Sample Size cal and results'!$D$25:$D$26)</f>
        <v>48.761736545021684</v>
      </c>
    </row>
    <row r="200" spans="1:9" ht="13">
      <c r="A200" s="131" t="s">
        <v>1443</v>
      </c>
      <c r="B200" s="53">
        <v>41797</v>
      </c>
      <c r="C200" s="52">
        <v>47</v>
      </c>
      <c r="D200" s="72" t="str">
        <f>IF(DATEDIF($B200,'Inst summary and ER calculation'!$T$6,"y")=1,"1-2 years","2-3 years")</f>
        <v>2-3 years</v>
      </c>
      <c r="E200" s="69">
        <f t="shared" si="15"/>
        <v>0.99726775956284153</v>
      </c>
      <c r="F200" s="69">
        <f>$C200*E200*_xlfn.XLOOKUP($D200,'Sample Size cal and results'!$B$23:$B$24,'Sample Size cal and results'!$D$23:$D$24)</f>
        <v>47.731197057447744</v>
      </c>
      <c r="G200" s="72" t="str">
        <f>IF(DATEDIF($B200,'Inst summary and ER calculation'!$U$6,"y")=2,"2-3 years","3-4 years")</f>
        <v>3-4 years</v>
      </c>
      <c r="H200" s="69">
        <f t="shared" si="16"/>
        <v>1</v>
      </c>
      <c r="I200" s="142">
        <f>$C200*H200*_xlfn.XLOOKUP($G200,'Sample Size cal and results'!$B$25:$B$26,'Sample Size cal and results'!$D$25:$D$26)</f>
        <v>46.771461584000384</v>
      </c>
    </row>
    <row r="201" spans="1:9" ht="13">
      <c r="A201" s="131" t="s">
        <v>1443</v>
      </c>
      <c r="B201" s="53">
        <v>41798</v>
      </c>
      <c r="C201" s="52">
        <v>62</v>
      </c>
      <c r="D201" s="72" t="str">
        <f>IF(DATEDIF($B201,'Inst summary and ER calculation'!$T$6,"y")=1,"1-2 years","2-3 years")</f>
        <v>2-3 years</v>
      </c>
      <c r="E201" s="69">
        <f t="shared" si="15"/>
        <v>0.99726775956284153</v>
      </c>
      <c r="F201" s="69">
        <f>$C201*E201*_xlfn.XLOOKUP($D201,'Sample Size cal and results'!$B$23:$B$24,'Sample Size cal and results'!$D$23:$D$24)</f>
        <v>62.964557820462986</v>
      </c>
      <c r="G201" s="72" t="str">
        <f>IF(DATEDIF($B201,'Inst summary and ER calculation'!$U$6,"y")=2,"2-3 years","3-4 years")</f>
        <v>3-4 years</v>
      </c>
      <c r="H201" s="69">
        <f t="shared" si="16"/>
        <v>1</v>
      </c>
      <c r="I201" s="142">
        <f>$C201*H201*_xlfn.XLOOKUP($G201,'Sample Size cal and results'!$B$25:$B$26,'Sample Size cal and results'!$D$25:$D$26)</f>
        <v>61.698523791660087</v>
      </c>
    </row>
    <row r="202" spans="1:9" ht="13">
      <c r="A202" s="131" t="s">
        <v>1443</v>
      </c>
      <c r="B202" s="53">
        <v>41799</v>
      </c>
      <c r="C202" s="52">
        <v>57</v>
      </c>
      <c r="D202" s="72" t="str">
        <f>IF(DATEDIF($B202,'Inst summary and ER calculation'!$T$6,"y")=1,"1-2 years","2-3 years")</f>
        <v>2-3 years</v>
      </c>
      <c r="E202" s="69">
        <f t="shared" si="15"/>
        <v>0.99726775956284153</v>
      </c>
      <c r="F202" s="69">
        <f>$C202*E202*_xlfn.XLOOKUP($D202,'Sample Size cal and results'!$B$23:$B$24,'Sample Size cal and results'!$D$23:$D$24)</f>
        <v>57.886770899457908</v>
      </c>
      <c r="G202" s="72" t="str">
        <f>IF(DATEDIF($B202,'Inst summary and ER calculation'!$U$6,"y")=2,"2-3 years","3-4 years")</f>
        <v>3-4 years</v>
      </c>
      <c r="H202" s="69">
        <f t="shared" si="16"/>
        <v>1</v>
      </c>
      <c r="I202" s="142">
        <f>$C202*H202*_xlfn.XLOOKUP($G202,'Sample Size cal and results'!$B$25:$B$26,'Sample Size cal and results'!$D$25:$D$26)</f>
        <v>56.722836389106853</v>
      </c>
    </row>
    <row r="203" spans="1:9" ht="13">
      <c r="A203" s="131" t="s">
        <v>1443</v>
      </c>
      <c r="B203" s="53">
        <v>41800</v>
      </c>
      <c r="C203" s="52">
        <v>65</v>
      </c>
      <c r="D203" s="72" t="str">
        <f>IF(DATEDIF($B203,'Inst summary and ER calculation'!$T$6,"y")=1,"1-2 years","2-3 years")</f>
        <v>2-3 years</v>
      </c>
      <c r="E203" s="69">
        <f t="shared" si="15"/>
        <v>0.99726775956284153</v>
      </c>
      <c r="F203" s="69">
        <f>$C203*E203*_xlfn.XLOOKUP($D203,'Sample Size cal and results'!$B$23:$B$24,'Sample Size cal and results'!$D$23:$D$24)</f>
        <v>66.011229973066023</v>
      </c>
      <c r="G203" s="72" t="str">
        <f>IF(DATEDIF($B203,'Inst summary and ER calculation'!$U$6,"y")=2,"2-3 years","3-4 years")</f>
        <v>3-4 years</v>
      </c>
      <c r="H203" s="69">
        <f t="shared" si="16"/>
        <v>1</v>
      </c>
      <c r="I203" s="142">
        <f>$C203*H203*_xlfn.XLOOKUP($G203,'Sample Size cal and results'!$B$25:$B$26,'Sample Size cal and results'!$D$25:$D$26)</f>
        <v>64.683936233192028</v>
      </c>
    </row>
    <row r="204" spans="1:9" ht="13">
      <c r="A204" s="131" t="s">
        <v>1443</v>
      </c>
      <c r="B204" s="53">
        <v>41801</v>
      </c>
      <c r="C204" s="52">
        <v>58</v>
      </c>
      <c r="D204" s="72" t="str">
        <f>IF(DATEDIF($B204,'Inst summary and ER calculation'!$T$6,"y")=1,"1-2 years","2-3 years")</f>
        <v>2-3 years</v>
      </c>
      <c r="E204" s="69">
        <f t="shared" si="15"/>
        <v>0.99726775956284153</v>
      </c>
      <c r="F204" s="69">
        <f>$C204*E204*_xlfn.XLOOKUP($D204,'Sample Size cal and results'!$B$23:$B$24,'Sample Size cal and results'!$D$23:$D$24)</f>
        <v>58.902328283658917</v>
      </c>
      <c r="G204" s="72" t="str">
        <f>IF(DATEDIF($B204,'Inst summary and ER calculation'!$U$6,"y")=2,"2-3 years","3-4 years")</f>
        <v>3-4 years</v>
      </c>
      <c r="H204" s="69">
        <f t="shared" si="16"/>
        <v>1</v>
      </c>
      <c r="I204" s="142">
        <f>$C204*H204*_xlfn.XLOOKUP($G204,'Sample Size cal and results'!$B$25:$B$26,'Sample Size cal and results'!$D$25:$D$26)</f>
        <v>57.717973869617502</v>
      </c>
    </row>
    <row r="205" spans="1:9" ht="13">
      <c r="A205" s="131" t="s">
        <v>1443</v>
      </c>
      <c r="B205" s="53">
        <v>41802</v>
      </c>
      <c r="C205" s="52">
        <v>77</v>
      </c>
      <c r="D205" s="72" t="str">
        <f>IF(DATEDIF($B205,'Inst summary and ER calculation'!$T$6,"y")=1,"1-2 years","2-3 years")</f>
        <v>2-3 years</v>
      </c>
      <c r="E205" s="69">
        <f t="shared" si="15"/>
        <v>0.99726775956284153</v>
      </c>
      <c r="F205" s="69">
        <f>$C205*E205*_xlfn.XLOOKUP($D205,'Sample Size cal and results'!$B$23:$B$24,'Sample Size cal and results'!$D$23:$D$24)</f>
        <v>78.197918583478227</v>
      </c>
      <c r="G205" s="72" t="str">
        <f>IF(DATEDIF($B205,'Inst summary and ER calculation'!$U$6,"y")=2,"2-3 years","3-4 years")</f>
        <v>3-4 years</v>
      </c>
      <c r="H205" s="69">
        <f t="shared" si="16"/>
        <v>1</v>
      </c>
      <c r="I205" s="142">
        <f>$C205*H205*_xlfn.XLOOKUP($G205,'Sample Size cal and results'!$B$25:$B$26,'Sample Size cal and results'!$D$25:$D$26)</f>
        <v>76.625585999319782</v>
      </c>
    </row>
    <row r="206" spans="1:9" ht="13">
      <c r="A206" s="131" t="s">
        <v>1443</v>
      </c>
      <c r="B206" s="53">
        <v>41803</v>
      </c>
      <c r="C206" s="52">
        <v>68</v>
      </c>
      <c r="D206" s="72" t="str">
        <f>IF(DATEDIF($B206,'Inst summary and ER calculation'!$T$6,"y")=1,"1-2 years","2-3 years")</f>
        <v>2-3 years</v>
      </c>
      <c r="E206" s="69">
        <f t="shared" si="15"/>
        <v>0.99726775956284153</v>
      </c>
      <c r="F206" s="69">
        <f>$C206*E206*_xlfn.XLOOKUP($D206,'Sample Size cal and results'!$B$23:$B$24,'Sample Size cal and results'!$D$23:$D$24)</f>
        <v>69.057902125669074</v>
      </c>
      <c r="G206" s="72" t="str">
        <f>IF(DATEDIF($B206,'Inst summary and ER calculation'!$U$6,"y")=2,"2-3 years","3-4 years")</f>
        <v>3-4 years</v>
      </c>
      <c r="H206" s="69">
        <f t="shared" si="16"/>
        <v>1</v>
      </c>
      <c r="I206" s="142">
        <f>$C206*H206*_xlfn.XLOOKUP($G206,'Sample Size cal and results'!$B$25:$B$26,'Sample Size cal and results'!$D$25:$D$26)</f>
        <v>67.669348674723963</v>
      </c>
    </row>
    <row r="207" spans="1:9" ht="13">
      <c r="A207" s="131" t="s">
        <v>1443</v>
      </c>
      <c r="B207" s="53">
        <v>41804</v>
      </c>
      <c r="C207" s="52">
        <v>78</v>
      </c>
      <c r="D207" s="72" t="str">
        <f>IF(DATEDIF($B207,'Inst summary and ER calculation'!$T$6,"y")=1,"1-2 years","2-3 years")</f>
        <v>2-3 years</v>
      </c>
      <c r="E207" s="69">
        <f t="shared" si="15"/>
        <v>0.99726775956284153</v>
      </c>
      <c r="F207" s="69">
        <f>$C207*E207*_xlfn.XLOOKUP($D207,'Sample Size cal and results'!$B$23:$B$24,'Sample Size cal and results'!$D$23:$D$24)</f>
        <v>79.213475967679244</v>
      </c>
      <c r="G207" s="72" t="str">
        <f>IF(DATEDIF($B207,'Inst summary and ER calculation'!$U$6,"y")=2,"2-3 years","3-4 years")</f>
        <v>3-4 years</v>
      </c>
      <c r="H207" s="69">
        <f t="shared" si="16"/>
        <v>1</v>
      </c>
      <c r="I207" s="142">
        <f>$C207*H207*_xlfn.XLOOKUP($G207,'Sample Size cal and results'!$B$25:$B$26,'Sample Size cal and results'!$D$25:$D$26)</f>
        <v>77.620723479830431</v>
      </c>
    </row>
    <row r="208" spans="1:9" ht="13">
      <c r="A208" s="131" t="s">
        <v>1443</v>
      </c>
      <c r="B208" s="53">
        <v>41805</v>
      </c>
      <c r="C208" s="52">
        <v>99</v>
      </c>
      <c r="D208" s="72" t="str">
        <f>IF(DATEDIF($B208,'Inst summary and ER calculation'!$T$6,"y")=1,"1-2 years","2-3 years")</f>
        <v>2-3 years</v>
      </c>
      <c r="E208" s="69">
        <f t="shared" si="15"/>
        <v>0.99726775956284153</v>
      </c>
      <c r="F208" s="69">
        <f>$C208*E208*_xlfn.XLOOKUP($D208,'Sample Size cal and results'!$B$23:$B$24,'Sample Size cal and results'!$D$23:$D$24)</f>
        <v>100.54018103590057</v>
      </c>
      <c r="G208" s="72" t="str">
        <f>IF(DATEDIF($B208,'Inst summary and ER calculation'!$U$6,"y")=2,"2-3 years","3-4 years")</f>
        <v>3-4 years</v>
      </c>
      <c r="H208" s="69">
        <f t="shared" si="16"/>
        <v>1</v>
      </c>
      <c r="I208" s="142">
        <f>$C208*H208*_xlfn.XLOOKUP($G208,'Sample Size cal and results'!$B$25:$B$26,'Sample Size cal and results'!$D$25:$D$26)</f>
        <v>98.518610570554003</v>
      </c>
    </row>
    <row r="209" spans="1:9" ht="13">
      <c r="A209" s="131" t="s">
        <v>1443</v>
      </c>
      <c r="B209" s="53">
        <v>41806</v>
      </c>
      <c r="C209" s="52">
        <v>70</v>
      </c>
      <c r="D209" s="72" t="str">
        <f>IF(DATEDIF($B209,'Inst summary and ER calculation'!$T$6,"y")=1,"1-2 years","2-3 years")</f>
        <v>2-3 years</v>
      </c>
      <c r="E209" s="69">
        <f t="shared" si="15"/>
        <v>0.99726775956284153</v>
      </c>
      <c r="F209" s="69">
        <f>$C209*E209*_xlfn.XLOOKUP($D209,'Sample Size cal and results'!$B$23:$B$24,'Sample Size cal and results'!$D$23:$D$24)</f>
        <v>71.089016894071108</v>
      </c>
      <c r="G209" s="72" t="str">
        <f>IF(DATEDIF($B209,'Inst summary and ER calculation'!$U$6,"y")=2,"2-3 years","3-4 years")</f>
        <v>3-4 years</v>
      </c>
      <c r="H209" s="69">
        <f t="shared" si="16"/>
        <v>1</v>
      </c>
      <c r="I209" s="142">
        <f>$C209*H209*_xlfn.XLOOKUP($G209,'Sample Size cal and results'!$B$25:$B$26,'Sample Size cal and results'!$D$25:$D$26)</f>
        <v>69.659623635745263</v>
      </c>
    </row>
    <row r="210" spans="1:9" ht="13">
      <c r="A210" s="131" t="s">
        <v>1443</v>
      </c>
      <c r="B210" s="53">
        <v>41807</v>
      </c>
      <c r="C210" s="52">
        <v>63</v>
      </c>
      <c r="D210" s="72" t="str">
        <f>IF(DATEDIF($B210,'Inst summary and ER calculation'!$T$6,"y")=1,"1-2 years","2-3 years")</f>
        <v>2-3 years</v>
      </c>
      <c r="E210" s="69">
        <f t="shared" si="15"/>
        <v>0.99726775956284153</v>
      </c>
      <c r="F210" s="69">
        <f>$C210*E210*_xlfn.XLOOKUP($D210,'Sample Size cal and results'!$B$23:$B$24,'Sample Size cal and results'!$D$23:$D$24)</f>
        <v>63.980115204664003</v>
      </c>
      <c r="G210" s="72" t="str">
        <f>IF(DATEDIF($B210,'Inst summary and ER calculation'!$U$6,"y")=2,"2-3 years","3-4 years")</f>
        <v>3-4 years</v>
      </c>
      <c r="H210" s="69">
        <f t="shared" si="16"/>
        <v>1</v>
      </c>
      <c r="I210" s="142">
        <f>$C210*H210*_xlfn.XLOOKUP($G210,'Sample Size cal and results'!$B$25:$B$26,'Sample Size cal and results'!$D$25:$D$26)</f>
        <v>62.693661272170729</v>
      </c>
    </row>
    <row r="211" spans="1:9" ht="13">
      <c r="A211" s="131" t="s">
        <v>1443</v>
      </c>
      <c r="B211" s="53">
        <v>41808</v>
      </c>
      <c r="C211" s="52">
        <v>76</v>
      </c>
      <c r="D211" s="72" t="str">
        <f>IF(DATEDIF($B211,'Inst summary and ER calculation'!$T$6,"y")=1,"1-2 years","2-3 years")</f>
        <v>2-3 years</v>
      </c>
      <c r="E211" s="69">
        <f t="shared" si="15"/>
        <v>0.99726775956284153</v>
      </c>
      <c r="F211" s="69">
        <f>$C211*E211*_xlfn.XLOOKUP($D211,'Sample Size cal and results'!$B$23:$B$24,'Sample Size cal and results'!$D$23:$D$24)</f>
        <v>77.182361199277196</v>
      </c>
      <c r="G211" s="72" t="str">
        <f>IF(DATEDIF($B211,'Inst summary and ER calculation'!$U$6,"y")=2,"2-3 years","3-4 years")</f>
        <v>3-4 years</v>
      </c>
      <c r="H211" s="69">
        <f t="shared" si="16"/>
        <v>1</v>
      </c>
      <c r="I211" s="142">
        <f>$C211*H211*_xlfn.XLOOKUP($G211,'Sample Size cal and results'!$B$25:$B$26,'Sample Size cal and results'!$D$25:$D$26)</f>
        <v>75.630448518809132</v>
      </c>
    </row>
    <row r="212" spans="1:9" ht="13">
      <c r="A212" s="131" t="s">
        <v>1443</v>
      </c>
      <c r="B212" s="53">
        <v>41809</v>
      </c>
      <c r="C212" s="52">
        <v>71</v>
      </c>
      <c r="D212" s="72" t="str">
        <f>IF(DATEDIF($B212,'Inst summary and ER calculation'!$T$6,"y")=1,"1-2 years","2-3 years")</f>
        <v>2-3 years</v>
      </c>
      <c r="E212" s="69">
        <f t="shared" si="15"/>
        <v>0.99726775956284153</v>
      </c>
      <c r="F212" s="69">
        <f>$C212*E212*_xlfn.XLOOKUP($D212,'Sample Size cal and results'!$B$23:$B$24,'Sample Size cal and results'!$D$23:$D$24)</f>
        <v>72.104574278272139</v>
      </c>
      <c r="G212" s="72" t="str">
        <f>IF(DATEDIF($B212,'Inst summary and ER calculation'!$U$6,"y")=2,"2-3 years","3-4 years")</f>
        <v>3-4 years</v>
      </c>
      <c r="H212" s="69">
        <f t="shared" si="16"/>
        <v>1</v>
      </c>
      <c r="I212" s="142">
        <f>$C212*H212*_xlfn.XLOOKUP($G212,'Sample Size cal and results'!$B$25:$B$26,'Sample Size cal and results'!$D$25:$D$26)</f>
        <v>70.654761116255898</v>
      </c>
    </row>
    <row r="213" spans="1:9" ht="13">
      <c r="A213" s="131" t="s">
        <v>1443</v>
      </c>
      <c r="B213" s="53">
        <v>41810</v>
      </c>
      <c r="C213" s="52">
        <v>83</v>
      </c>
      <c r="D213" s="72" t="str">
        <f>IF(DATEDIF($B213,'Inst summary and ER calculation'!$T$6,"y")=1,"1-2 years","2-3 years")</f>
        <v>2-3 years</v>
      </c>
      <c r="E213" s="69">
        <f t="shared" si="15"/>
        <v>0.99726775956284153</v>
      </c>
      <c r="F213" s="69">
        <f>$C213*E213*_xlfn.XLOOKUP($D213,'Sample Size cal and results'!$B$23:$B$24,'Sample Size cal and results'!$D$23:$D$24)</f>
        <v>84.291262888684315</v>
      </c>
      <c r="G213" s="72" t="str">
        <f>IF(DATEDIF($B213,'Inst summary and ER calculation'!$U$6,"y")=2,"2-3 years","3-4 years")</f>
        <v>3-4 years</v>
      </c>
      <c r="H213" s="69">
        <f t="shared" si="16"/>
        <v>1</v>
      </c>
      <c r="I213" s="142">
        <f>$C213*H213*_xlfn.XLOOKUP($G213,'Sample Size cal and results'!$B$25:$B$26,'Sample Size cal and results'!$D$25:$D$26)</f>
        <v>82.596410882383665</v>
      </c>
    </row>
    <row r="214" spans="1:9" ht="13">
      <c r="A214" s="131" t="s">
        <v>1443</v>
      </c>
      <c r="B214" s="53">
        <v>41811</v>
      </c>
      <c r="C214" s="52">
        <v>71</v>
      </c>
      <c r="D214" s="72" t="str">
        <f>IF(DATEDIF($B214,'Inst summary and ER calculation'!$T$6,"y")=1,"1-2 years","2-3 years")</f>
        <v>2-3 years</v>
      </c>
      <c r="E214" s="69">
        <f t="shared" si="15"/>
        <v>0.99726775956284153</v>
      </c>
      <c r="F214" s="69">
        <f>$C214*E214*_xlfn.XLOOKUP($D214,'Sample Size cal and results'!$B$23:$B$24,'Sample Size cal and results'!$D$23:$D$24)</f>
        <v>72.104574278272139</v>
      </c>
      <c r="G214" s="72" t="str">
        <f>IF(DATEDIF($B214,'Inst summary and ER calculation'!$U$6,"y")=2,"2-3 years","3-4 years")</f>
        <v>3-4 years</v>
      </c>
      <c r="H214" s="69">
        <f t="shared" si="16"/>
        <v>1</v>
      </c>
      <c r="I214" s="142">
        <f>$C214*H214*_xlfn.XLOOKUP($G214,'Sample Size cal and results'!$B$25:$B$26,'Sample Size cal and results'!$D$25:$D$26)</f>
        <v>70.654761116255898</v>
      </c>
    </row>
    <row r="215" spans="1:9" ht="13">
      <c r="A215" s="131" t="s">
        <v>1443</v>
      </c>
      <c r="B215" s="53">
        <v>41812</v>
      </c>
      <c r="C215" s="52">
        <v>77</v>
      </c>
      <c r="D215" s="72" t="str">
        <f>IF(DATEDIF($B215,'Inst summary and ER calculation'!$T$6,"y")=1,"1-2 years","2-3 years")</f>
        <v>2-3 years</v>
      </c>
      <c r="E215" s="69">
        <f t="shared" si="15"/>
        <v>0.99726775956284153</v>
      </c>
      <c r="F215" s="69">
        <f>$C215*E215*_xlfn.XLOOKUP($D215,'Sample Size cal and results'!$B$23:$B$24,'Sample Size cal and results'!$D$23:$D$24)</f>
        <v>78.197918583478227</v>
      </c>
      <c r="G215" s="72" t="str">
        <f>IF(DATEDIF($B215,'Inst summary and ER calculation'!$U$6,"y")=2,"2-3 years","3-4 years")</f>
        <v>3-4 years</v>
      </c>
      <c r="H215" s="69">
        <f t="shared" si="16"/>
        <v>1</v>
      </c>
      <c r="I215" s="142">
        <f>$C215*H215*_xlfn.XLOOKUP($G215,'Sample Size cal and results'!$B$25:$B$26,'Sample Size cal and results'!$D$25:$D$26)</f>
        <v>76.625585999319782</v>
      </c>
    </row>
    <row r="216" spans="1:9" ht="13">
      <c r="A216" s="131" t="s">
        <v>1443</v>
      </c>
      <c r="B216" s="53">
        <v>41813</v>
      </c>
      <c r="C216" s="52">
        <v>64</v>
      </c>
      <c r="D216" s="72" t="str">
        <f>IF(DATEDIF($B216,'Inst summary and ER calculation'!$T$6,"y")=1,"1-2 years","2-3 years")</f>
        <v>2-3 years</v>
      </c>
      <c r="E216" s="69">
        <f t="shared" si="15"/>
        <v>0.99726775956284153</v>
      </c>
      <c r="F216" s="69">
        <f>$C216*E216*_xlfn.XLOOKUP($D216,'Sample Size cal and results'!$B$23:$B$24,'Sample Size cal and results'!$D$23:$D$24)</f>
        <v>64.99567258886502</v>
      </c>
      <c r="G216" s="72" t="str">
        <f>IF(DATEDIF($B216,'Inst summary and ER calculation'!$U$6,"y")=2,"2-3 years","3-4 years")</f>
        <v>3-4 years</v>
      </c>
      <c r="H216" s="69">
        <f t="shared" si="16"/>
        <v>1</v>
      </c>
      <c r="I216" s="142">
        <f>$C216*H216*_xlfn.XLOOKUP($G216,'Sample Size cal and results'!$B$25:$B$26,'Sample Size cal and results'!$D$25:$D$26)</f>
        <v>63.688798752681379</v>
      </c>
    </row>
    <row r="217" spans="1:9" ht="13">
      <c r="A217" s="131" t="s">
        <v>1443</v>
      </c>
      <c r="B217" s="53">
        <v>41814</v>
      </c>
      <c r="C217" s="52">
        <v>58</v>
      </c>
      <c r="D217" s="72" t="str">
        <f>IF(DATEDIF($B217,'Inst summary and ER calculation'!$T$6,"y")=1,"1-2 years","2-3 years")</f>
        <v>2-3 years</v>
      </c>
      <c r="E217" s="69">
        <f t="shared" si="15"/>
        <v>0.99726775956284153</v>
      </c>
      <c r="F217" s="69">
        <f>$C217*E217*_xlfn.XLOOKUP($D217,'Sample Size cal and results'!$B$23:$B$24,'Sample Size cal and results'!$D$23:$D$24)</f>
        <v>58.902328283658917</v>
      </c>
      <c r="G217" s="72" t="str">
        <f>IF(DATEDIF($B217,'Inst summary and ER calculation'!$U$6,"y")=2,"2-3 years","3-4 years")</f>
        <v>3-4 years</v>
      </c>
      <c r="H217" s="69">
        <f t="shared" si="16"/>
        <v>1</v>
      </c>
      <c r="I217" s="142">
        <f>$C217*H217*_xlfn.XLOOKUP($G217,'Sample Size cal and results'!$B$25:$B$26,'Sample Size cal and results'!$D$25:$D$26)</f>
        <v>57.717973869617502</v>
      </c>
    </row>
    <row r="218" spans="1:9" ht="13">
      <c r="A218" s="131" t="s">
        <v>1443</v>
      </c>
      <c r="B218" s="53">
        <v>41815</v>
      </c>
      <c r="C218" s="52">
        <v>96</v>
      </c>
      <c r="D218" s="72" t="str">
        <f>IF(DATEDIF($B218,'Inst summary and ER calculation'!$T$6,"y")=1,"1-2 years","2-3 years")</f>
        <v>2-3 years</v>
      </c>
      <c r="E218" s="69">
        <f t="shared" si="15"/>
        <v>0.99726775956284153</v>
      </c>
      <c r="F218" s="69">
        <f>$C218*E218*_xlfn.XLOOKUP($D218,'Sample Size cal and results'!$B$23:$B$24,'Sample Size cal and results'!$D$23:$D$24)</f>
        <v>97.493508883297523</v>
      </c>
      <c r="G218" s="72" t="str">
        <f>IF(DATEDIF($B218,'Inst summary and ER calculation'!$U$6,"y")=2,"2-3 years","3-4 years")</f>
        <v>3-4 years</v>
      </c>
      <c r="H218" s="69">
        <f t="shared" si="16"/>
        <v>1</v>
      </c>
      <c r="I218" s="142">
        <f>$C218*H218*_xlfn.XLOOKUP($G218,'Sample Size cal and results'!$B$25:$B$26,'Sample Size cal and results'!$D$25:$D$26)</f>
        <v>95.533198129022068</v>
      </c>
    </row>
    <row r="219" spans="1:9" ht="13">
      <c r="A219" s="131" t="s">
        <v>1443</v>
      </c>
      <c r="B219" s="53">
        <v>41816</v>
      </c>
      <c r="C219" s="52">
        <v>74</v>
      </c>
      <c r="D219" s="72" t="str">
        <f>IF(DATEDIF($B219,'Inst summary and ER calculation'!$T$6,"y")=1,"1-2 years","2-3 years")</f>
        <v>2-3 years</v>
      </c>
      <c r="E219" s="69">
        <f t="shared" si="15"/>
        <v>0.99726775956284153</v>
      </c>
      <c r="F219" s="69">
        <f>$C219*E219*_xlfn.XLOOKUP($D219,'Sample Size cal and results'!$B$23:$B$24,'Sample Size cal and results'!$D$23:$D$24)</f>
        <v>75.151246430875176</v>
      </c>
      <c r="G219" s="72" t="str">
        <f>IF(DATEDIF($B219,'Inst summary and ER calculation'!$U$6,"y")=2,"2-3 years","3-4 years")</f>
        <v>3-4 years</v>
      </c>
      <c r="H219" s="69">
        <f t="shared" si="16"/>
        <v>1</v>
      </c>
      <c r="I219" s="142">
        <f>$C219*H219*_xlfn.XLOOKUP($G219,'Sample Size cal and results'!$B$25:$B$26,'Sample Size cal and results'!$D$25:$D$26)</f>
        <v>73.640173557787847</v>
      </c>
    </row>
    <row r="220" spans="1:9" ht="13">
      <c r="A220" s="131" t="s">
        <v>1443</v>
      </c>
      <c r="B220" s="53">
        <v>41817</v>
      </c>
      <c r="C220" s="52">
        <v>64</v>
      </c>
      <c r="D220" s="72" t="str">
        <f>IF(DATEDIF($B220,'Inst summary and ER calculation'!$T$6,"y")=1,"1-2 years","2-3 years")</f>
        <v>2-3 years</v>
      </c>
      <c r="E220" s="69">
        <f t="shared" si="15"/>
        <v>0.99726775956284153</v>
      </c>
      <c r="F220" s="69">
        <f>$C220*E220*_xlfn.XLOOKUP($D220,'Sample Size cal and results'!$B$23:$B$24,'Sample Size cal and results'!$D$23:$D$24)</f>
        <v>64.99567258886502</v>
      </c>
      <c r="G220" s="72" t="str">
        <f>IF(DATEDIF($B220,'Inst summary and ER calculation'!$U$6,"y")=2,"2-3 years","3-4 years")</f>
        <v>3-4 years</v>
      </c>
      <c r="H220" s="69">
        <f t="shared" si="16"/>
        <v>1</v>
      </c>
      <c r="I220" s="142">
        <f>$C220*H220*_xlfn.XLOOKUP($G220,'Sample Size cal and results'!$B$25:$B$26,'Sample Size cal and results'!$D$25:$D$26)</f>
        <v>63.688798752681379</v>
      </c>
    </row>
    <row r="221" spans="1:9" ht="13">
      <c r="A221" s="131" t="s">
        <v>1443</v>
      </c>
      <c r="B221" s="53">
        <v>41818</v>
      </c>
      <c r="C221" s="52">
        <v>68</v>
      </c>
      <c r="D221" s="72" t="str">
        <f>IF(DATEDIF($B221,'Inst summary and ER calculation'!$T$6,"y")=1,"1-2 years","2-3 years")</f>
        <v>2-3 years</v>
      </c>
      <c r="E221" s="69">
        <f t="shared" si="15"/>
        <v>0.99726775956284153</v>
      </c>
      <c r="F221" s="69">
        <f>$C221*E221*_xlfn.XLOOKUP($D221,'Sample Size cal and results'!$B$23:$B$24,'Sample Size cal and results'!$D$23:$D$24)</f>
        <v>69.057902125669074</v>
      </c>
      <c r="G221" s="72" t="str">
        <f>IF(DATEDIF($B221,'Inst summary and ER calculation'!$U$6,"y")=2,"2-3 years","3-4 years")</f>
        <v>3-4 years</v>
      </c>
      <c r="H221" s="69">
        <f t="shared" si="16"/>
        <v>1</v>
      </c>
      <c r="I221" s="142">
        <f>$C221*H221*_xlfn.XLOOKUP($G221,'Sample Size cal and results'!$B$25:$B$26,'Sample Size cal and results'!$D$25:$D$26)</f>
        <v>67.669348674723963</v>
      </c>
    </row>
    <row r="222" spans="1:9" ht="13">
      <c r="A222" s="131" t="s">
        <v>1443</v>
      </c>
      <c r="B222" s="53">
        <v>41819</v>
      </c>
      <c r="C222" s="52">
        <v>58</v>
      </c>
      <c r="D222" s="72" t="str">
        <f>IF(DATEDIF($B222,'Inst summary and ER calculation'!$T$6,"y")=1,"1-2 years","2-3 years")</f>
        <v>2-3 years</v>
      </c>
      <c r="E222" s="69">
        <f t="shared" si="15"/>
        <v>0.99726775956284153</v>
      </c>
      <c r="F222" s="69">
        <f>$C222*E222*_xlfn.XLOOKUP($D222,'Sample Size cal and results'!$B$23:$B$24,'Sample Size cal and results'!$D$23:$D$24)</f>
        <v>58.902328283658917</v>
      </c>
      <c r="G222" s="72" t="str">
        <f>IF(DATEDIF($B222,'Inst summary and ER calculation'!$U$6,"y")=2,"2-3 years","3-4 years")</f>
        <v>3-4 years</v>
      </c>
      <c r="H222" s="69">
        <f t="shared" si="16"/>
        <v>1</v>
      </c>
      <c r="I222" s="142">
        <f>$C222*H222*_xlfn.XLOOKUP($G222,'Sample Size cal and results'!$B$25:$B$26,'Sample Size cal and results'!$D$25:$D$26)</f>
        <v>57.717973869617502</v>
      </c>
    </row>
    <row r="223" spans="1:9" ht="13">
      <c r="A223" s="131" t="s">
        <v>1443</v>
      </c>
      <c r="B223" s="53">
        <v>41820</v>
      </c>
      <c r="C223" s="52">
        <v>42</v>
      </c>
      <c r="D223" s="72" t="str">
        <f>IF(DATEDIF($B223,'Inst summary and ER calculation'!$T$6,"y")=1,"1-2 years","2-3 years")</f>
        <v>2-3 years</v>
      </c>
      <c r="E223" s="69">
        <f t="shared" si="15"/>
        <v>0.99726775956284153</v>
      </c>
      <c r="F223" s="69">
        <f>$C223*E223*_xlfn.XLOOKUP($D223,'Sample Size cal and results'!$B$23:$B$24,'Sample Size cal and results'!$D$23:$D$24)</f>
        <v>42.653410136442666</v>
      </c>
      <c r="G223" s="72" t="str">
        <f>IF(DATEDIF($B223,'Inst summary and ER calculation'!$U$6,"y")=2,"2-3 years","3-4 years")</f>
        <v>3-4 years</v>
      </c>
      <c r="H223" s="69">
        <f t="shared" si="16"/>
        <v>1</v>
      </c>
      <c r="I223" s="142">
        <f>$C223*H223*_xlfn.XLOOKUP($G223,'Sample Size cal and results'!$B$25:$B$26,'Sample Size cal and results'!$D$25:$D$26)</f>
        <v>41.795774181447158</v>
      </c>
    </row>
    <row r="224" spans="1:9" ht="13">
      <c r="A224" s="131" t="s">
        <v>1443</v>
      </c>
      <c r="B224" s="53">
        <v>41821</v>
      </c>
      <c r="C224" s="52">
        <v>12</v>
      </c>
      <c r="D224" s="72" t="str">
        <f>IF(DATEDIF($B224,'Inst summary and ER calculation'!$T$6,"y")=1,"1-2 years","2-3 years")</f>
        <v>2-3 years</v>
      </c>
      <c r="E224" s="69">
        <f t="shared" si="15"/>
        <v>0.99726775956284153</v>
      </c>
      <c r="F224" s="69">
        <f>$C224*E224*_xlfn.XLOOKUP($D224,'Sample Size cal and results'!$B$23:$B$24,'Sample Size cal and results'!$D$23:$D$24)</f>
        <v>12.18668861041219</v>
      </c>
      <c r="G224" s="72" t="str">
        <f>IF(DATEDIF($B224,'Inst summary and ER calculation'!$U$6,"y")=2,"2-3 years","3-4 years")</f>
        <v>3-4 years</v>
      </c>
      <c r="H224" s="69">
        <f t="shared" si="16"/>
        <v>1</v>
      </c>
      <c r="I224" s="142">
        <f>$C224*H224*_xlfn.XLOOKUP($G224,'Sample Size cal and results'!$B$25:$B$26,'Sample Size cal and results'!$D$25:$D$26)</f>
        <v>11.941649766127759</v>
      </c>
    </row>
    <row r="225" spans="1:9" ht="13">
      <c r="A225" s="131" t="s">
        <v>1443</v>
      </c>
      <c r="B225" s="53">
        <v>41822</v>
      </c>
      <c r="C225" s="52">
        <v>20</v>
      </c>
      <c r="D225" s="72" t="str">
        <f>IF(DATEDIF($B225,'Inst summary and ER calculation'!$T$6,"y")=1,"1-2 years","2-3 years")</f>
        <v>2-3 years</v>
      </c>
      <c r="E225" s="69">
        <f t="shared" si="15"/>
        <v>0.99726775956284153</v>
      </c>
      <c r="F225" s="69">
        <f>$C225*E225*_xlfn.XLOOKUP($D225,'Sample Size cal and results'!$B$23:$B$24,'Sample Size cal and results'!$D$23:$D$24)</f>
        <v>20.311147684020316</v>
      </c>
      <c r="G225" s="72" t="str">
        <f>IF(DATEDIF($B225,'Inst summary and ER calculation'!$U$6,"y")=2,"2-3 years","3-4 years")</f>
        <v>3-4 years</v>
      </c>
      <c r="H225" s="69">
        <f t="shared" si="16"/>
        <v>1</v>
      </c>
      <c r="I225" s="142">
        <f>$C225*H225*_xlfn.XLOOKUP($G225,'Sample Size cal and results'!$B$25:$B$26,'Sample Size cal and results'!$D$25:$D$26)</f>
        <v>19.902749610212929</v>
      </c>
    </row>
    <row r="226" spans="1:9" ht="13">
      <c r="A226" s="131" t="s">
        <v>1443</v>
      </c>
      <c r="B226" s="53">
        <v>41823</v>
      </c>
      <c r="C226" s="52">
        <v>25</v>
      </c>
      <c r="D226" s="72" t="str">
        <f>IF(DATEDIF($B226,'Inst summary and ER calculation'!$T$6,"y")=1,"1-2 years","2-3 years")</f>
        <v>2-3 years</v>
      </c>
      <c r="E226" s="69">
        <f t="shared" si="15"/>
        <v>0.99726775956284153</v>
      </c>
      <c r="F226" s="69">
        <f>$C226*E226*_xlfn.XLOOKUP($D226,'Sample Size cal and results'!$B$23:$B$24,'Sample Size cal and results'!$D$23:$D$24)</f>
        <v>25.388934605025398</v>
      </c>
      <c r="G226" s="72" t="str">
        <f>IF(DATEDIF($B226,'Inst summary and ER calculation'!$U$6,"y")=2,"2-3 years","3-4 years")</f>
        <v>3-4 years</v>
      </c>
      <c r="H226" s="69">
        <f t="shared" si="16"/>
        <v>1</v>
      </c>
      <c r="I226" s="142">
        <f>$C226*H226*_xlfn.XLOOKUP($G226,'Sample Size cal and results'!$B$25:$B$26,'Sample Size cal and results'!$D$25:$D$26)</f>
        <v>24.878437012766163</v>
      </c>
    </row>
    <row r="227" spans="1:9" ht="13">
      <c r="A227" s="131" t="s">
        <v>1443</v>
      </c>
      <c r="B227" s="53">
        <v>41824</v>
      </c>
      <c r="C227" s="52">
        <v>34</v>
      </c>
      <c r="D227" s="72" t="str">
        <f>IF(DATEDIF($B227,'Inst summary and ER calculation'!$T$6,"y")=1,"1-2 years","2-3 years")</f>
        <v>2-3 years</v>
      </c>
      <c r="E227" s="69">
        <f t="shared" si="15"/>
        <v>0.99726775956284153</v>
      </c>
      <c r="F227" s="69">
        <f>$C227*E227*_xlfn.XLOOKUP($D227,'Sample Size cal and results'!$B$23:$B$24,'Sample Size cal and results'!$D$23:$D$24)</f>
        <v>34.528951062834537</v>
      </c>
      <c r="G227" s="72" t="str">
        <f>IF(DATEDIF($B227,'Inst summary and ER calculation'!$U$6,"y")=2,"2-3 years","3-4 years")</f>
        <v>3-4 years</v>
      </c>
      <c r="H227" s="69">
        <f t="shared" si="16"/>
        <v>1</v>
      </c>
      <c r="I227" s="142">
        <f>$C227*H227*_xlfn.XLOOKUP($G227,'Sample Size cal and results'!$B$25:$B$26,'Sample Size cal and results'!$D$25:$D$26)</f>
        <v>33.834674337361982</v>
      </c>
    </row>
    <row r="228" spans="1:9" ht="13">
      <c r="A228" s="131" t="s">
        <v>1443</v>
      </c>
      <c r="B228" s="53">
        <v>41825</v>
      </c>
      <c r="C228" s="52">
        <v>52</v>
      </c>
      <c r="D228" s="72" t="str">
        <f>IF(DATEDIF($B228,'Inst summary and ER calculation'!$T$6,"y")=1,"1-2 years","2-3 years")</f>
        <v>2-3 years</v>
      </c>
      <c r="E228" s="69">
        <f t="shared" si="15"/>
        <v>0.99726775956284153</v>
      </c>
      <c r="F228" s="69">
        <f>$C228*E228*_xlfn.XLOOKUP($D228,'Sample Size cal and results'!$B$23:$B$24,'Sample Size cal and results'!$D$23:$D$24)</f>
        <v>52.808983978452829</v>
      </c>
      <c r="G228" s="72" t="str">
        <f>IF(DATEDIF($B228,'Inst summary and ER calculation'!$U$6,"y")=2,"2-3 years","3-4 years")</f>
        <v>3-4 years</v>
      </c>
      <c r="H228" s="69">
        <f t="shared" si="16"/>
        <v>1</v>
      </c>
      <c r="I228" s="142">
        <f>$C228*H228*_xlfn.XLOOKUP($G228,'Sample Size cal and results'!$B$25:$B$26,'Sample Size cal and results'!$D$25:$D$26)</f>
        <v>51.747148986553618</v>
      </c>
    </row>
    <row r="229" spans="1:9" ht="13">
      <c r="A229" s="131" t="s">
        <v>1443</v>
      </c>
      <c r="B229" s="53">
        <v>41826</v>
      </c>
      <c r="C229" s="52">
        <v>32</v>
      </c>
      <c r="D229" s="72" t="str">
        <f>IF(DATEDIF($B229,'Inst summary and ER calculation'!$T$6,"y")=1,"1-2 years","2-3 years")</f>
        <v>2-3 years</v>
      </c>
      <c r="E229" s="69">
        <f t="shared" si="15"/>
        <v>0.99726775956284153</v>
      </c>
      <c r="F229" s="69">
        <f>$C229*E229*_xlfn.XLOOKUP($D229,'Sample Size cal and results'!$B$23:$B$24,'Sample Size cal and results'!$D$23:$D$24)</f>
        <v>32.49783629443251</v>
      </c>
      <c r="G229" s="72" t="str">
        <f>IF(DATEDIF($B229,'Inst summary and ER calculation'!$U$6,"y")=2,"2-3 years","3-4 years")</f>
        <v>3-4 years</v>
      </c>
      <c r="H229" s="69">
        <f t="shared" si="16"/>
        <v>1</v>
      </c>
      <c r="I229" s="142">
        <f>$C229*H229*_xlfn.XLOOKUP($G229,'Sample Size cal and results'!$B$25:$B$26,'Sample Size cal and results'!$D$25:$D$26)</f>
        <v>31.844399376340689</v>
      </c>
    </row>
    <row r="230" spans="1:9" ht="13">
      <c r="A230" s="131" t="s">
        <v>1443</v>
      </c>
      <c r="B230" s="53">
        <v>41827</v>
      </c>
      <c r="C230" s="52">
        <v>26</v>
      </c>
      <c r="D230" s="72" t="str">
        <f>IF(DATEDIF($B230,'Inst summary and ER calculation'!$T$6,"y")=1,"1-2 years","2-3 years")</f>
        <v>2-3 years</v>
      </c>
      <c r="E230" s="69">
        <f t="shared" si="15"/>
        <v>0.99726775956284153</v>
      </c>
      <c r="F230" s="69">
        <f>$C230*E230*_xlfn.XLOOKUP($D230,'Sample Size cal and results'!$B$23:$B$24,'Sample Size cal and results'!$D$23:$D$24)</f>
        <v>26.404491989226415</v>
      </c>
      <c r="G230" s="72" t="str">
        <f>IF(DATEDIF($B230,'Inst summary and ER calculation'!$U$6,"y")=2,"2-3 years","3-4 years")</f>
        <v>3-4 years</v>
      </c>
      <c r="H230" s="69">
        <f t="shared" si="16"/>
        <v>1</v>
      </c>
      <c r="I230" s="142">
        <f>$C230*H230*_xlfn.XLOOKUP($G230,'Sample Size cal and results'!$B$25:$B$26,'Sample Size cal and results'!$D$25:$D$26)</f>
        <v>25.873574493276809</v>
      </c>
    </row>
    <row r="231" spans="1:9" ht="13">
      <c r="A231" s="131" t="s">
        <v>1443</v>
      </c>
      <c r="B231" s="53">
        <v>41828</v>
      </c>
      <c r="C231" s="52">
        <v>30</v>
      </c>
      <c r="D231" s="72" t="str">
        <f>IF(DATEDIF($B231,'Inst summary and ER calculation'!$T$6,"y")=1,"1-2 years","2-3 years")</f>
        <v>2-3 years</v>
      </c>
      <c r="E231" s="69">
        <f t="shared" si="15"/>
        <v>0.99726775956284153</v>
      </c>
      <c r="F231" s="69">
        <f>$C231*E231*_xlfn.XLOOKUP($D231,'Sample Size cal and results'!$B$23:$B$24,'Sample Size cal and results'!$D$23:$D$24)</f>
        <v>30.466721526030476</v>
      </c>
      <c r="G231" s="72" t="str">
        <f>IF(DATEDIF($B231,'Inst summary and ER calculation'!$U$6,"y")=2,"2-3 years","3-4 years")</f>
        <v>3-4 years</v>
      </c>
      <c r="H231" s="69">
        <f t="shared" si="16"/>
        <v>1</v>
      </c>
      <c r="I231" s="142">
        <f>$C231*H231*_xlfn.XLOOKUP($G231,'Sample Size cal and results'!$B$25:$B$26,'Sample Size cal and results'!$D$25:$D$26)</f>
        <v>29.854124415319397</v>
      </c>
    </row>
    <row r="232" spans="1:9" ht="13">
      <c r="A232" s="131" t="s">
        <v>1443</v>
      </c>
      <c r="B232" s="53">
        <v>41829</v>
      </c>
      <c r="C232" s="52">
        <v>23</v>
      </c>
      <c r="D232" s="72" t="str">
        <f>IF(DATEDIF($B232,'Inst summary and ER calculation'!$T$6,"y")=1,"1-2 years","2-3 years")</f>
        <v>2-3 years</v>
      </c>
      <c r="E232" s="69">
        <f t="shared" si="15"/>
        <v>0.99726775956284153</v>
      </c>
      <c r="F232" s="69">
        <f>$C232*E232*_xlfn.XLOOKUP($D232,'Sample Size cal and results'!$B$23:$B$24,'Sample Size cal and results'!$D$23:$D$24)</f>
        <v>23.357819836623367</v>
      </c>
      <c r="G232" s="72" t="str">
        <f>IF(DATEDIF($B232,'Inst summary and ER calculation'!$U$6,"y")=2,"2-3 years","3-4 years")</f>
        <v>3-4 years</v>
      </c>
      <c r="H232" s="69">
        <f t="shared" si="16"/>
        <v>1</v>
      </c>
      <c r="I232" s="142">
        <f>$C232*H232*_xlfn.XLOOKUP($G232,'Sample Size cal and results'!$B$25:$B$26,'Sample Size cal and results'!$D$25:$D$26)</f>
        <v>22.888162051744871</v>
      </c>
    </row>
    <row r="233" spans="1:9" ht="13">
      <c r="A233" s="131" t="s">
        <v>1443</v>
      </c>
      <c r="B233" s="53">
        <v>41830</v>
      </c>
      <c r="C233" s="52">
        <v>50</v>
      </c>
      <c r="D233" s="72" t="str">
        <f>IF(DATEDIF($B233,'Inst summary and ER calculation'!$T$6,"y")=1,"1-2 years","2-3 years")</f>
        <v>2-3 years</v>
      </c>
      <c r="E233" s="69">
        <f t="shared" si="15"/>
        <v>0.99726775956284153</v>
      </c>
      <c r="F233" s="69">
        <f>$C233*E233*_xlfn.XLOOKUP($D233,'Sample Size cal and results'!$B$23:$B$24,'Sample Size cal and results'!$D$23:$D$24)</f>
        <v>50.777869210050795</v>
      </c>
      <c r="G233" s="72" t="str">
        <f>IF(DATEDIF($B233,'Inst summary and ER calculation'!$U$6,"y")=2,"2-3 years","3-4 years")</f>
        <v>3-4 years</v>
      </c>
      <c r="H233" s="69">
        <f t="shared" si="16"/>
        <v>1</v>
      </c>
      <c r="I233" s="142">
        <f>$C233*H233*_xlfn.XLOOKUP($G233,'Sample Size cal and results'!$B$25:$B$26,'Sample Size cal and results'!$D$25:$D$26)</f>
        <v>49.756874025532326</v>
      </c>
    </row>
    <row r="234" spans="1:9" ht="13">
      <c r="A234" s="131" t="s">
        <v>1443</v>
      </c>
      <c r="B234" s="53">
        <v>41831</v>
      </c>
      <c r="C234" s="52">
        <v>37</v>
      </c>
      <c r="D234" s="72" t="str">
        <f>IF(DATEDIF($B234,'Inst summary and ER calculation'!$T$6,"y")=1,"1-2 years","2-3 years")</f>
        <v>2-3 years</v>
      </c>
      <c r="E234" s="69">
        <f t="shared" si="15"/>
        <v>0.99726775956284153</v>
      </c>
      <c r="F234" s="69">
        <f>$C234*E234*_xlfn.XLOOKUP($D234,'Sample Size cal and results'!$B$23:$B$24,'Sample Size cal and results'!$D$23:$D$24)</f>
        <v>37.575623215437588</v>
      </c>
      <c r="G234" s="72" t="str">
        <f>IF(DATEDIF($B234,'Inst summary and ER calculation'!$U$6,"y")=2,"2-3 years","3-4 years")</f>
        <v>3-4 years</v>
      </c>
      <c r="H234" s="69">
        <f t="shared" si="16"/>
        <v>1</v>
      </c>
      <c r="I234" s="142">
        <f>$C234*H234*_xlfn.XLOOKUP($G234,'Sample Size cal and results'!$B$25:$B$26,'Sample Size cal and results'!$D$25:$D$26)</f>
        <v>36.820086778893923</v>
      </c>
    </row>
    <row r="235" spans="1:9" ht="13">
      <c r="A235" s="131" t="s">
        <v>1443</v>
      </c>
      <c r="B235" s="53">
        <v>41832</v>
      </c>
      <c r="C235" s="52">
        <v>37</v>
      </c>
      <c r="D235" s="72" t="str">
        <f>IF(DATEDIF($B235,'Inst summary and ER calculation'!$T$6,"y")=1,"1-2 years","2-3 years")</f>
        <v>2-3 years</v>
      </c>
      <c r="E235" s="69">
        <f t="shared" si="15"/>
        <v>0.99726775956284153</v>
      </c>
      <c r="F235" s="69">
        <f>$C235*E235*_xlfn.XLOOKUP($D235,'Sample Size cal and results'!$B$23:$B$24,'Sample Size cal and results'!$D$23:$D$24)</f>
        <v>37.575623215437588</v>
      </c>
      <c r="G235" s="72" t="str">
        <f>IF(DATEDIF($B235,'Inst summary and ER calculation'!$U$6,"y")=2,"2-3 years","3-4 years")</f>
        <v>3-4 years</v>
      </c>
      <c r="H235" s="69">
        <f t="shared" si="16"/>
        <v>1</v>
      </c>
      <c r="I235" s="142">
        <f>$C235*H235*_xlfn.XLOOKUP($G235,'Sample Size cal and results'!$B$25:$B$26,'Sample Size cal and results'!$D$25:$D$26)</f>
        <v>36.820086778893923</v>
      </c>
    </row>
    <row r="236" spans="1:9" ht="13">
      <c r="A236" s="131" t="s">
        <v>1443</v>
      </c>
      <c r="B236" s="53">
        <v>41833</v>
      </c>
      <c r="C236" s="52">
        <v>41</v>
      </c>
      <c r="D236" s="72" t="str">
        <f>IF(DATEDIF($B236,'Inst summary and ER calculation'!$T$6,"y")=1,"1-2 years","2-3 years")</f>
        <v>2-3 years</v>
      </c>
      <c r="E236" s="69">
        <f t="shared" si="15"/>
        <v>0.99726775956284153</v>
      </c>
      <c r="F236" s="69">
        <f>$C236*E236*_xlfn.XLOOKUP($D236,'Sample Size cal and results'!$B$23:$B$24,'Sample Size cal and results'!$D$23:$D$24)</f>
        <v>41.637852752241656</v>
      </c>
      <c r="G236" s="72" t="str">
        <f>IF(DATEDIF($B236,'Inst summary and ER calculation'!$U$6,"y")=2,"2-3 years","3-4 years")</f>
        <v>3-4 years</v>
      </c>
      <c r="H236" s="69">
        <f t="shared" si="16"/>
        <v>1</v>
      </c>
      <c r="I236" s="142">
        <f>$C236*H236*_xlfn.XLOOKUP($G236,'Sample Size cal and results'!$B$25:$B$26,'Sample Size cal and results'!$D$25:$D$26)</f>
        <v>40.800636700936508</v>
      </c>
    </row>
    <row r="237" spans="1:9" ht="13">
      <c r="A237" s="131" t="s">
        <v>1443</v>
      </c>
      <c r="B237" s="53">
        <v>41834</v>
      </c>
      <c r="C237" s="52">
        <v>63</v>
      </c>
      <c r="D237" s="72" t="str">
        <f>IF(DATEDIF($B237,'Inst summary and ER calculation'!$T$6,"y")=1,"1-2 years","2-3 years")</f>
        <v>2-3 years</v>
      </c>
      <c r="E237" s="69">
        <f t="shared" si="15"/>
        <v>0.99726775956284153</v>
      </c>
      <c r="F237" s="69">
        <f>$C237*E237*_xlfn.XLOOKUP($D237,'Sample Size cal and results'!$B$23:$B$24,'Sample Size cal and results'!$D$23:$D$24)</f>
        <v>63.980115204664003</v>
      </c>
      <c r="G237" s="72" t="str">
        <f>IF(DATEDIF($B237,'Inst summary and ER calculation'!$U$6,"y")=2,"2-3 years","3-4 years")</f>
        <v>3-4 years</v>
      </c>
      <c r="H237" s="69">
        <f t="shared" si="16"/>
        <v>1</v>
      </c>
      <c r="I237" s="142">
        <f>$C237*H237*_xlfn.XLOOKUP($G237,'Sample Size cal and results'!$B$25:$B$26,'Sample Size cal and results'!$D$25:$D$26)</f>
        <v>62.693661272170729</v>
      </c>
    </row>
    <row r="238" spans="1:9" ht="13">
      <c r="A238" s="131" t="s">
        <v>1443</v>
      </c>
      <c r="B238" s="53">
        <v>41835</v>
      </c>
      <c r="C238" s="52">
        <v>62</v>
      </c>
      <c r="D238" s="72" t="str">
        <f>IF(DATEDIF($B238,'Inst summary and ER calculation'!$T$6,"y")=1,"1-2 years","2-3 years")</f>
        <v>2-3 years</v>
      </c>
      <c r="E238" s="69">
        <f t="shared" si="15"/>
        <v>0.99726775956284153</v>
      </c>
      <c r="F238" s="69">
        <f>$C238*E238*_xlfn.XLOOKUP($D238,'Sample Size cal and results'!$B$23:$B$24,'Sample Size cal and results'!$D$23:$D$24)</f>
        <v>62.964557820462986</v>
      </c>
      <c r="G238" s="72" t="str">
        <f>IF(DATEDIF($B238,'Inst summary and ER calculation'!$U$6,"y")=2,"2-3 years","3-4 years")</f>
        <v>3-4 years</v>
      </c>
      <c r="H238" s="69">
        <f t="shared" si="16"/>
        <v>1</v>
      </c>
      <c r="I238" s="142">
        <f>$C238*H238*_xlfn.XLOOKUP($G238,'Sample Size cal and results'!$B$25:$B$26,'Sample Size cal and results'!$D$25:$D$26)</f>
        <v>61.698523791660087</v>
      </c>
    </row>
    <row r="239" spans="1:9" ht="13">
      <c r="A239" s="131" t="s">
        <v>1443</v>
      </c>
      <c r="B239" s="53">
        <v>41836</v>
      </c>
      <c r="C239" s="52">
        <v>49</v>
      </c>
      <c r="D239" s="72" t="str">
        <f>IF(DATEDIF($B239,'Inst summary and ER calculation'!$T$6,"y")=1,"1-2 years","2-3 years")</f>
        <v>2-3 years</v>
      </c>
      <c r="E239" s="69">
        <f t="shared" si="15"/>
        <v>0.99726775956284153</v>
      </c>
      <c r="F239" s="69">
        <f>$C239*E239*_xlfn.XLOOKUP($D239,'Sample Size cal and results'!$B$23:$B$24,'Sample Size cal and results'!$D$23:$D$24)</f>
        <v>49.762311825849778</v>
      </c>
      <c r="G239" s="72" t="str">
        <f>IF(DATEDIF($B239,'Inst summary and ER calculation'!$U$6,"y")=2,"2-3 years","3-4 years")</f>
        <v>3-4 years</v>
      </c>
      <c r="H239" s="69">
        <f t="shared" si="16"/>
        <v>1</v>
      </c>
      <c r="I239" s="142">
        <f>$C239*H239*_xlfn.XLOOKUP($G239,'Sample Size cal and results'!$B$25:$B$26,'Sample Size cal and results'!$D$25:$D$26)</f>
        <v>48.761736545021684</v>
      </c>
    </row>
    <row r="240" spans="1:9" ht="13">
      <c r="A240" s="131" t="s">
        <v>1443</v>
      </c>
      <c r="B240" s="53">
        <v>41837</v>
      </c>
      <c r="C240" s="52">
        <v>58</v>
      </c>
      <c r="D240" s="72" t="str">
        <f>IF(DATEDIF($B240,'Inst summary and ER calculation'!$T$6,"y")=1,"1-2 years","2-3 years")</f>
        <v>2-3 years</v>
      </c>
      <c r="E240" s="69">
        <f t="shared" si="15"/>
        <v>0.99726775956284153</v>
      </c>
      <c r="F240" s="69">
        <f>$C240*E240*_xlfn.XLOOKUP($D240,'Sample Size cal and results'!$B$23:$B$24,'Sample Size cal and results'!$D$23:$D$24)</f>
        <v>58.902328283658917</v>
      </c>
      <c r="G240" s="72" t="str">
        <f>IF(DATEDIF($B240,'Inst summary and ER calculation'!$U$6,"y")=2,"2-3 years","3-4 years")</f>
        <v>3-4 years</v>
      </c>
      <c r="H240" s="69">
        <f t="shared" si="16"/>
        <v>1</v>
      </c>
      <c r="I240" s="142">
        <f>$C240*H240*_xlfn.XLOOKUP($G240,'Sample Size cal and results'!$B$25:$B$26,'Sample Size cal and results'!$D$25:$D$26)</f>
        <v>57.717973869617502</v>
      </c>
    </row>
    <row r="241" spans="1:9" ht="13">
      <c r="A241" s="131" t="s">
        <v>1443</v>
      </c>
      <c r="B241" s="53">
        <v>41838</v>
      </c>
      <c r="C241" s="52">
        <v>70</v>
      </c>
      <c r="D241" s="72" t="str">
        <f>IF(DATEDIF($B241,'Inst summary and ER calculation'!$T$6,"y")=1,"1-2 years","2-3 years")</f>
        <v>2-3 years</v>
      </c>
      <c r="E241" s="69">
        <f t="shared" si="15"/>
        <v>0.99726775956284153</v>
      </c>
      <c r="F241" s="69">
        <f>$C241*E241*_xlfn.XLOOKUP($D241,'Sample Size cal and results'!$B$23:$B$24,'Sample Size cal and results'!$D$23:$D$24)</f>
        <v>71.089016894071108</v>
      </c>
      <c r="G241" s="72" t="str">
        <f>IF(DATEDIF($B241,'Inst summary and ER calculation'!$U$6,"y")=2,"2-3 years","3-4 years")</f>
        <v>3-4 years</v>
      </c>
      <c r="H241" s="69">
        <f t="shared" si="16"/>
        <v>1</v>
      </c>
      <c r="I241" s="142">
        <f>$C241*H241*_xlfn.XLOOKUP($G241,'Sample Size cal and results'!$B$25:$B$26,'Sample Size cal and results'!$D$25:$D$26)</f>
        <v>69.659623635745263</v>
      </c>
    </row>
    <row r="242" spans="1:9" ht="13">
      <c r="A242" s="131" t="s">
        <v>1443</v>
      </c>
      <c r="B242" s="53">
        <v>41839</v>
      </c>
      <c r="C242" s="52">
        <v>56</v>
      </c>
      <c r="D242" s="72" t="str">
        <f>IF(DATEDIF($B242,'Inst summary and ER calculation'!$T$6,"y")=1,"1-2 years","2-3 years")</f>
        <v>2-3 years</v>
      </c>
      <c r="E242" s="69">
        <f t="shared" si="15"/>
        <v>0.99726775956284153</v>
      </c>
      <c r="F242" s="69">
        <f>$C242*E242*_xlfn.XLOOKUP($D242,'Sample Size cal and results'!$B$23:$B$24,'Sample Size cal and results'!$D$23:$D$24)</f>
        <v>56.871213515256883</v>
      </c>
      <c r="G242" s="72" t="str">
        <f>IF(DATEDIF($B242,'Inst summary and ER calculation'!$U$6,"y")=2,"2-3 years","3-4 years")</f>
        <v>3-4 years</v>
      </c>
      <c r="H242" s="69">
        <f t="shared" si="16"/>
        <v>1</v>
      </c>
      <c r="I242" s="142">
        <f>$C242*H242*_xlfn.XLOOKUP($G242,'Sample Size cal and results'!$B$25:$B$26,'Sample Size cal and results'!$D$25:$D$26)</f>
        <v>55.72769890859621</v>
      </c>
    </row>
    <row r="243" spans="1:9" ht="13">
      <c r="A243" s="131" t="s">
        <v>1443</v>
      </c>
      <c r="B243" s="53">
        <v>41840</v>
      </c>
      <c r="C243" s="52">
        <v>64</v>
      </c>
      <c r="D243" s="72" t="str">
        <f>IF(DATEDIF($B243,'Inst summary and ER calculation'!$T$6,"y")=1,"1-2 years","2-3 years")</f>
        <v>2-3 years</v>
      </c>
      <c r="E243" s="69">
        <f t="shared" si="15"/>
        <v>0.99726775956284153</v>
      </c>
      <c r="F243" s="69">
        <f>$C243*E243*_xlfn.XLOOKUP($D243,'Sample Size cal and results'!$B$23:$B$24,'Sample Size cal and results'!$D$23:$D$24)</f>
        <v>64.99567258886502</v>
      </c>
      <c r="G243" s="72" t="str">
        <f>IF(DATEDIF($B243,'Inst summary and ER calculation'!$U$6,"y")=2,"2-3 years","3-4 years")</f>
        <v>3-4 years</v>
      </c>
      <c r="H243" s="69">
        <f t="shared" si="16"/>
        <v>1</v>
      </c>
      <c r="I243" s="142">
        <f>$C243*H243*_xlfn.XLOOKUP($G243,'Sample Size cal and results'!$B$25:$B$26,'Sample Size cal and results'!$D$25:$D$26)</f>
        <v>63.688798752681379</v>
      </c>
    </row>
    <row r="244" spans="1:9" ht="13">
      <c r="A244" s="131" t="s">
        <v>1443</v>
      </c>
      <c r="B244" s="53">
        <v>41841</v>
      </c>
      <c r="C244" s="52">
        <v>56</v>
      </c>
      <c r="D244" s="72" t="str">
        <f>IF(DATEDIF($B244,'Inst summary and ER calculation'!$T$6,"y")=1,"1-2 years","2-3 years")</f>
        <v>2-3 years</v>
      </c>
      <c r="E244" s="69">
        <f t="shared" si="15"/>
        <v>0.99726775956284153</v>
      </c>
      <c r="F244" s="69">
        <f>$C244*E244*_xlfn.XLOOKUP($D244,'Sample Size cal and results'!$B$23:$B$24,'Sample Size cal and results'!$D$23:$D$24)</f>
        <v>56.871213515256883</v>
      </c>
      <c r="G244" s="72" t="str">
        <f>IF(DATEDIF($B244,'Inst summary and ER calculation'!$U$6,"y")=2,"2-3 years","3-4 years")</f>
        <v>3-4 years</v>
      </c>
      <c r="H244" s="69">
        <f t="shared" si="16"/>
        <v>1</v>
      </c>
      <c r="I244" s="142">
        <f>$C244*H244*_xlfn.XLOOKUP($G244,'Sample Size cal and results'!$B$25:$B$26,'Sample Size cal and results'!$D$25:$D$26)</f>
        <v>55.72769890859621</v>
      </c>
    </row>
    <row r="245" spans="1:9" ht="13">
      <c r="A245" s="131" t="s">
        <v>1443</v>
      </c>
      <c r="B245" s="53">
        <v>41842</v>
      </c>
      <c r="C245" s="52">
        <v>59</v>
      </c>
      <c r="D245" s="72" t="str">
        <f>IF(DATEDIF($B245,'Inst summary and ER calculation'!$T$6,"y")=1,"1-2 years","2-3 years")</f>
        <v>2-3 years</v>
      </c>
      <c r="E245" s="69">
        <f t="shared" si="15"/>
        <v>0.99726775956284153</v>
      </c>
      <c r="F245" s="69">
        <f>$C245*E245*_xlfn.XLOOKUP($D245,'Sample Size cal and results'!$B$23:$B$24,'Sample Size cal and results'!$D$23:$D$24)</f>
        <v>59.917885667859935</v>
      </c>
      <c r="G245" s="72" t="str">
        <f>IF(DATEDIF($B245,'Inst summary and ER calculation'!$U$6,"y")=2,"2-3 years","3-4 years")</f>
        <v>3-4 years</v>
      </c>
      <c r="H245" s="69">
        <f t="shared" si="16"/>
        <v>1</v>
      </c>
      <c r="I245" s="142">
        <f>$C245*H245*_xlfn.XLOOKUP($G245,'Sample Size cal and results'!$B$25:$B$26,'Sample Size cal and results'!$D$25:$D$26)</f>
        <v>58.713111350128145</v>
      </c>
    </row>
    <row r="246" spans="1:9" ht="13">
      <c r="A246" s="131" t="s">
        <v>1443</v>
      </c>
      <c r="B246" s="53">
        <v>41843</v>
      </c>
      <c r="C246" s="52">
        <v>58</v>
      </c>
      <c r="D246" s="72" t="str">
        <f>IF(DATEDIF($B246,'Inst summary and ER calculation'!$T$6,"y")=1,"1-2 years","2-3 years")</f>
        <v>2-3 years</v>
      </c>
      <c r="E246" s="69">
        <f t="shared" si="15"/>
        <v>0.99726775956284153</v>
      </c>
      <c r="F246" s="69">
        <f>$C246*E246*_xlfn.XLOOKUP($D246,'Sample Size cal and results'!$B$23:$B$24,'Sample Size cal and results'!$D$23:$D$24)</f>
        <v>58.902328283658917</v>
      </c>
      <c r="G246" s="72" t="str">
        <f>IF(DATEDIF($B246,'Inst summary and ER calculation'!$U$6,"y")=2,"2-3 years","3-4 years")</f>
        <v>3-4 years</v>
      </c>
      <c r="H246" s="69">
        <f t="shared" si="16"/>
        <v>1</v>
      </c>
      <c r="I246" s="142">
        <f>$C246*H246*_xlfn.XLOOKUP($G246,'Sample Size cal and results'!$B$25:$B$26,'Sample Size cal and results'!$D$25:$D$26)</f>
        <v>57.717973869617502</v>
      </c>
    </row>
    <row r="247" spans="1:9" ht="13">
      <c r="A247" s="131" t="s">
        <v>1443</v>
      </c>
      <c r="B247" s="53">
        <v>41844</v>
      </c>
      <c r="C247" s="52">
        <v>62</v>
      </c>
      <c r="D247" s="72" t="str">
        <f>IF(DATEDIF($B247,'Inst summary and ER calculation'!$T$6,"y")=1,"1-2 years","2-3 years")</f>
        <v>2-3 years</v>
      </c>
      <c r="E247" s="69">
        <f t="shared" si="15"/>
        <v>0.99726775956284153</v>
      </c>
      <c r="F247" s="69">
        <f>$C247*E247*_xlfn.XLOOKUP($D247,'Sample Size cal and results'!$B$23:$B$24,'Sample Size cal and results'!$D$23:$D$24)</f>
        <v>62.964557820462986</v>
      </c>
      <c r="G247" s="72" t="str">
        <f>IF(DATEDIF($B247,'Inst summary and ER calculation'!$U$6,"y")=2,"2-3 years","3-4 years")</f>
        <v>3-4 years</v>
      </c>
      <c r="H247" s="69">
        <f t="shared" si="16"/>
        <v>1</v>
      </c>
      <c r="I247" s="142">
        <f>$C247*H247*_xlfn.XLOOKUP($G247,'Sample Size cal and results'!$B$25:$B$26,'Sample Size cal and results'!$D$25:$D$26)</f>
        <v>61.698523791660087</v>
      </c>
    </row>
    <row r="248" spans="1:9" ht="13">
      <c r="A248" s="131" t="s">
        <v>1443</v>
      </c>
      <c r="B248" s="53">
        <v>41845</v>
      </c>
      <c r="C248" s="52">
        <v>59</v>
      </c>
      <c r="D248" s="72" t="str">
        <f>IF(DATEDIF($B248,'Inst summary and ER calculation'!$T$6,"y")=1,"1-2 years","2-3 years")</f>
        <v>2-3 years</v>
      </c>
      <c r="E248" s="69">
        <f t="shared" si="15"/>
        <v>0.99726775956284153</v>
      </c>
      <c r="F248" s="69">
        <f>$C248*E248*_xlfn.XLOOKUP($D248,'Sample Size cal and results'!$B$23:$B$24,'Sample Size cal and results'!$D$23:$D$24)</f>
        <v>59.917885667859935</v>
      </c>
      <c r="G248" s="72" t="str">
        <f>IF(DATEDIF($B248,'Inst summary and ER calculation'!$U$6,"y")=2,"2-3 years","3-4 years")</f>
        <v>3-4 years</v>
      </c>
      <c r="H248" s="69">
        <f t="shared" si="16"/>
        <v>1</v>
      </c>
      <c r="I248" s="142">
        <f>$C248*H248*_xlfn.XLOOKUP($G248,'Sample Size cal and results'!$B$25:$B$26,'Sample Size cal and results'!$D$25:$D$26)</f>
        <v>58.713111350128145</v>
      </c>
    </row>
    <row r="249" spans="1:9" ht="13">
      <c r="A249" s="131" t="s">
        <v>1443</v>
      </c>
      <c r="B249" s="53">
        <v>41846</v>
      </c>
      <c r="C249" s="52">
        <v>50</v>
      </c>
      <c r="D249" s="72" t="str">
        <f>IF(DATEDIF($B249,'Inst summary and ER calculation'!$T$6,"y")=1,"1-2 years","2-3 years")</f>
        <v>2-3 years</v>
      </c>
      <c r="E249" s="69">
        <f t="shared" si="15"/>
        <v>0.99726775956284153</v>
      </c>
      <c r="F249" s="69">
        <f>$C249*E249*_xlfn.XLOOKUP($D249,'Sample Size cal and results'!$B$23:$B$24,'Sample Size cal and results'!$D$23:$D$24)</f>
        <v>50.777869210050795</v>
      </c>
      <c r="G249" s="72" t="str">
        <f>IF(DATEDIF($B249,'Inst summary and ER calculation'!$U$6,"y")=2,"2-3 years","3-4 years")</f>
        <v>3-4 years</v>
      </c>
      <c r="H249" s="69">
        <f t="shared" si="16"/>
        <v>1</v>
      </c>
      <c r="I249" s="142">
        <f>$C249*H249*_xlfn.XLOOKUP($G249,'Sample Size cal and results'!$B$25:$B$26,'Sample Size cal and results'!$D$25:$D$26)</f>
        <v>49.756874025532326</v>
      </c>
    </row>
    <row r="250" spans="1:9" ht="13">
      <c r="A250" s="131" t="s">
        <v>1443</v>
      </c>
      <c r="B250" s="53">
        <v>41847</v>
      </c>
      <c r="C250" s="52">
        <v>36</v>
      </c>
      <c r="D250" s="72" t="str">
        <f>IF(DATEDIF($B250,'Inst summary and ER calculation'!$T$6,"y")=1,"1-2 years","2-3 years")</f>
        <v>2-3 years</v>
      </c>
      <c r="E250" s="69">
        <f t="shared" si="15"/>
        <v>0.99726775956284153</v>
      </c>
      <c r="F250" s="69">
        <f>$C250*E250*_xlfn.XLOOKUP($D250,'Sample Size cal and results'!$B$23:$B$24,'Sample Size cal and results'!$D$23:$D$24)</f>
        <v>36.560065831236571</v>
      </c>
      <c r="G250" s="72" t="str">
        <f>IF(DATEDIF($B250,'Inst summary and ER calculation'!$U$6,"y")=2,"2-3 years","3-4 years")</f>
        <v>3-4 years</v>
      </c>
      <c r="H250" s="69">
        <f t="shared" si="16"/>
        <v>1</v>
      </c>
      <c r="I250" s="142">
        <f>$C250*H250*_xlfn.XLOOKUP($G250,'Sample Size cal and results'!$B$25:$B$26,'Sample Size cal and results'!$D$25:$D$26)</f>
        <v>35.824949298383274</v>
      </c>
    </row>
    <row r="251" spans="1:9" ht="13">
      <c r="A251" s="131" t="s">
        <v>1443</v>
      </c>
      <c r="B251" s="53">
        <v>41848</v>
      </c>
      <c r="C251" s="52">
        <v>40</v>
      </c>
      <c r="D251" s="72" t="str">
        <f>IF(DATEDIF($B251,'Inst summary and ER calculation'!$T$6,"y")=1,"1-2 years","2-3 years")</f>
        <v>2-3 years</v>
      </c>
      <c r="E251" s="69">
        <f t="shared" si="15"/>
        <v>0.99726775956284153</v>
      </c>
      <c r="F251" s="69">
        <f>$C251*E251*_xlfn.XLOOKUP($D251,'Sample Size cal and results'!$B$23:$B$24,'Sample Size cal and results'!$D$23:$D$24)</f>
        <v>40.622295368040632</v>
      </c>
      <c r="G251" s="72" t="str">
        <f>IF(DATEDIF($B251,'Inst summary and ER calculation'!$U$6,"y")=2,"2-3 years","3-4 years")</f>
        <v>3-4 years</v>
      </c>
      <c r="H251" s="69">
        <f t="shared" si="16"/>
        <v>1</v>
      </c>
      <c r="I251" s="142">
        <f>$C251*H251*_xlfn.XLOOKUP($G251,'Sample Size cal and results'!$B$25:$B$26,'Sample Size cal and results'!$D$25:$D$26)</f>
        <v>39.805499220425858</v>
      </c>
    </row>
    <row r="252" spans="1:9" ht="13">
      <c r="A252" s="131" t="s">
        <v>1443</v>
      </c>
      <c r="B252" s="53">
        <v>41849</v>
      </c>
      <c r="C252" s="52">
        <v>36</v>
      </c>
      <c r="D252" s="72" t="str">
        <f>IF(DATEDIF($B252,'Inst summary and ER calculation'!$T$6,"y")=1,"1-2 years","2-3 years")</f>
        <v>2-3 years</v>
      </c>
      <c r="E252" s="69">
        <f t="shared" si="15"/>
        <v>0.99726775956284153</v>
      </c>
      <c r="F252" s="69">
        <f>$C252*E252*_xlfn.XLOOKUP($D252,'Sample Size cal and results'!$B$23:$B$24,'Sample Size cal and results'!$D$23:$D$24)</f>
        <v>36.560065831236571</v>
      </c>
      <c r="G252" s="72" t="str">
        <f>IF(DATEDIF($B252,'Inst summary and ER calculation'!$U$6,"y")=2,"2-3 years","3-4 years")</f>
        <v>3-4 years</v>
      </c>
      <c r="H252" s="69">
        <f t="shared" si="16"/>
        <v>1</v>
      </c>
      <c r="I252" s="142">
        <f>$C252*H252*_xlfn.XLOOKUP($G252,'Sample Size cal and results'!$B$25:$B$26,'Sample Size cal and results'!$D$25:$D$26)</f>
        <v>35.824949298383274</v>
      </c>
    </row>
    <row r="253" spans="1:9" ht="13">
      <c r="A253" s="131" t="s">
        <v>1443</v>
      </c>
      <c r="B253" s="53">
        <v>41850</v>
      </c>
      <c r="C253" s="52">
        <v>40</v>
      </c>
      <c r="D253" s="72" t="str">
        <f>IF(DATEDIF($B253,'Inst summary and ER calculation'!$T$6,"y")=1,"1-2 years","2-3 years")</f>
        <v>2-3 years</v>
      </c>
      <c r="E253" s="69">
        <f t="shared" si="15"/>
        <v>0.99726775956284153</v>
      </c>
      <c r="F253" s="69">
        <f>$C253*E253*_xlfn.XLOOKUP($D253,'Sample Size cal and results'!$B$23:$B$24,'Sample Size cal and results'!$D$23:$D$24)</f>
        <v>40.622295368040632</v>
      </c>
      <c r="G253" s="72" t="str">
        <f>IF(DATEDIF($B253,'Inst summary and ER calculation'!$U$6,"y")=2,"2-3 years","3-4 years")</f>
        <v>3-4 years</v>
      </c>
      <c r="H253" s="69">
        <f t="shared" si="16"/>
        <v>1</v>
      </c>
      <c r="I253" s="142">
        <f>$C253*H253*_xlfn.XLOOKUP($G253,'Sample Size cal and results'!$B$25:$B$26,'Sample Size cal and results'!$D$25:$D$26)</f>
        <v>39.805499220425858</v>
      </c>
    </row>
    <row r="254" spans="1:9" ht="13">
      <c r="A254" s="131" t="s">
        <v>1443</v>
      </c>
      <c r="B254" s="53">
        <v>41851</v>
      </c>
      <c r="C254" s="52">
        <v>18</v>
      </c>
      <c r="D254" s="72" t="str">
        <f>IF(DATEDIF($B254,'Inst summary and ER calculation'!$T$6,"y")=1,"1-2 years","2-3 years")</f>
        <v>2-3 years</v>
      </c>
      <c r="E254" s="69">
        <f t="shared" si="15"/>
        <v>0.99726775956284153</v>
      </c>
      <c r="F254" s="69">
        <f>$C254*E254*_xlfn.XLOOKUP($D254,'Sample Size cal and results'!$B$23:$B$24,'Sample Size cal and results'!$D$23:$D$24)</f>
        <v>18.280032915618285</v>
      </c>
      <c r="G254" s="72" t="str">
        <f>IF(DATEDIF($B254,'Inst summary and ER calculation'!$U$6,"y")=2,"2-3 years","3-4 years")</f>
        <v>3-4 years</v>
      </c>
      <c r="H254" s="69">
        <f t="shared" si="16"/>
        <v>1</v>
      </c>
      <c r="I254" s="142">
        <f>$C254*H254*_xlfn.XLOOKUP($G254,'Sample Size cal and results'!$B$25:$B$26,'Sample Size cal and results'!$D$25:$D$26)</f>
        <v>17.912474649191637</v>
      </c>
    </row>
    <row r="255" spans="1:9" ht="13">
      <c r="A255" s="131" t="s">
        <v>1443</v>
      </c>
      <c r="B255" s="53">
        <v>41852</v>
      </c>
      <c r="C255" s="52">
        <v>14</v>
      </c>
      <c r="D255" s="72" t="str">
        <f>IF(DATEDIF($B255,'Inst summary and ER calculation'!$T$6,"y")=1,"1-2 years","2-3 years")</f>
        <v>2-3 years</v>
      </c>
      <c r="E255" s="69">
        <f t="shared" si="15"/>
        <v>0.99726775956284153</v>
      </c>
      <c r="F255" s="69">
        <f>$C255*E255*_xlfn.XLOOKUP($D255,'Sample Size cal and results'!$B$23:$B$24,'Sample Size cal and results'!$D$23:$D$24)</f>
        <v>14.217803378814221</v>
      </c>
      <c r="G255" s="72" t="str">
        <f>IF(DATEDIF($B255,'Inst summary and ER calculation'!$U$6,"y")=2,"2-3 years","3-4 years")</f>
        <v>3-4 years</v>
      </c>
      <c r="H255" s="69">
        <f t="shared" si="16"/>
        <v>1</v>
      </c>
      <c r="I255" s="142">
        <f>$C255*H255*_xlfn.XLOOKUP($G255,'Sample Size cal and results'!$B$25:$B$26,'Sample Size cal and results'!$D$25:$D$26)</f>
        <v>13.931924727149053</v>
      </c>
    </row>
    <row r="256" spans="1:9" ht="13">
      <c r="A256" s="131" t="s">
        <v>1443</v>
      </c>
      <c r="B256" s="53">
        <v>41853</v>
      </c>
      <c r="C256" s="52">
        <v>17</v>
      </c>
      <c r="D256" s="72" t="str">
        <f>IF(DATEDIF($B256,'Inst summary and ER calculation'!$T$6,"y")=1,"1-2 years","2-3 years")</f>
        <v>2-3 years</v>
      </c>
      <c r="E256" s="69">
        <f t="shared" si="15"/>
        <v>0.99726775956284153</v>
      </c>
      <c r="F256" s="69">
        <f>$C256*E256*_xlfn.XLOOKUP($D256,'Sample Size cal and results'!$B$23:$B$24,'Sample Size cal and results'!$D$23:$D$24)</f>
        <v>17.264475531417268</v>
      </c>
      <c r="G256" s="72" t="str">
        <f>IF(DATEDIF($B256,'Inst summary and ER calculation'!$U$6,"y")=2,"2-3 years","3-4 years")</f>
        <v>3-4 years</v>
      </c>
      <c r="H256" s="69">
        <f t="shared" si="16"/>
        <v>1</v>
      </c>
      <c r="I256" s="142">
        <f>$C256*H256*_xlfn.XLOOKUP($G256,'Sample Size cal and results'!$B$25:$B$26,'Sample Size cal and results'!$D$25:$D$26)</f>
        <v>16.917337168680991</v>
      </c>
    </row>
    <row r="257" spans="1:9" ht="13">
      <c r="A257" s="131" t="s">
        <v>1443</v>
      </c>
      <c r="B257" s="53">
        <v>41854</v>
      </c>
      <c r="C257" s="52">
        <v>18</v>
      </c>
      <c r="D257" s="72" t="str">
        <f>IF(DATEDIF($B257,'Inst summary and ER calculation'!$T$6,"y")=1,"1-2 years","2-3 years")</f>
        <v>2-3 years</v>
      </c>
      <c r="E257" s="69">
        <f t="shared" si="15"/>
        <v>0.99726775956284153</v>
      </c>
      <c r="F257" s="69">
        <f>$C257*E257*_xlfn.XLOOKUP($D257,'Sample Size cal and results'!$B$23:$B$24,'Sample Size cal and results'!$D$23:$D$24)</f>
        <v>18.280032915618285</v>
      </c>
      <c r="G257" s="72" t="str">
        <f>IF(DATEDIF($B257,'Inst summary and ER calculation'!$U$6,"y")=2,"2-3 years","3-4 years")</f>
        <v>3-4 years</v>
      </c>
      <c r="H257" s="69">
        <f t="shared" si="16"/>
        <v>1</v>
      </c>
      <c r="I257" s="142">
        <f>$C257*H257*_xlfn.XLOOKUP($G257,'Sample Size cal and results'!$B$25:$B$26,'Sample Size cal and results'!$D$25:$D$26)</f>
        <v>17.912474649191637</v>
      </c>
    </row>
    <row r="258" spans="1:9" ht="13">
      <c r="A258" s="131" t="s">
        <v>1443</v>
      </c>
      <c r="B258" s="53">
        <v>41855</v>
      </c>
      <c r="C258" s="52">
        <v>21</v>
      </c>
      <c r="D258" s="72" t="str">
        <f>IF(DATEDIF($B258,'Inst summary and ER calculation'!$T$6,"y")=1,"1-2 years","2-3 years")</f>
        <v>2-3 years</v>
      </c>
      <c r="E258" s="69">
        <f t="shared" ref="E258:E321" si="17">MAX(MIN($T$6)-MAX($T$4,$B258,_xlfn.XLOOKUP($A258,$W$1:$W$36,$X$1:$X$36))+1,0)/366</f>
        <v>0.99726775956284153</v>
      </c>
      <c r="F258" s="69">
        <f>$C258*E258*_xlfn.XLOOKUP($D258,'Sample Size cal and results'!$B$23:$B$24,'Sample Size cal and results'!$D$23:$D$24)</f>
        <v>21.326705068221333</v>
      </c>
      <c r="G258" s="72" t="str">
        <f>IF(DATEDIF($B258,'Inst summary and ER calculation'!$U$6,"y")=2,"2-3 years","3-4 years")</f>
        <v>3-4 years</v>
      </c>
      <c r="H258" s="69">
        <f t="shared" ref="H258:H321" si="18">MAX(MIN($U$6)-MAX($U$4,$B258,_xlfn.XLOOKUP($A258,$W$1:$W$36,$X$1:$X$36))+1,0)/365</f>
        <v>1</v>
      </c>
      <c r="I258" s="142">
        <f>$C258*H258*_xlfn.XLOOKUP($G258,'Sample Size cal and results'!$B$25:$B$26,'Sample Size cal and results'!$D$25:$D$26)</f>
        <v>20.897887090723579</v>
      </c>
    </row>
    <row r="259" spans="1:9" ht="13">
      <c r="A259" s="131" t="s">
        <v>1443</v>
      </c>
      <c r="B259" s="53">
        <v>41856</v>
      </c>
      <c r="C259" s="52">
        <v>36</v>
      </c>
      <c r="D259" s="72" t="str">
        <f>IF(DATEDIF($B259,'Inst summary and ER calculation'!$T$6,"y")=1,"1-2 years","2-3 years")</f>
        <v>2-3 years</v>
      </c>
      <c r="E259" s="69">
        <f t="shared" si="17"/>
        <v>0.99726775956284153</v>
      </c>
      <c r="F259" s="69">
        <f>$C259*E259*_xlfn.XLOOKUP($D259,'Sample Size cal and results'!$B$23:$B$24,'Sample Size cal and results'!$D$23:$D$24)</f>
        <v>36.560065831236571</v>
      </c>
      <c r="G259" s="72" t="str">
        <f>IF(DATEDIF($B259,'Inst summary and ER calculation'!$U$6,"y")=2,"2-3 years","3-4 years")</f>
        <v>3-4 years</v>
      </c>
      <c r="H259" s="69">
        <f t="shared" si="18"/>
        <v>1</v>
      </c>
      <c r="I259" s="142">
        <f>$C259*H259*_xlfn.XLOOKUP($G259,'Sample Size cal and results'!$B$25:$B$26,'Sample Size cal and results'!$D$25:$D$26)</f>
        <v>35.824949298383274</v>
      </c>
    </row>
    <row r="260" spans="1:9" ht="13">
      <c r="A260" s="131" t="s">
        <v>1443</v>
      </c>
      <c r="B260" s="53">
        <v>41857</v>
      </c>
      <c r="C260" s="52">
        <v>21</v>
      </c>
      <c r="D260" s="72" t="str">
        <f>IF(DATEDIF($B260,'Inst summary and ER calculation'!$T$6,"y")=1,"1-2 years","2-3 years")</f>
        <v>2-3 years</v>
      </c>
      <c r="E260" s="69">
        <f t="shared" si="17"/>
        <v>0.99726775956284153</v>
      </c>
      <c r="F260" s="69">
        <f>$C260*E260*_xlfn.XLOOKUP($D260,'Sample Size cal and results'!$B$23:$B$24,'Sample Size cal and results'!$D$23:$D$24)</f>
        <v>21.326705068221333</v>
      </c>
      <c r="G260" s="72" t="str">
        <f>IF(DATEDIF($B260,'Inst summary and ER calculation'!$U$6,"y")=2,"2-3 years","3-4 years")</f>
        <v>3-4 years</v>
      </c>
      <c r="H260" s="69">
        <f t="shared" si="18"/>
        <v>1</v>
      </c>
      <c r="I260" s="142">
        <f>$C260*H260*_xlfn.XLOOKUP($G260,'Sample Size cal and results'!$B$25:$B$26,'Sample Size cal and results'!$D$25:$D$26)</f>
        <v>20.897887090723579</v>
      </c>
    </row>
    <row r="261" spans="1:9" ht="13">
      <c r="A261" s="131" t="s">
        <v>1443</v>
      </c>
      <c r="B261" s="53">
        <v>41858</v>
      </c>
      <c r="C261" s="52">
        <v>20</v>
      </c>
      <c r="D261" s="72" t="str">
        <f>IF(DATEDIF($B261,'Inst summary and ER calculation'!$T$6,"y")=1,"1-2 years","2-3 years")</f>
        <v>2-3 years</v>
      </c>
      <c r="E261" s="69">
        <f t="shared" si="17"/>
        <v>0.99726775956284153</v>
      </c>
      <c r="F261" s="69">
        <f>$C261*E261*_xlfn.XLOOKUP($D261,'Sample Size cal and results'!$B$23:$B$24,'Sample Size cal and results'!$D$23:$D$24)</f>
        <v>20.311147684020316</v>
      </c>
      <c r="G261" s="72" t="str">
        <f>IF(DATEDIF($B261,'Inst summary and ER calculation'!$U$6,"y")=2,"2-3 years","3-4 years")</f>
        <v>3-4 years</v>
      </c>
      <c r="H261" s="69">
        <f t="shared" si="18"/>
        <v>1</v>
      </c>
      <c r="I261" s="142">
        <f>$C261*H261*_xlfn.XLOOKUP($G261,'Sample Size cal and results'!$B$25:$B$26,'Sample Size cal and results'!$D$25:$D$26)</f>
        <v>19.902749610212929</v>
      </c>
    </row>
    <row r="262" spans="1:9" ht="13">
      <c r="A262" s="131" t="s">
        <v>1443</v>
      </c>
      <c r="B262" s="53">
        <v>41859</v>
      </c>
      <c r="C262" s="52">
        <v>19</v>
      </c>
      <c r="D262" s="72" t="str">
        <f>IF(DATEDIF($B262,'Inst summary and ER calculation'!$T$6,"y")=1,"1-2 years","2-3 years")</f>
        <v>2-3 years</v>
      </c>
      <c r="E262" s="69">
        <f t="shared" si="17"/>
        <v>0.99726775956284153</v>
      </c>
      <c r="F262" s="69">
        <f>$C262*E262*_xlfn.XLOOKUP($D262,'Sample Size cal and results'!$B$23:$B$24,'Sample Size cal and results'!$D$23:$D$24)</f>
        <v>19.295590299819299</v>
      </c>
      <c r="G262" s="72" t="str">
        <f>IF(DATEDIF($B262,'Inst summary and ER calculation'!$U$6,"y")=2,"2-3 years","3-4 years")</f>
        <v>3-4 years</v>
      </c>
      <c r="H262" s="69">
        <f t="shared" si="18"/>
        <v>1</v>
      </c>
      <c r="I262" s="142">
        <f>$C262*H262*_xlfn.XLOOKUP($G262,'Sample Size cal and results'!$B$25:$B$26,'Sample Size cal and results'!$D$25:$D$26)</f>
        <v>18.907612129702283</v>
      </c>
    </row>
    <row r="263" spans="1:9" ht="13">
      <c r="A263" s="131" t="s">
        <v>1443</v>
      </c>
      <c r="B263" s="53">
        <v>41860</v>
      </c>
      <c r="C263" s="52">
        <v>27</v>
      </c>
      <c r="D263" s="72" t="str">
        <f>IF(DATEDIF($B263,'Inst summary and ER calculation'!$T$6,"y")=1,"1-2 years","2-3 years")</f>
        <v>2-3 years</v>
      </c>
      <c r="E263" s="69">
        <f t="shared" si="17"/>
        <v>0.99726775956284153</v>
      </c>
      <c r="F263" s="69">
        <f>$C263*E263*_xlfn.XLOOKUP($D263,'Sample Size cal and results'!$B$23:$B$24,'Sample Size cal and results'!$D$23:$D$24)</f>
        <v>27.420049373427428</v>
      </c>
      <c r="G263" s="72" t="str">
        <f>IF(DATEDIF($B263,'Inst summary and ER calculation'!$U$6,"y")=2,"2-3 years","3-4 years")</f>
        <v>3-4 years</v>
      </c>
      <c r="H263" s="69">
        <f t="shared" si="18"/>
        <v>1</v>
      </c>
      <c r="I263" s="142">
        <f>$C263*H263*_xlfn.XLOOKUP($G263,'Sample Size cal and results'!$B$25:$B$26,'Sample Size cal and results'!$D$25:$D$26)</f>
        <v>26.868711973787455</v>
      </c>
    </row>
    <row r="264" spans="1:9" ht="13">
      <c r="A264" s="131" t="s">
        <v>1443</v>
      </c>
      <c r="B264" s="53">
        <v>41861</v>
      </c>
      <c r="C264" s="52">
        <v>26</v>
      </c>
      <c r="D264" s="72" t="str">
        <f>IF(DATEDIF($B264,'Inst summary and ER calculation'!$T$6,"y")=1,"1-2 years","2-3 years")</f>
        <v>2-3 years</v>
      </c>
      <c r="E264" s="69">
        <f t="shared" si="17"/>
        <v>0.99726775956284153</v>
      </c>
      <c r="F264" s="69">
        <f>$C264*E264*_xlfn.XLOOKUP($D264,'Sample Size cal and results'!$B$23:$B$24,'Sample Size cal and results'!$D$23:$D$24)</f>
        <v>26.404491989226415</v>
      </c>
      <c r="G264" s="72" t="str">
        <f>IF(DATEDIF($B264,'Inst summary and ER calculation'!$U$6,"y")=2,"2-3 years","3-4 years")</f>
        <v>3-4 years</v>
      </c>
      <c r="H264" s="69">
        <f t="shared" si="18"/>
        <v>1</v>
      </c>
      <c r="I264" s="142">
        <f>$C264*H264*_xlfn.XLOOKUP($G264,'Sample Size cal and results'!$B$25:$B$26,'Sample Size cal and results'!$D$25:$D$26)</f>
        <v>25.873574493276809</v>
      </c>
    </row>
    <row r="265" spans="1:9" ht="13">
      <c r="A265" s="131" t="s">
        <v>1443</v>
      </c>
      <c r="B265" s="53">
        <v>41862</v>
      </c>
      <c r="C265" s="52">
        <v>33</v>
      </c>
      <c r="D265" s="72" t="str">
        <f>IF(DATEDIF($B265,'Inst summary and ER calculation'!$T$6,"y")=1,"1-2 years","2-3 years")</f>
        <v>2-3 years</v>
      </c>
      <c r="E265" s="69">
        <f t="shared" si="17"/>
        <v>0.99726775956284153</v>
      </c>
      <c r="F265" s="69">
        <f>$C265*E265*_xlfn.XLOOKUP($D265,'Sample Size cal and results'!$B$23:$B$24,'Sample Size cal and results'!$D$23:$D$24)</f>
        <v>33.513393678633527</v>
      </c>
      <c r="G265" s="72" t="str">
        <f>IF(DATEDIF($B265,'Inst summary and ER calculation'!$U$6,"y")=2,"2-3 years","3-4 years")</f>
        <v>3-4 years</v>
      </c>
      <c r="H265" s="69">
        <f t="shared" si="18"/>
        <v>1</v>
      </c>
      <c r="I265" s="142">
        <f>$C265*H265*_xlfn.XLOOKUP($G265,'Sample Size cal and results'!$B$25:$B$26,'Sample Size cal and results'!$D$25:$D$26)</f>
        <v>32.839536856851339</v>
      </c>
    </row>
    <row r="266" spans="1:9" ht="13">
      <c r="A266" s="131" t="s">
        <v>1443</v>
      </c>
      <c r="B266" s="53">
        <v>41863</v>
      </c>
      <c r="C266" s="52">
        <v>49</v>
      </c>
      <c r="D266" s="72" t="str">
        <f>IF(DATEDIF($B266,'Inst summary and ER calculation'!$T$6,"y")=1,"1-2 years","2-3 years")</f>
        <v>2-3 years</v>
      </c>
      <c r="E266" s="69">
        <f t="shared" si="17"/>
        <v>0.99726775956284153</v>
      </c>
      <c r="F266" s="69">
        <f>$C266*E266*_xlfn.XLOOKUP($D266,'Sample Size cal and results'!$B$23:$B$24,'Sample Size cal and results'!$D$23:$D$24)</f>
        <v>49.762311825849778</v>
      </c>
      <c r="G266" s="72" t="str">
        <f>IF(DATEDIF($B266,'Inst summary and ER calculation'!$U$6,"y")=2,"2-3 years","3-4 years")</f>
        <v>3-4 years</v>
      </c>
      <c r="H266" s="69">
        <f t="shared" si="18"/>
        <v>1</v>
      </c>
      <c r="I266" s="142">
        <f>$C266*H266*_xlfn.XLOOKUP($G266,'Sample Size cal and results'!$B$25:$B$26,'Sample Size cal and results'!$D$25:$D$26)</f>
        <v>48.761736545021684</v>
      </c>
    </row>
    <row r="267" spans="1:9" ht="13">
      <c r="A267" s="131" t="s">
        <v>1443</v>
      </c>
      <c r="B267" s="53">
        <v>41864</v>
      </c>
      <c r="C267" s="52">
        <v>45</v>
      </c>
      <c r="D267" s="72" t="str">
        <f>IF(DATEDIF($B267,'Inst summary and ER calculation'!$T$6,"y")=1,"1-2 years","2-3 years")</f>
        <v>2-3 years</v>
      </c>
      <c r="E267" s="69">
        <f t="shared" si="17"/>
        <v>0.99726775956284153</v>
      </c>
      <c r="F267" s="69">
        <f>$C267*E267*_xlfn.XLOOKUP($D267,'Sample Size cal and results'!$B$23:$B$24,'Sample Size cal and results'!$D$23:$D$24)</f>
        <v>45.70008228904571</v>
      </c>
      <c r="G267" s="72" t="str">
        <f>IF(DATEDIF($B267,'Inst summary and ER calculation'!$U$6,"y")=2,"2-3 years","3-4 years")</f>
        <v>3-4 years</v>
      </c>
      <c r="H267" s="69">
        <f t="shared" si="18"/>
        <v>1</v>
      </c>
      <c r="I267" s="142">
        <f>$C267*H267*_xlfn.XLOOKUP($G267,'Sample Size cal and results'!$B$25:$B$26,'Sample Size cal and results'!$D$25:$D$26)</f>
        <v>44.781186622979092</v>
      </c>
    </row>
    <row r="268" spans="1:9" ht="13">
      <c r="A268" s="131" t="s">
        <v>1443</v>
      </c>
      <c r="B268" s="53">
        <v>41865</v>
      </c>
      <c r="C268" s="52">
        <v>62</v>
      </c>
      <c r="D268" s="72" t="str">
        <f>IF(DATEDIF($B268,'Inst summary and ER calculation'!$T$6,"y")=1,"1-2 years","2-3 years")</f>
        <v>2-3 years</v>
      </c>
      <c r="E268" s="69">
        <f t="shared" si="17"/>
        <v>0.99726775956284153</v>
      </c>
      <c r="F268" s="69">
        <f>$C268*E268*_xlfn.XLOOKUP($D268,'Sample Size cal and results'!$B$23:$B$24,'Sample Size cal and results'!$D$23:$D$24)</f>
        <v>62.964557820462986</v>
      </c>
      <c r="G268" s="72" t="str">
        <f>IF(DATEDIF($B268,'Inst summary and ER calculation'!$U$6,"y")=2,"2-3 years","3-4 years")</f>
        <v>3-4 years</v>
      </c>
      <c r="H268" s="69">
        <f t="shared" si="18"/>
        <v>1</v>
      </c>
      <c r="I268" s="142">
        <f>$C268*H268*_xlfn.XLOOKUP($G268,'Sample Size cal and results'!$B$25:$B$26,'Sample Size cal and results'!$D$25:$D$26)</f>
        <v>61.698523791660087</v>
      </c>
    </row>
    <row r="269" spans="1:9" ht="13">
      <c r="A269" s="131" t="s">
        <v>1443</v>
      </c>
      <c r="B269" s="53">
        <v>41866</v>
      </c>
      <c r="C269" s="52">
        <v>66</v>
      </c>
      <c r="D269" s="72" t="str">
        <f>IF(DATEDIF($B269,'Inst summary and ER calculation'!$T$6,"y")=1,"1-2 years","2-3 years")</f>
        <v>2-3 years</v>
      </c>
      <c r="E269" s="69">
        <f t="shared" si="17"/>
        <v>0.99726775956284153</v>
      </c>
      <c r="F269" s="69">
        <f>$C269*E269*_xlfn.XLOOKUP($D269,'Sample Size cal and results'!$B$23:$B$24,'Sample Size cal and results'!$D$23:$D$24)</f>
        <v>67.026787357267054</v>
      </c>
      <c r="G269" s="72" t="str">
        <f>IF(DATEDIF($B269,'Inst summary and ER calculation'!$U$6,"y")=2,"2-3 years","3-4 years")</f>
        <v>3-4 years</v>
      </c>
      <c r="H269" s="69">
        <f t="shared" si="18"/>
        <v>1</v>
      </c>
      <c r="I269" s="142">
        <f>$C269*H269*_xlfn.XLOOKUP($G269,'Sample Size cal and results'!$B$25:$B$26,'Sample Size cal and results'!$D$25:$D$26)</f>
        <v>65.679073713702678</v>
      </c>
    </row>
    <row r="270" spans="1:9" ht="13">
      <c r="A270" s="131" t="s">
        <v>1443</v>
      </c>
      <c r="B270" s="53">
        <v>41867</v>
      </c>
      <c r="C270" s="52">
        <v>52</v>
      </c>
      <c r="D270" s="72" t="str">
        <f>IF(DATEDIF($B270,'Inst summary and ER calculation'!$T$6,"y")=1,"1-2 years","2-3 years")</f>
        <v>2-3 years</v>
      </c>
      <c r="E270" s="69">
        <f t="shared" si="17"/>
        <v>0.99726775956284153</v>
      </c>
      <c r="F270" s="69">
        <f>$C270*E270*_xlfn.XLOOKUP($D270,'Sample Size cal and results'!$B$23:$B$24,'Sample Size cal and results'!$D$23:$D$24)</f>
        <v>52.808983978452829</v>
      </c>
      <c r="G270" s="72" t="str">
        <f>IF(DATEDIF($B270,'Inst summary and ER calculation'!$U$6,"y")=2,"2-3 years","3-4 years")</f>
        <v>3-4 years</v>
      </c>
      <c r="H270" s="69">
        <f t="shared" si="18"/>
        <v>1</v>
      </c>
      <c r="I270" s="142">
        <f>$C270*H270*_xlfn.XLOOKUP($G270,'Sample Size cal and results'!$B$25:$B$26,'Sample Size cal and results'!$D$25:$D$26)</f>
        <v>51.747148986553618</v>
      </c>
    </row>
    <row r="271" spans="1:9" ht="13">
      <c r="A271" s="131" t="s">
        <v>1443</v>
      </c>
      <c r="B271" s="53">
        <v>41868</v>
      </c>
      <c r="C271" s="52">
        <v>71</v>
      </c>
      <c r="D271" s="72" t="str">
        <f>IF(DATEDIF($B271,'Inst summary and ER calculation'!$T$6,"y")=1,"1-2 years","2-3 years")</f>
        <v>2-3 years</v>
      </c>
      <c r="E271" s="69">
        <f t="shared" si="17"/>
        <v>0.99726775956284153</v>
      </c>
      <c r="F271" s="69">
        <f>$C271*E271*_xlfn.XLOOKUP($D271,'Sample Size cal and results'!$B$23:$B$24,'Sample Size cal and results'!$D$23:$D$24)</f>
        <v>72.104574278272139</v>
      </c>
      <c r="G271" s="72" t="str">
        <f>IF(DATEDIF($B271,'Inst summary and ER calculation'!$U$6,"y")=2,"2-3 years","3-4 years")</f>
        <v>3-4 years</v>
      </c>
      <c r="H271" s="69">
        <f t="shared" si="18"/>
        <v>1</v>
      </c>
      <c r="I271" s="142">
        <f>$C271*H271*_xlfn.XLOOKUP($G271,'Sample Size cal and results'!$B$25:$B$26,'Sample Size cal and results'!$D$25:$D$26)</f>
        <v>70.654761116255898</v>
      </c>
    </row>
    <row r="272" spans="1:9" ht="13">
      <c r="A272" s="131" t="s">
        <v>1443</v>
      </c>
      <c r="B272" s="53">
        <v>41869</v>
      </c>
      <c r="C272" s="52">
        <v>69</v>
      </c>
      <c r="D272" s="72" t="str">
        <f>IF(DATEDIF($B272,'Inst summary and ER calculation'!$T$6,"y")=1,"1-2 years","2-3 years")</f>
        <v>2-3 years</v>
      </c>
      <c r="E272" s="69">
        <f t="shared" si="17"/>
        <v>0.99726775956284153</v>
      </c>
      <c r="F272" s="69">
        <f>$C272*E272*_xlfn.XLOOKUP($D272,'Sample Size cal and results'!$B$23:$B$24,'Sample Size cal and results'!$D$23:$D$24)</f>
        <v>70.073459509870091</v>
      </c>
      <c r="G272" s="72" t="str">
        <f>IF(DATEDIF($B272,'Inst summary and ER calculation'!$U$6,"y")=2,"2-3 years","3-4 years")</f>
        <v>3-4 years</v>
      </c>
      <c r="H272" s="69">
        <f t="shared" si="18"/>
        <v>1</v>
      </c>
      <c r="I272" s="142">
        <f>$C272*H272*_xlfn.XLOOKUP($G272,'Sample Size cal and results'!$B$25:$B$26,'Sample Size cal and results'!$D$25:$D$26)</f>
        <v>68.664486155234613</v>
      </c>
    </row>
    <row r="273" spans="1:9" ht="13">
      <c r="A273" s="131" t="s">
        <v>1443</v>
      </c>
      <c r="B273" s="53">
        <v>41870</v>
      </c>
      <c r="C273" s="52">
        <v>82</v>
      </c>
      <c r="D273" s="72" t="str">
        <f>IF(DATEDIF($B273,'Inst summary and ER calculation'!$T$6,"y")=1,"1-2 years","2-3 years")</f>
        <v>2-3 years</v>
      </c>
      <c r="E273" s="69">
        <f t="shared" si="17"/>
        <v>0.99726775956284153</v>
      </c>
      <c r="F273" s="69">
        <f>$C273*E273*_xlfn.XLOOKUP($D273,'Sample Size cal and results'!$B$23:$B$24,'Sample Size cal and results'!$D$23:$D$24)</f>
        <v>83.275705504483312</v>
      </c>
      <c r="G273" s="72" t="str">
        <f>IF(DATEDIF($B273,'Inst summary and ER calculation'!$U$6,"y")=2,"2-3 years","3-4 years")</f>
        <v>3-4 years</v>
      </c>
      <c r="H273" s="69">
        <f t="shared" si="18"/>
        <v>1</v>
      </c>
      <c r="I273" s="142">
        <f>$C273*H273*_xlfn.XLOOKUP($G273,'Sample Size cal and results'!$B$25:$B$26,'Sample Size cal and results'!$D$25:$D$26)</f>
        <v>81.601273401873016</v>
      </c>
    </row>
    <row r="274" spans="1:9" ht="13">
      <c r="A274" s="131" t="s">
        <v>1443</v>
      </c>
      <c r="B274" s="53">
        <v>41871</v>
      </c>
      <c r="C274" s="52">
        <v>59</v>
      </c>
      <c r="D274" s="72" t="str">
        <f>IF(DATEDIF($B274,'Inst summary and ER calculation'!$T$6,"y")=1,"1-2 years","2-3 years")</f>
        <v>2-3 years</v>
      </c>
      <c r="E274" s="69">
        <f t="shared" si="17"/>
        <v>0.99726775956284153</v>
      </c>
      <c r="F274" s="69">
        <f>$C274*E274*_xlfn.XLOOKUP($D274,'Sample Size cal and results'!$B$23:$B$24,'Sample Size cal and results'!$D$23:$D$24)</f>
        <v>59.917885667859935</v>
      </c>
      <c r="G274" s="72" t="str">
        <f>IF(DATEDIF($B274,'Inst summary and ER calculation'!$U$6,"y")=2,"2-3 years","3-4 years")</f>
        <v>3-4 years</v>
      </c>
      <c r="H274" s="69">
        <f t="shared" si="18"/>
        <v>1</v>
      </c>
      <c r="I274" s="142">
        <f>$C274*H274*_xlfn.XLOOKUP($G274,'Sample Size cal and results'!$B$25:$B$26,'Sample Size cal and results'!$D$25:$D$26)</f>
        <v>58.713111350128145</v>
      </c>
    </row>
    <row r="275" spans="1:9" ht="13">
      <c r="A275" s="131" t="s">
        <v>1443</v>
      </c>
      <c r="B275" s="53">
        <v>41872</v>
      </c>
      <c r="C275" s="52">
        <v>75</v>
      </c>
      <c r="D275" s="72" t="str">
        <f>IF(DATEDIF($B275,'Inst summary and ER calculation'!$T$6,"y")=1,"1-2 years","2-3 years")</f>
        <v>2-3 years</v>
      </c>
      <c r="E275" s="69">
        <f t="shared" si="17"/>
        <v>0.99726775956284153</v>
      </c>
      <c r="F275" s="69">
        <f>$C275*E275*_xlfn.XLOOKUP($D275,'Sample Size cal and results'!$B$23:$B$24,'Sample Size cal and results'!$D$23:$D$24)</f>
        <v>76.166803815076179</v>
      </c>
      <c r="G275" s="72" t="str">
        <f>IF(DATEDIF($B275,'Inst summary and ER calculation'!$U$6,"y")=2,"2-3 years","3-4 years")</f>
        <v>3-4 years</v>
      </c>
      <c r="H275" s="69">
        <f t="shared" si="18"/>
        <v>1</v>
      </c>
      <c r="I275" s="142">
        <f>$C275*H275*_xlfn.XLOOKUP($G275,'Sample Size cal and results'!$B$25:$B$26,'Sample Size cal and results'!$D$25:$D$26)</f>
        <v>74.635311038298497</v>
      </c>
    </row>
    <row r="276" spans="1:9" ht="13">
      <c r="A276" s="131" t="s">
        <v>1443</v>
      </c>
      <c r="B276" s="53">
        <v>41873</v>
      </c>
      <c r="C276" s="52">
        <v>73</v>
      </c>
      <c r="D276" s="72" t="str">
        <f>IF(DATEDIF($B276,'Inst summary and ER calculation'!$T$6,"y")=1,"1-2 years","2-3 years")</f>
        <v>2-3 years</v>
      </c>
      <c r="E276" s="69">
        <f t="shared" si="17"/>
        <v>0.99726775956284153</v>
      </c>
      <c r="F276" s="69">
        <f>$C276*E276*_xlfn.XLOOKUP($D276,'Sample Size cal and results'!$B$23:$B$24,'Sample Size cal and results'!$D$23:$D$24)</f>
        <v>74.135689046674159</v>
      </c>
      <c r="G276" s="72" t="str">
        <f>IF(DATEDIF($B276,'Inst summary and ER calculation'!$U$6,"y")=2,"2-3 years","3-4 years")</f>
        <v>3-4 years</v>
      </c>
      <c r="H276" s="69">
        <f t="shared" si="18"/>
        <v>1</v>
      </c>
      <c r="I276" s="142">
        <f>$C276*H276*_xlfn.XLOOKUP($G276,'Sample Size cal and results'!$B$25:$B$26,'Sample Size cal and results'!$D$25:$D$26)</f>
        <v>72.645036077277197</v>
      </c>
    </row>
    <row r="277" spans="1:9" ht="13">
      <c r="A277" s="131" t="s">
        <v>1443</v>
      </c>
      <c r="B277" s="53">
        <v>41874</v>
      </c>
      <c r="C277" s="52">
        <v>86</v>
      </c>
      <c r="D277" s="72" t="str">
        <f>IF(DATEDIF($B277,'Inst summary and ER calculation'!$T$6,"y")=1,"1-2 years","2-3 years")</f>
        <v>2-3 years</v>
      </c>
      <c r="E277" s="69">
        <f t="shared" si="17"/>
        <v>0.99726775956284153</v>
      </c>
      <c r="F277" s="69">
        <f>$C277*E277*_xlfn.XLOOKUP($D277,'Sample Size cal and results'!$B$23:$B$24,'Sample Size cal and results'!$D$23:$D$24)</f>
        <v>87.337935041287352</v>
      </c>
      <c r="G277" s="72" t="str">
        <f>IF(DATEDIF($B277,'Inst summary and ER calculation'!$U$6,"y")=2,"2-3 years","3-4 years")</f>
        <v>3-4 years</v>
      </c>
      <c r="H277" s="69">
        <f t="shared" si="18"/>
        <v>1</v>
      </c>
      <c r="I277" s="142">
        <f>$C277*H277*_xlfn.XLOOKUP($G277,'Sample Size cal and results'!$B$25:$B$26,'Sample Size cal and results'!$D$25:$D$26)</f>
        <v>85.5818233239156</v>
      </c>
    </row>
    <row r="278" spans="1:9" ht="13">
      <c r="A278" s="131" t="s">
        <v>1443</v>
      </c>
      <c r="B278" s="53">
        <v>41875</v>
      </c>
      <c r="C278" s="52">
        <v>71</v>
      </c>
      <c r="D278" s="72" t="str">
        <f>IF(DATEDIF($B278,'Inst summary and ER calculation'!$T$6,"y")=1,"1-2 years","2-3 years")</f>
        <v>2-3 years</v>
      </c>
      <c r="E278" s="69">
        <f t="shared" si="17"/>
        <v>0.99726775956284153</v>
      </c>
      <c r="F278" s="69">
        <f>$C278*E278*_xlfn.XLOOKUP($D278,'Sample Size cal and results'!$B$23:$B$24,'Sample Size cal and results'!$D$23:$D$24)</f>
        <v>72.104574278272139</v>
      </c>
      <c r="G278" s="72" t="str">
        <f>IF(DATEDIF($B278,'Inst summary and ER calculation'!$U$6,"y")=2,"2-3 years","3-4 years")</f>
        <v>3-4 years</v>
      </c>
      <c r="H278" s="69">
        <f t="shared" si="18"/>
        <v>1</v>
      </c>
      <c r="I278" s="142">
        <f>$C278*H278*_xlfn.XLOOKUP($G278,'Sample Size cal and results'!$B$25:$B$26,'Sample Size cal and results'!$D$25:$D$26)</f>
        <v>70.654761116255898</v>
      </c>
    </row>
    <row r="279" spans="1:9" ht="13">
      <c r="A279" s="131" t="s">
        <v>1443</v>
      </c>
      <c r="B279" s="53">
        <v>41876</v>
      </c>
      <c r="C279" s="52">
        <v>66</v>
      </c>
      <c r="D279" s="72" t="str">
        <f>IF(DATEDIF($B279,'Inst summary and ER calculation'!$T$6,"y")=1,"1-2 years","2-3 years")</f>
        <v>2-3 years</v>
      </c>
      <c r="E279" s="69">
        <f t="shared" si="17"/>
        <v>0.99726775956284153</v>
      </c>
      <c r="F279" s="69">
        <f>$C279*E279*_xlfn.XLOOKUP($D279,'Sample Size cal and results'!$B$23:$B$24,'Sample Size cal and results'!$D$23:$D$24)</f>
        <v>67.026787357267054</v>
      </c>
      <c r="G279" s="72" t="str">
        <f>IF(DATEDIF($B279,'Inst summary and ER calculation'!$U$6,"y")=2,"2-3 years","3-4 years")</f>
        <v>3-4 years</v>
      </c>
      <c r="H279" s="69">
        <f t="shared" si="18"/>
        <v>1</v>
      </c>
      <c r="I279" s="142">
        <f>$C279*H279*_xlfn.XLOOKUP($G279,'Sample Size cal and results'!$B$25:$B$26,'Sample Size cal and results'!$D$25:$D$26)</f>
        <v>65.679073713702678</v>
      </c>
    </row>
    <row r="280" spans="1:9" ht="13">
      <c r="A280" s="131" t="s">
        <v>1443</v>
      </c>
      <c r="B280" s="53">
        <v>41877</v>
      </c>
      <c r="C280" s="52">
        <v>63</v>
      </c>
      <c r="D280" s="72" t="str">
        <f>IF(DATEDIF($B280,'Inst summary and ER calculation'!$T$6,"y")=1,"1-2 years","2-3 years")</f>
        <v>2-3 years</v>
      </c>
      <c r="E280" s="69">
        <f t="shared" si="17"/>
        <v>0.99726775956284153</v>
      </c>
      <c r="F280" s="69">
        <f>$C280*E280*_xlfn.XLOOKUP($D280,'Sample Size cal and results'!$B$23:$B$24,'Sample Size cal and results'!$D$23:$D$24)</f>
        <v>63.980115204664003</v>
      </c>
      <c r="G280" s="72" t="str">
        <f>IF(DATEDIF($B280,'Inst summary and ER calculation'!$U$6,"y")=2,"2-3 years","3-4 years")</f>
        <v>3-4 years</v>
      </c>
      <c r="H280" s="69">
        <f t="shared" si="18"/>
        <v>1</v>
      </c>
      <c r="I280" s="142">
        <f>$C280*H280*_xlfn.XLOOKUP($G280,'Sample Size cal and results'!$B$25:$B$26,'Sample Size cal and results'!$D$25:$D$26)</f>
        <v>62.693661272170729</v>
      </c>
    </row>
    <row r="281" spans="1:9" ht="13">
      <c r="A281" s="131" t="s">
        <v>1443</v>
      </c>
      <c r="B281" s="53">
        <v>41878</v>
      </c>
      <c r="C281" s="52">
        <v>52</v>
      </c>
      <c r="D281" s="72" t="str">
        <f>IF(DATEDIF($B281,'Inst summary and ER calculation'!$T$6,"y")=1,"1-2 years","2-3 years")</f>
        <v>2-3 years</v>
      </c>
      <c r="E281" s="69">
        <f t="shared" si="17"/>
        <v>0.99726775956284153</v>
      </c>
      <c r="F281" s="69">
        <f>$C281*E281*_xlfn.XLOOKUP($D281,'Sample Size cal and results'!$B$23:$B$24,'Sample Size cal and results'!$D$23:$D$24)</f>
        <v>52.808983978452829</v>
      </c>
      <c r="G281" s="72" t="str">
        <f>IF(DATEDIF($B281,'Inst summary and ER calculation'!$U$6,"y")=2,"2-3 years","3-4 years")</f>
        <v>3-4 years</v>
      </c>
      <c r="H281" s="69">
        <f t="shared" si="18"/>
        <v>1</v>
      </c>
      <c r="I281" s="142">
        <f>$C281*H281*_xlfn.XLOOKUP($G281,'Sample Size cal and results'!$B$25:$B$26,'Sample Size cal and results'!$D$25:$D$26)</f>
        <v>51.747148986553618</v>
      </c>
    </row>
    <row r="282" spans="1:9" ht="13">
      <c r="A282" s="131" t="s">
        <v>1443</v>
      </c>
      <c r="B282" s="53">
        <v>41879</v>
      </c>
      <c r="C282" s="52">
        <v>48</v>
      </c>
      <c r="D282" s="72" t="str">
        <f>IF(DATEDIF($B282,'Inst summary and ER calculation'!$T$6,"y")=1,"1-2 years","2-3 years")</f>
        <v>2-3 years</v>
      </c>
      <c r="E282" s="69">
        <f t="shared" si="17"/>
        <v>0.99726775956284153</v>
      </c>
      <c r="F282" s="69">
        <f>$C282*E282*_xlfn.XLOOKUP($D282,'Sample Size cal and results'!$B$23:$B$24,'Sample Size cal and results'!$D$23:$D$24)</f>
        <v>48.746754441648761</v>
      </c>
      <c r="G282" s="72" t="str">
        <f>IF(DATEDIF($B282,'Inst summary and ER calculation'!$U$6,"y")=2,"2-3 years","3-4 years")</f>
        <v>3-4 years</v>
      </c>
      <c r="H282" s="69">
        <f t="shared" si="18"/>
        <v>1</v>
      </c>
      <c r="I282" s="142">
        <f>$C282*H282*_xlfn.XLOOKUP($G282,'Sample Size cal and results'!$B$25:$B$26,'Sample Size cal and results'!$D$25:$D$26)</f>
        <v>47.766599064511034</v>
      </c>
    </row>
    <row r="283" spans="1:9" ht="13">
      <c r="A283" s="131" t="s">
        <v>1443</v>
      </c>
      <c r="B283" s="53">
        <v>41880</v>
      </c>
      <c r="C283" s="52">
        <v>51</v>
      </c>
      <c r="D283" s="72" t="str">
        <f>IF(DATEDIF($B283,'Inst summary and ER calculation'!$T$6,"y")=1,"1-2 years","2-3 years")</f>
        <v>2-3 years</v>
      </c>
      <c r="E283" s="69">
        <f t="shared" si="17"/>
        <v>0.99726775956284153</v>
      </c>
      <c r="F283" s="69">
        <f>$C283*E283*_xlfn.XLOOKUP($D283,'Sample Size cal and results'!$B$23:$B$24,'Sample Size cal and results'!$D$23:$D$24)</f>
        <v>51.793426594251805</v>
      </c>
      <c r="G283" s="72" t="str">
        <f>IF(DATEDIF($B283,'Inst summary and ER calculation'!$U$6,"y")=2,"2-3 years","3-4 years")</f>
        <v>3-4 years</v>
      </c>
      <c r="H283" s="69">
        <f t="shared" si="18"/>
        <v>1</v>
      </c>
      <c r="I283" s="142">
        <f>$C283*H283*_xlfn.XLOOKUP($G283,'Sample Size cal and results'!$B$25:$B$26,'Sample Size cal and results'!$D$25:$D$26)</f>
        <v>50.752011506042976</v>
      </c>
    </row>
    <row r="284" spans="1:9" ht="13">
      <c r="A284" s="131" t="s">
        <v>1443</v>
      </c>
      <c r="B284" s="53">
        <v>41881</v>
      </c>
      <c r="C284" s="52">
        <v>59</v>
      </c>
      <c r="D284" s="72" t="str">
        <f>IF(DATEDIF($B284,'Inst summary and ER calculation'!$T$6,"y")=1,"1-2 years","2-3 years")</f>
        <v>2-3 years</v>
      </c>
      <c r="E284" s="69">
        <f t="shared" si="17"/>
        <v>0.99726775956284153</v>
      </c>
      <c r="F284" s="69">
        <f>$C284*E284*_xlfn.XLOOKUP($D284,'Sample Size cal and results'!$B$23:$B$24,'Sample Size cal and results'!$D$23:$D$24)</f>
        <v>59.917885667859935</v>
      </c>
      <c r="G284" s="72" t="str">
        <f>IF(DATEDIF($B284,'Inst summary and ER calculation'!$U$6,"y")=2,"2-3 years","3-4 years")</f>
        <v>3-4 years</v>
      </c>
      <c r="H284" s="69">
        <f t="shared" si="18"/>
        <v>1</v>
      </c>
      <c r="I284" s="142">
        <f>$C284*H284*_xlfn.XLOOKUP($G284,'Sample Size cal and results'!$B$25:$B$26,'Sample Size cal and results'!$D$25:$D$26)</f>
        <v>58.713111350128145</v>
      </c>
    </row>
    <row r="285" spans="1:9" ht="13">
      <c r="A285" s="131" t="s">
        <v>1443</v>
      </c>
      <c r="B285" s="53">
        <v>41882</v>
      </c>
      <c r="C285" s="52">
        <v>10</v>
      </c>
      <c r="D285" s="72" t="str">
        <f>IF(DATEDIF($B285,'Inst summary and ER calculation'!$T$6,"y")=1,"1-2 years","2-3 years")</f>
        <v>2-3 years</v>
      </c>
      <c r="E285" s="69">
        <f t="shared" si="17"/>
        <v>0.99726775956284153</v>
      </c>
      <c r="F285" s="69">
        <f>$C285*E285*_xlfn.XLOOKUP($D285,'Sample Size cal and results'!$B$23:$B$24,'Sample Size cal and results'!$D$23:$D$24)</f>
        <v>10.155573842010158</v>
      </c>
      <c r="G285" s="72" t="str">
        <f>IF(DATEDIF($B285,'Inst summary and ER calculation'!$U$6,"y")=2,"2-3 years","3-4 years")</f>
        <v>3-4 years</v>
      </c>
      <c r="H285" s="69">
        <f t="shared" si="18"/>
        <v>1</v>
      </c>
      <c r="I285" s="142">
        <f>$C285*H285*_xlfn.XLOOKUP($G285,'Sample Size cal and results'!$B$25:$B$26,'Sample Size cal and results'!$D$25:$D$26)</f>
        <v>9.9513748051064645</v>
      </c>
    </row>
    <row r="286" spans="1:9" ht="13">
      <c r="A286" s="131" t="s">
        <v>1443</v>
      </c>
      <c r="B286" s="53">
        <v>41883</v>
      </c>
      <c r="C286" s="52">
        <v>77</v>
      </c>
      <c r="D286" s="72" t="str">
        <f>IF(DATEDIF($B286,'Inst summary and ER calculation'!$T$6,"y")=1,"1-2 years","2-3 years")</f>
        <v>2-3 years</v>
      </c>
      <c r="E286" s="69">
        <f t="shared" si="17"/>
        <v>0.99726775956284153</v>
      </c>
      <c r="F286" s="69">
        <f>$C286*E286*_xlfn.XLOOKUP($D286,'Sample Size cal and results'!$B$23:$B$24,'Sample Size cal and results'!$D$23:$D$24)</f>
        <v>78.197918583478227</v>
      </c>
      <c r="G286" s="72" t="str">
        <f>IF(DATEDIF($B286,'Inst summary and ER calculation'!$U$6,"y")=2,"2-3 years","3-4 years")</f>
        <v>3-4 years</v>
      </c>
      <c r="H286" s="69">
        <f t="shared" si="18"/>
        <v>1</v>
      </c>
      <c r="I286" s="142">
        <f>$C286*H286*_xlfn.XLOOKUP($G286,'Sample Size cal and results'!$B$25:$B$26,'Sample Size cal and results'!$D$25:$D$26)</f>
        <v>76.625585999319782</v>
      </c>
    </row>
    <row r="287" spans="1:9" ht="13">
      <c r="A287" s="131" t="s">
        <v>1443</v>
      </c>
      <c r="B287" s="53">
        <v>41884</v>
      </c>
      <c r="C287" s="52">
        <v>90</v>
      </c>
      <c r="D287" s="72" t="str">
        <f>IF(DATEDIF($B287,'Inst summary and ER calculation'!$T$6,"y")=1,"1-2 years","2-3 years")</f>
        <v>2-3 years</v>
      </c>
      <c r="E287" s="69">
        <f t="shared" si="17"/>
        <v>0.99726775956284153</v>
      </c>
      <c r="F287" s="69">
        <f>$C287*E287*_xlfn.XLOOKUP($D287,'Sample Size cal and results'!$B$23:$B$24,'Sample Size cal and results'!$D$23:$D$24)</f>
        <v>91.40016457809142</v>
      </c>
      <c r="G287" s="72" t="str">
        <f>IF(DATEDIF($B287,'Inst summary and ER calculation'!$U$6,"y")=2,"2-3 years","3-4 years")</f>
        <v>3-4 years</v>
      </c>
      <c r="H287" s="69">
        <f t="shared" si="18"/>
        <v>1</v>
      </c>
      <c r="I287" s="142">
        <f>$C287*H287*_xlfn.XLOOKUP($G287,'Sample Size cal and results'!$B$25:$B$26,'Sample Size cal and results'!$D$25:$D$26)</f>
        <v>89.562373245958184</v>
      </c>
    </row>
    <row r="288" spans="1:9" ht="13">
      <c r="A288" s="131" t="s">
        <v>1443</v>
      </c>
      <c r="B288" s="53">
        <v>41885</v>
      </c>
      <c r="C288" s="52">
        <v>65</v>
      </c>
      <c r="D288" s="72" t="str">
        <f>IF(DATEDIF($B288,'Inst summary and ER calculation'!$T$6,"y")=1,"1-2 years","2-3 years")</f>
        <v>2-3 years</v>
      </c>
      <c r="E288" s="69">
        <f t="shared" si="17"/>
        <v>0.99726775956284153</v>
      </c>
      <c r="F288" s="69">
        <f>$C288*E288*_xlfn.XLOOKUP($D288,'Sample Size cal and results'!$B$23:$B$24,'Sample Size cal and results'!$D$23:$D$24)</f>
        <v>66.011229973066023</v>
      </c>
      <c r="G288" s="72" t="str">
        <f>IF(DATEDIF($B288,'Inst summary and ER calculation'!$U$6,"y")=2,"2-3 years","3-4 years")</f>
        <v>3-4 years</v>
      </c>
      <c r="H288" s="69">
        <f t="shared" si="18"/>
        <v>1</v>
      </c>
      <c r="I288" s="142">
        <f>$C288*H288*_xlfn.XLOOKUP($G288,'Sample Size cal and results'!$B$25:$B$26,'Sample Size cal and results'!$D$25:$D$26)</f>
        <v>64.683936233192028</v>
      </c>
    </row>
    <row r="289" spans="1:9" ht="13">
      <c r="A289" s="131" t="s">
        <v>1443</v>
      </c>
      <c r="B289" s="53">
        <v>41886</v>
      </c>
      <c r="C289" s="52">
        <v>79</v>
      </c>
      <c r="D289" s="72" t="str">
        <f>IF(DATEDIF($B289,'Inst summary and ER calculation'!$T$6,"y")=1,"1-2 years","2-3 years")</f>
        <v>2-3 years</v>
      </c>
      <c r="E289" s="69">
        <f t="shared" si="17"/>
        <v>0.99726775956284153</v>
      </c>
      <c r="F289" s="69">
        <f>$C289*E289*_xlfn.XLOOKUP($D289,'Sample Size cal and results'!$B$23:$B$24,'Sample Size cal and results'!$D$23:$D$24)</f>
        <v>80.229033351880247</v>
      </c>
      <c r="G289" s="72" t="str">
        <f>IF(DATEDIF($B289,'Inst summary and ER calculation'!$U$6,"y")=2,"2-3 years","3-4 years")</f>
        <v>3-4 years</v>
      </c>
      <c r="H289" s="69">
        <f t="shared" si="18"/>
        <v>1</v>
      </c>
      <c r="I289" s="142">
        <f>$C289*H289*_xlfn.XLOOKUP($G289,'Sample Size cal and results'!$B$25:$B$26,'Sample Size cal and results'!$D$25:$D$26)</f>
        <v>78.615860960341081</v>
      </c>
    </row>
    <row r="290" spans="1:9" ht="13">
      <c r="A290" s="131" t="s">
        <v>1443</v>
      </c>
      <c r="B290" s="53">
        <v>41887</v>
      </c>
      <c r="C290" s="52">
        <v>80</v>
      </c>
      <c r="D290" s="72" t="str">
        <f>IF(DATEDIF($B290,'Inst summary and ER calculation'!$T$6,"y")=1,"1-2 years","2-3 years")</f>
        <v>2-3 years</v>
      </c>
      <c r="E290" s="69">
        <f t="shared" si="17"/>
        <v>0.99726775956284153</v>
      </c>
      <c r="F290" s="69">
        <f>$C290*E290*_xlfn.XLOOKUP($D290,'Sample Size cal and results'!$B$23:$B$24,'Sample Size cal and results'!$D$23:$D$24)</f>
        <v>81.244590736081264</v>
      </c>
      <c r="G290" s="72" t="str">
        <f>IF(DATEDIF($B290,'Inst summary and ER calculation'!$U$6,"y")=2,"2-3 years","3-4 years")</f>
        <v>3-4 years</v>
      </c>
      <c r="H290" s="69">
        <f t="shared" si="18"/>
        <v>1</v>
      </c>
      <c r="I290" s="142">
        <f>$C290*H290*_xlfn.XLOOKUP($G290,'Sample Size cal and results'!$B$25:$B$26,'Sample Size cal and results'!$D$25:$D$26)</f>
        <v>79.610998440851716</v>
      </c>
    </row>
    <row r="291" spans="1:9" ht="13">
      <c r="A291" s="131" t="s">
        <v>1443</v>
      </c>
      <c r="B291" s="53">
        <v>41888</v>
      </c>
      <c r="C291" s="52">
        <v>74</v>
      </c>
      <c r="D291" s="72" t="str">
        <f>IF(DATEDIF($B291,'Inst summary and ER calculation'!$T$6,"y")=1,"1-2 years","2-3 years")</f>
        <v>2-3 years</v>
      </c>
      <c r="E291" s="69">
        <f t="shared" si="17"/>
        <v>0.99726775956284153</v>
      </c>
      <c r="F291" s="69">
        <f>$C291*E291*_xlfn.XLOOKUP($D291,'Sample Size cal and results'!$B$23:$B$24,'Sample Size cal and results'!$D$23:$D$24)</f>
        <v>75.151246430875176</v>
      </c>
      <c r="G291" s="72" t="str">
        <f>IF(DATEDIF($B291,'Inst summary and ER calculation'!$U$6,"y")=2,"2-3 years","3-4 years")</f>
        <v>3-4 years</v>
      </c>
      <c r="H291" s="69">
        <f t="shared" si="18"/>
        <v>1</v>
      </c>
      <c r="I291" s="142">
        <f>$C291*H291*_xlfn.XLOOKUP($G291,'Sample Size cal and results'!$B$25:$B$26,'Sample Size cal and results'!$D$25:$D$26)</f>
        <v>73.640173557787847</v>
      </c>
    </row>
    <row r="292" spans="1:9" ht="13">
      <c r="A292" s="131" t="s">
        <v>1443</v>
      </c>
      <c r="B292" s="53">
        <v>41889</v>
      </c>
      <c r="C292" s="52">
        <v>101</v>
      </c>
      <c r="D292" s="72" t="str">
        <f>IF(DATEDIF($B292,'Inst summary and ER calculation'!$T$6,"y")=1,"1-2 years","2-3 years")</f>
        <v>2-3 years</v>
      </c>
      <c r="E292" s="69">
        <f t="shared" si="17"/>
        <v>0.99726775956284153</v>
      </c>
      <c r="F292" s="69">
        <f>$C292*E292*_xlfn.XLOOKUP($D292,'Sample Size cal and results'!$B$23:$B$24,'Sample Size cal and results'!$D$23:$D$24)</f>
        <v>102.57129580430259</v>
      </c>
      <c r="G292" s="72" t="str">
        <f>IF(DATEDIF($B292,'Inst summary and ER calculation'!$U$6,"y")=2,"2-3 years","3-4 years")</f>
        <v>3-4 years</v>
      </c>
      <c r="H292" s="69">
        <f t="shared" si="18"/>
        <v>1</v>
      </c>
      <c r="I292" s="142">
        <f>$C292*H292*_xlfn.XLOOKUP($G292,'Sample Size cal and results'!$B$25:$B$26,'Sample Size cal and results'!$D$25:$D$26)</f>
        <v>100.5088855315753</v>
      </c>
    </row>
    <row r="293" spans="1:9" ht="13">
      <c r="A293" s="131" t="s">
        <v>1443</v>
      </c>
      <c r="B293" s="53">
        <v>41890</v>
      </c>
      <c r="C293" s="52">
        <v>88</v>
      </c>
      <c r="D293" s="72" t="str">
        <f>IF(DATEDIF($B293,'Inst summary and ER calculation'!$T$6,"y")=1,"1-2 years","2-3 years")</f>
        <v>2-3 years</v>
      </c>
      <c r="E293" s="69">
        <f t="shared" si="17"/>
        <v>0.99726775956284153</v>
      </c>
      <c r="F293" s="69">
        <f>$C293*E293*_xlfn.XLOOKUP($D293,'Sample Size cal and results'!$B$23:$B$24,'Sample Size cal and results'!$D$23:$D$24)</f>
        <v>89.3690498096894</v>
      </c>
      <c r="G293" s="72" t="str">
        <f>IF(DATEDIF($B293,'Inst summary and ER calculation'!$U$6,"y")=2,"2-3 years","3-4 years")</f>
        <v>3-4 years</v>
      </c>
      <c r="H293" s="69">
        <f t="shared" si="18"/>
        <v>1</v>
      </c>
      <c r="I293" s="142">
        <f>$C293*H293*_xlfn.XLOOKUP($G293,'Sample Size cal and results'!$B$25:$B$26,'Sample Size cal and results'!$D$25:$D$26)</f>
        <v>87.572098284936899</v>
      </c>
    </row>
    <row r="294" spans="1:9" ht="13">
      <c r="A294" s="131" t="s">
        <v>1443</v>
      </c>
      <c r="B294" s="53">
        <v>41891</v>
      </c>
      <c r="C294" s="52">
        <v>98</v>
      </c>
      <c r="D294" s="72" t="str">
        <f>IF(DATEDIF($B294,'Inst summary and ER calculation'!$T$6,"y")=1,"1-2 years","2-3 years")</f>
        <v>2-3 years</v>
      </c>
      <c r="E294" s="69">
        <f t="shared" si="17"/>
        <v>0.99726775956284153</v>
      </c>
      <c r="F294" s="69">
        <f>$C294*E294*_xlfn.XLOOKUP($D294,'Sample Size cal and results'!$B$23:$B$24,'Sample Size cal and results'!$D$23:$D$24)</f>
        <v>99.524623651699557</v>
      </c>
      <c r="G294" s="72" t="str">
        <f>IF(DATEDIF($B294,'Inst summary and ER calculation'!$U$6,"y")=2,"2-3 years","3-4 years")</f>
        <v>3-4 years</v>
      </c>
      <c r="H294" s="69">
        <f t="shared" si="18"/>
        <v>1</v>
      </c>
      <c r="I294" s="142">
        <f>$C294*H294*_xlfn.XLOOKUP($G294,'Sample Size cal and results'!$B$25:$B$26,'Sample Size cal and results'!$D$25:$D$26)</f>
        <v>97.523473090043368</v>
      </c>
    </row>
    <row r="295" spans="1:9" ht="13">
      <c r="A295" s="131" t="s">
        <v>1443</v>
      </c>
      <c r="B295" s="53">
        <v>41892</v>
      </c>
      <c r="C295" s="52">
        <v>119</v>
      </c>
      <c r="D295" s="72" t="str">
        <f>IF(DATEDIF($B295,'Inst summary and ER calculation'!$T$6,"y")=1,"1-2 years","2-3 years")</f>
        <v>2-3 years</v>
      </c>
      <c r="E295" s="69">
        <f t="shared" si="17"/>
        <v>0.99726775956284153</v>
      </c>
      <c r="F295" s="69">
        <f>$C295*E295*_xlfn.XLOOKUP($D295,'Sample Size cal and results'!$B$23:$B$24,'Sample Size cal and results'!$D$23:$D$24)</f>
        <v>120.85132871992089</v>
      </c>
      <c r="G295" s="72" t="str">
        <f>IF(DATEDIF($B295,'Inst summary and ER calculation'!$U$6,"y")=2,"2-3 years","3-4 years")</f>
        <v>3-4 years</v>
      </c>
      <c r="H295" s="69">
        <f t="shared" si="18"/>
        <v>1</v>
      </c>
      <c r="I295" s="142">
        <f>$C295*H295*_xlfn.XLOOKUP($G295,'Sample Size cal and results'!$B$25:$B$26,'Sample Size cal and results'!$D$25:$D$26)</f>
        <v>118.42136018076694</v>
      </c>
    </row>
    <row r="296" spans="1:9" ht="13">
      <c r="A296" s="131" t="s">
        <v>1443</v>
      </c>
      <c r="B296" s="53">
        <v>41893</v>
      </c>
      <c r="C296" s="52">
        <v>113</v>
      </c>
      <c r="D296" s="72" t="str">
        <f>IF(DATEDIF($B296,'Inst summary and ER calculation'!$T$6,"y")=1,"1-2 years","2-3 years")</f>
        <v>2-3 years</v>
      </c>
      <c r="E296" s="69">
        <f t="shared" si="17"/>
        <v>0.99726775956284153</v>
      </c>
      <c r="F296" s="69">
        <f>$C296*E296*_xlfn.XLOOKUP($D296,'Sample Size cal and results'!$B$23:$B$24,'Sample Size cal and results'!$D$23:$D$24)</f>
        <v>114.7579844147148</v>
      </c>
      <c r="G296" s="72" t="str">
        <f>IF(DATEDIF($B296,'Inst summary and ER calculation'!$U$6,"y")=2,"2-3 years","3-4 years")</f>
        <v>3-4 years</v>
      </c>
      <c r="H296" s="69">
        <f t="shared" si="18"/>
        <v>1</v>
      </c>
      <c r="I296" s="142">
        <f>$C296*H296*_xlfn.XLOOKUP($G296,'Sample Size cal and results'!$B$25:$B$26,'Sample Size cal and results'!$D$25:$D$26)</f>
        <v>112.45053529770306</v>
      </c>
    </row>
    <row r="297" spans="1:9" ht="13">
      <c r="A297" s="131" t="s">
        <v>1443</v>
      </c>
      <c r="B297" s="53">
        <v>41894</v>
      </c>
      <c r="C297" s="52">
        <v>120</v>
      </c>
      <c r="D297" s="72" t="str">
        <f>IF(DATEDIF($B297,'Inst summary and ER calculation'!$T$6,"y")=1,"1-2 years","2-3 years")</f>
        <v>2-3 years</v>
      </c>
      <c r="E297" s="69">
        <f t="shared" si="17"/>
        <v>0.99726775956284153</v>
      </c>
      <c r="F297" s="69">
        <f>$C297*E297*_xlfn.XLOOKUP($D297,'Sample Size cal and results'!$B$23:$B$24,'Sample Size cal and results'!$D$23:$D$24)</f>
        <v>121.8668861041219</v>
      </c>
      <c r="G297" s="72" t="str">
        <f>IF(DATEDIF($B297,'Inst summary and ER calculation'!$U$6,"y")=2,"2-3 years","3-4 years")</f>
        <v>3-4 years</v>
      </c>
      <c r="H297" s="69">
        <f t="shared" si="18"/>
        <v>1</v>
      </c>
      <c r="I297" s="142">
        <f>$C297*H297*_xlfn.XLOOKUP($G297,'Sample Size cal and results'!$B$25:$B$26,'Sample Size cal and results'!$D$25:$D$26)</f>
        <v>119.41649766127759</v>
      </c>
    </row>
    <row r="298" spans="1:9" ht="13">
      <c r="A298" s="131" t="s">
        <v>1443</v>
      </c>
      <c r="B298" s="53">
        <v>41895</v>
      </c>
      <c r="C298" s="52">
        <v>170</v>
      </c>
      <c r="D298" s="72" t="str">
        <f>IF(DATEDIF($B298,'Inst summary and ER calculation'!$T$6,"y")=1,"1-2 years","2-3 years")</f>
        <v>2-3 years</v>
      </c>
      <c r="E298" s="69">
        <f t="shared" si="17"/>
        <v>0.99726775956284153</v>
      </c>
      <c r="F298" s="69">
        <f>$C298*E298*_xlfn.XLOOKUP($D298,'Sample Size cal and results'!$B$23:$B$24,'Sample Size cal and results'!$D$23:$D$24)</f>
        <v>172.6447553141727</v>
      </c>
      <c r="G298" s="72" t="str">
        <f>IF(DATEDIF($B298,'Inst summary and ER calculation'!$U$6,"y")=2,"2-3 years","3-4 years")</f>
        <v>3-4 years</v>
      </c>
      <c r="H298" s="69">
        <f t="shared" si="18"/>
        <v>1</v>
      </c>
      <c r="I298" s="142">
        <f>$C298*H298*_xlfn.XLOOKUP($G298,'Sample Size cal and results'!$B$25:$B$26,'Sample Size cal and results'!$D$25:$D$26)</f>
        <v>169.1733716868099</v>
      </c>
    </row>
    <row r="299" spans="1:9" ht="13">
      <c r="A299" s="131" t="s">
        <v>1443</v>
      </c>
      <c r="B299" s="53">
        <v>41896</v>
      </c>
      <c r="C299" s="52">
        <v>110</v>
      </c>
      <c r="D299" s="72" t="str">
        <f>IF(DATEDIF($B299,'Inst summary and ER calculation'!$T$6,"y")=1,"1-2 years","2-3 years")</f>
        <v>2-3 years</v>
      </c>
      <c r="E299" s="69">
        <f t="shared" si="17"/>
        <v>0.99726775956284153</v>
      </c>
      <c r="F299" s="69">
        <f>$C299*E299*_xlfn.XLOOKUP($D299,'Sample Size cal and results'!$B$23:$B$24,'Sample Size cal and results'!$D$23:$D$24)</f>
        <v>111.71131226211175</v>
      </c>
      <c r="G299" s="72" t="str">
        <f>IF(DATEDIF($B299,'Inst summary and ER calculation'!$U$6,"y")=2,"2-3 years","3-4 years")</f>
        <v>3-4 years</v>
      </c>
      <c r="H299" s="69">
        <f t="shared" si="18"/>
        <v>1</v>
      </c>
      <c r="I299" s="142">
        <f>$C299*H299*_xlfn.XLOOKUP($G299,'Sample Size cal and results'!$B$25:$B$26,'Sample Size cal and results'!$D$25:$D$26)</f>
        <v>109.46512285617112</v>
      </c>
    </row>
    <row r="300" spans="1:9" ht="13">
      <c r="A300" s="131" t="s">
        <v>1443</v>
      </c>
      <c r="B300" s="53">
        <v>41897</v>
      </c>
      <c r="C300" s="52">
        <v>540</v>
      </c>
      <c r="D300" s="72" t="str">
        <f>IF(DATEDIF($B300,'Inst summary and ER calculation'!$T$6,"y")=1,"1-2 years","2-3 years")</f>
        <v>2-3 years</v>
      </c>
      <c r="E300" s="69">
        <f t="shared" si="17"/>
        <v>0.99726775956284153</v>
      </c>
      <c r="F300" s="69">
        <f>$C300*E300*_xlfn.XLOOKUP($D300,'Sample Size cal and results'!$B$23:$B$24,'Sample Size cal and results'!$D$23:$D$24)</f>
        <v>548.40098746854858</v>
      </c>
      <c r="G300" s="72" t="str">
        <f>IF(DATEDIF($B300,'Inst summary and ER calculation'!$U$6,"y")=2,"2-3 years","3-4 years")</f>
        <v>3-4 years</v>
      </c>
      <c r="H300" s="69">
        <f t="shared" si="18"/>
        <v>1</v>
      </c>
      <c r="I300" s="142">
        <f>$C300*H300*_xlfn.XLOOKUP($G300,'Sample Size cal and results'!$B$25:$B$26,'Sample Size cal and results'!$D$25:$D$26)</f>
        <v>537.37423947574916</v>
      </c>
    </row>
    <row r="301" spans="1:9" ht="13">
      <c r="A301" s="131" t="s">
        <v>1444</v>
      </c>
      <c r="B301" s="53">
        <v>41897</v>
      </c>
      <c r="C301" s="52">
        <v>97</v>
      </c>
      <c r="D301" s="72" t="str">
        <f>IF(DATEDIF($B301,'Inst summary and ER calculation'!$T$6,"y")=1,"1-2 years","2-3 years")</f>
        <v>2-3 years</v>
      </c>
      <c r="E301" s="69">
        <f t="shared" si="17"/>
        <v>0.99726775956284153</v>
      </c>
      <c r="F301" s="69">
        <f>$C301*E301*_xlfn.XLOOKUP($D301,'Sample Size cal and results'!$B$23:$B$24,'Sample Size cal and results'!$D$23:$D$24)</f>
        <v>98.509066267498525</v>
      </c>
      <c r="G301" s="72" t="str">
        <f>IF(DATEDIF($B301,'Inst summary and ER calculation'!$U$6,"y")=2,"2-3 years","3-4 years")</f>
        <v>3-4 years</v>
      </c>
      <c r="H301" s="69">
        <f t="shared" si="18"/>
        <v>1</v>
      </c>
      <c r="I301" s="142">
        <f>$C301*H301*_xlfn.XLOOKUP($G301,'Sample Size cal and results'!$B$25:$B$26,'Sample Size cal and results'!$D$25:$D$26)</f>
        <v>96.528335609532718</v>
      </c>
    </row>
    <row r="302" spans="1:9" ht="13">
      <c r="A302" s="131" t="s">
        <v>1444</v>
      </c>
      <c r="B302" s="53">
        <v>41898</v>
      </c>
      <c r="C302" s="52">
        <v>57</v>
      </c>
      <c r="D302" s="72" t="str">
        <f>IF(DATEDIF($B302,'Inst summary and ER calculation'!$T$6,"y")=1,"1-2 years","2-3 years")</f>
        <v>2-3 years</v>
      </c>
      <c r="E302" s="69">
        <f t="shared" si="17"/>
        <v>0.99726775956284153</v>
      </c>
      <c r="F302" s="69">
        <f>$C302*E302*_xlfn.XLOOKUP($D302,'Sample Size cal and results'!$B$23:$B$24,'Sample Size cal and results'!$D$23:$D$24)</f>
        <v>57.886770899457908</v>
      </c>
      <c r="G302" s="72" t="str">
        <f>IF(DATEDIF($B302,'Inst summary and ER calculation'!$U$6,"y")=2,"2-3 years","3-4 years")</f>
        <v>3-4 years</v>
      </c>
      <c r="H302" s="69">
        <f t="shared" si="18"/>
        <v>1</v>
      </c>
      <c r="I302" s="142">
        <f>$C302*H302*_xlfn.XLOOKUP($G302,'Sample Size cal and results'!$B$25:$B$26,'Sample Size cal and results'!$D$25:$D$26)</f>
        <v>56.722836389106853</v>
      </c>
    </row>
    <row r="303" spans="1:9" ht="13">
      <c r="A303" s="131" t="s">
        <v>1444</v>
      </c>
      <c r="B303" s="53">
        <v>41899</v>
      </c>
      <c r="C303" s="52">
        <v>77</v>
      </c>
      <c r="D303" s="72" t="str">
        <f>IF(DATEDIF($B303,'Inst summary and ER calculation'!$T$6,"y")=1,"1-2 years","2-3 years")</f>
        <v>2-3 years</v>
      </c>
      <c r="E303" s="69">
        <f t="shared" si="17"/>
        <v>0.99726775956284153</v>
      </c>
      <c r="F303" s="69">
        <f>$C303*E303*_xlfn.XLOOKUP($D303,'Sample Size cal and results'!$B$23:$B$24,'Sample Size cal and results'!$D$23:$D$24)</f>
        <v>78.197918583478227</v>
      </c>
      <c r="G303" s="72" t="str">
        <f>IF(DATEDIF($B303,'Inst summary and ER calculation'!$U$6,"y")=2,"2-3 years","3-4 years")</f>
        <v>3-4 years</v>
      </c>
      <c r="H303" s="69">
        <f t="shared" si="18"/>
        <v>1</v>
      </c>
      <c r="I303" s="142">
        <f>$C303*H303*_xlfn.XLOOKUP($G303,'Sample Size cal and results'!$B$25:$B$26,'Sample Size cal and results'!$D$25:$D$26)</f>
        <v>76.625585999319782</v>
      </c>
    </row>
    <row r="304" spans="1:9" ht="13">
      <c r="A304" s="131" t="s">
        <v>1444</v>
      </c>
      <c r="B304" s="53">
        <v>41900</v>
      </c>
      <c r="C304" s="52">
        <v>38</v>
      </c>
      <c r="D304" s="72" t="str">
        <f>IF(DATEDIF($B304,'Inst summary and ER calculation'!$T$6,"y")=1,"1-2 years","2-3 years")</f>
        <v>2-3 years</v>
      </c>
      <c r="E304" s="69">
        <f t="shared" si="17"/>
        <v>0.99726775956284153</v>
      </c>
      <c r="F304" s="69">
        <f>$C304*E304*_xlfn.XLOOKUP($D304,'Sample Size cal and results'!$B$23:$B$24,'Sample Size cal and results'!$D$23:$D$24)</f>
        <v>38.591180599638598</v>
      </c>
      <c r="G304" s="72" t="str">
        <f>IF(DATEDIF($B304,'Inst summary and ER calculation'!$U$6,"y")=2,"2-3 years","3-4 years")</f>
        <v>3-4 years</v>
      </c>
      <c r="H304" s="69">
        <f t="shared" si="18"/>
        <v>1</v>
      </c>
      <c r="I304" s="142">
        <f>$C304*H304*_xlfn.XLOOKUP($G304,'Sample Size cal and results'!$B$25:$B$26,'Sample Size cal and results'!$D$25:$D$26)</f>
        <v>37.815224259404566</v>
      </c>
    </row>
    <row r="305" spans="1:9" ht="13">
      <c r="A305" s="131" t="s">
        <v>1444</v>
      </c>
      <c r="B305" s="53">
        <v>41901</v>
      </c>
      <c r="C305" s="52">
        <v>34</v>
      </c>
      <c r="D305" s="72" t="str">
        <f>IF(DATEDIF($B305,'Inst summary and ER calculation'!$T$6,"y")=1,"1-2 years","2-3 years")</f>
        <v>2-3 years</v>
      </c>
      <c r="E305" s="69">
        <f t="shared" si="17"/>
        <v>0.99726775956284153</v>
      </c>
      <c r="F305" s="69">
        <f>$C305*E305*_xlfn.XLOOKUP($D305,'Sample Size cal and results'!$B$23:$B$24,'Sample Size cal and results'!$D$23:$D$24)</f>
        <v>34.528951062834537</v>
      </c>
      <c r="G305" s="72" t="str">
        <f>IF(DATEDIF($B305,'Inst summary and ER calculation'!$U$6,"y")=2,"2-3 years","3-4 years")</f>
        <v>3-4 years</v>
      </c>
      <c r="H305" s="69">
        <f t="shared" si="18"/>
        <v>1</v>
      </c>
      <c r="I305" s="142">
        <f>$C305*H305*_xlfn.XLOOKUP($G305,'Sample Size cal and results'!$B$25:$B$26,'Sample Size cal and results'!$D$25:$D$26)</f>
        <v>33.834674337361982</v>
      </c>
    </row>
    <row r="306" spans="1:9" ht="13">
      <c r="A306" s="131" t="s">
        <v>1444</v>
      </c>
      <c r="B306" s="53">
        <v>41902</v>
      </c>
      <c r="C306" s="52">
        <v>36</v>
      </c>
      <c r="D306" s="72" t="str">
        <f>IF(DATEDIF($B306,'Inst summary and ER calculation'!$T$6,"y")=1,"1-2 years","2-3 years")</f>
        <v>2-3 years</v>
      </c>
      <c r="E306" s="69">
        <f t="shared" si="17"/>
        <v>0.99726775956284153</v>
      </c>
      <c r="F306" s="69">
        <f>$C306*E306*_xlfn.XLOOKUP($D306,'Sample Size cal and results'!$B$23:$B$24,'Sample Size cal and results'!$D$23:$D$24)</f>
        <v>36.560065831236571</v>
      </c>
      <c r="G306" s="72" t="str">
        <f>IF(DATEDIF($B306,'Inst summary and ER calculation'!$U$6,"y")=2,"2-3 years","3-4 years")</f>
        <v>3-4 years</v>
      </c>
      <c r="H306" s="69">
        <f t="shared" si="18"/>
        <v>1</v>
      </c>
      <c r="I306" s="142">
        <f>$C306*H306*_xlfn.XLOOKUP($G306,'Sample Size cal and results'!$B$25:$B$26,'Sample Size cal and results'!$D$25:$D$26)</f>
        <v>35.824949298383274</v>
      </c>
    </row>
    <row r="307" spans="1:9" ht="13">
      <c r="A307" s="131" t="s">
        <v>1444</v>
      </c>
      <c r="B307" s="53">
        <v>41903</v>
      </c>
      <c r="C307" s="52">
        <v>24</v>
      </c>
      <c r="D307" s="72" t="str">
        <f>IF(DATEDIF($B307,'Inst summary and ER calculation'!$T$6,"y")=1,"1-2 years","2-3 years")</f>
        <v>2-3 years</v>
      </c>
      <c r="E307" s="69">
        <f t="shared" si="17"/>
        <v>0.99726775956284153</v>
      </c>
      <c r="F307" s="69">
        <f>$C307*E307*_xlfn.XLOOKUP($D307,'Sample Size cal and results'!$B$23:$B$24,'Sample Size cal and results'!$D$23:$D$24)</f>
        <v>24.373377220824381</v>
      </c>
      <c r="G307" s="72" t="str">
        <f>IF(DATEDIF($B307,'Inst summary and ER calculation'!$U$6,"y")=2,"2-3 years","3-4 years")</f>
        <v>3-4 years</v>
      </c>
      <c r="H307" s="69">
        <f t="shared" si="18"/>
        <v>1</v>
      </c>
      <c r="I307" s="142">
        <f>$C307*H307*_xlfn.XLOOKUP($G307,'Sample Size cal and results'!$B$25:$B$26,'Sample Size cal and results'!$D$25:$D$26)</f>
        <v>23.883299532255517</v>
      </c>
    </row>
    <row r="308" spans="1:9" ht="13">
      <c r="A308" s="131" t="s">
        <v>1444</v>
      </c>
      <c r="B308" s="53">
        <v>41904</v>
      </c>
      <c r="C308" s="52">
        <v>40</v>
      </c>
      <c r="D308" s="72" t="str">
        <f>IF(DATEDIF($B308,'Inst summary and ER calculation'!$T$6,"y")=1,"1-2 years","2-3 years")</f>
        <v>2-3 years</v>
      </c>
      <c r="E308" s="69">
        <f t="shared" si="17"/>
        <v>0.99726775956284153</v>
      </c>
      <c r="F308" s="69">
        <f>$C308*E308*_xlfn.XLOOKUP($D308,'Sample Size cal and results'!$B$23:$B$24,'Sample Size cal and results'!$D$23:$D$24)</f>
        <v>40.622295368040632</v>
      </c>
      <c r="G308" s="72" t="str">
        <f>IF(DATEDIF($B308,'Inst summary and ER calculation'!$U$6,"y")=2,"2-3 years","3-4 years")</f>
        <v>3-4 years</v>
      </c>
      <c r="H308" s="69">
        <f t="shared" si="18"/>
        <v>1</v>
      </c>
      <c r="I308" s="142">
        <f>$C308*H308*_xlfn.XLOOKUP($G308,'Sample Size cal and results'!$B$25:$B$26,'Sample Size cal and results'!$D$25:$D$26)</f>
        <v>39.805499220425858</v>
      </c>
    </row>
    <row r="309" spans="1:9" ht="13">
      <c r="A309" s="131" t="s">
        <v>1444</v>
      </c>
      <c r="B309" s="53">
        <v>41905</v>
      </c>
      <c r="C309" s="52">
        <v>25</v>
      </c>
      <c r="D309" s="72" t="str">
        <f>IF(DATEDIF($B309,'Inst summary and ER calculation'!$T$6,"y")=1,"1-2 years","2-3 years")</f>
        <v>2-3 years</v>
      </c>
      <c r="E309" s="69">
        <f t="shared" si="17"/>
        <v>0.99726775956284153</v>
      </c>
      <c r="F309" s="69">
        <f>$C309*E309*_xlfn.XLOOKUP($D309,'Sample Size cal and results'!$B$23:$B$24,'Sample Size cal and results'!$D$23:$D$24)</f>
        <v>25.388934605025398</v>
      </c>
      <c r="G309" s="72" t="str">
        <f>IF(DATEDIF($B309,'Inst summary and ER calculation'!$U$6,"y")=2,"2-3 years","3-4 years")</f>
        <v>3-4 years</v>
      </c>
      <c r="H309" s="69">
        <f t="shared" si="18"/>
        <v>1</v>
      </c>
      <c r="I309" s="142">
        <f>$C309*H309*_xlfn.XLOOKUP($G309,'Sample Size cal and results'!$B$25:$B$26,'Sample Size cal and results'!$D$25:$D$26)</f>
        <v>24.878437012766163</v>
      </c>
    </row>
    <row r="310" spans="1:9" ht="13">
      <c r="A310" s="131" t="s">
        <v>1444</v>
      </c>
      <c r="B310" s="53">
        <v>41906</v>
      </c>
      <c r="C310" s="52">
        <v>41</v>
      </c>
      <c r="D310" s="72" t="str">
        <f>IF(DATEDIF($B310,'Inst summary and ER calculation'!$T$6,"y")=1,"1-2 years","2-3 years")</f>
        <v>2-3 years</v>
      </c>
      <c r="E310" s="69">
        <f t="shared" si="17"/>
        <v>0.99726775956284153</v>
      </c>
      <c r="F310" s="69">
        <f>$C310*E310*_xlfn.XLOOKUP($D310,'Sample Size cal and results'!$B$23:$B$24,'Sample Size cal and results'!$D$23:$D$24)</f>
        <v>41.637852752241656</v>
      </c>
      <c r="G310" s="72" t="str">
        <f>IF(DATEDIF($B310,'Inst summary and ER calculation'!$U$6,"y")=2,"2-3 years","3-4 years")</f>
        <v>3-4 years</v>
      </c>
      <c r="H310" s="69">
        <f t="shared" si="18"/>
        <v>1</v>
      </c>
      <c r="I310" s="142">
        <f>$C310*H310*_xlfn.XLOOKUP($G310,'Sample Size cal and results'!$B$25:$B$26,'Sample Size cal and results'!$D$25:$D$26)</f>
        <v>40.800636700936508</v>
      </c>
    </row>
    <row r="311" spans="1:9" ht="13">
      <c r="A311" s="131" t="s">
        <v>1444</v>
      </c>
      <c r="B311" s="53">
        <v>41907</v>
      </c>
      <c r="C311" s="52">
        <v>55</v>
      </c>
      <c r="D311" s="72" t="str">
        <f>IF(DATEDIF($B311,'Inst summary and ER calculation'!$T$6,"y")=1,"1-2 years","2-3 years")</f>
        <v>2-3 years</v>
      </c>
      <c r="E311" s="69">
        <f t="shared" si="17"/>
        <v>0.99726775956284153</v>
      </c>
      <c r="F311" s="69">
        <f>$C311*E311*_xlfn.XLOOKUP($D311,'Sample Size cal and results'!$B$23:$B$24,'Sample Size cal and results'!$D$23:$D$24)</f>
        <v>55.855656131055873</v>
      </c>
      <c r="G311" s="72" t="str">
        <f>IF(DATEDIF($B311,'Inst summary and ER calculation'!$U$6,"y")=2,"2-3 years","3-4 years")</f>
        <v>3-4 years</v>
      </c>
      <c r="H311" s="69">
        <f t="shared" si="18"/>
        <v>1</v>
      </c>
      <c r="I311" s="142">
        <f>$C311*H311*_xlfn.XLOOKUP($G311,'Sample Size cal and results'!$B$25:$B$26,'Sample Size cal and results'!$D$25:$D$26)</f>
        <v>54.73256142808556</v>
      </c>
    </row>
    <row r="312" spans="1:9" ht="13">
      <c r="A312" s="131" t="s">
        <v>1444</v>
      </c>
      <c r="B312" s="53">
        <v>41908</v>
      </c>
      <c r="C312" s="52">
        <v>35</v>
      </c>
      <c r="D312" s="72" t="str">
        <f>IF(DATEDIF($B312,'Inst summary and ER calculation'!$T$6,"y")=1,"1-2 years","2-3 years")</f>
        <v>2-3 years</v>
      </c>
      <c r="E312" s="69">
        <f t="shared" si="17"/>
        <v>0.99726775956284153</v>
      </c>
      <c r="F312" s="69">
        <f>$C312*E312*_xlfn.XLOOKUP($D312,'Sample Size cal and results'!$B$23:$B$24,'Sample Size cal and results'!$D$23:$D$24)</f>
        <v>35.544508447035554</v>
      </c>
      <c r="G312" s="72" t="str">
        <f>IF(DATEDIF($B312,'Inst summary and ER calculation'!$U$6,"y")=2,"2-3 years","3-4 years")</f>
        <v>3-4 years</v>
      </c>
      <c r="H312" s="69">
        <f t="shared" si="18"/>
        <v>1</v>
      </c>
      <c r="I312" s="142">
        <f>$C312*H312*_xlfn.XLOOKUP($G312,'Sample Size cal and results'!$B$25:$B$26,'Sample Size cal and results'!$D$25:$D$26)</f>
        <v>34.829811817872631</v>
      </c>
    </row>
    <row r="313" spans="1:9" ht="13">
      <c r="A313" s="131" t="s">
        <v>1444</v>
      </c>
      <c r="B313" s="53">
        <v>41909</v>
      </c>
      <c r="C313" s="52">
        <v>39</v>
      </c>
      <c r="D313" s="72" t="str">
        <f>IF(DATEDIF($B313,'Inst summary and ER calculation'!$T$6,"y")=1,"1-2 years","2-3 years")</f>
        <v>2-3 years</v>
      </c>
      <c r="E313" s="69">
        <f t="shared" si="17"/>
        <v>0.99726775956284153</v>
      </c>
      <c r="F313" s="69">
        <f>$C313*E313*_xlfn.XLOOKUP($D313,'Sample Size cal and results'!$B$23:$B$24,'Sample Size cal and results'!$D$23:$D$24)</f>
        <v>39.606737983839622</v>
      </c>
      <c r="G313" s="72" t="str">
        <f>IF(DATEDIF($B313,'Inst summary and ER calculation'!$U$6,"y")=2,"2-3 years","3-4 years")</f>
        <v>3-4 years</v>
      </c>
      <c r="H313" s="69">
        <f t="shared" si="18"/>
        <v>1</v>
      </c>
      <c r="I313" s="142">
        <f>$C313*H313*_xlfn.XLOOKUP($G313,'Sample Size cal and results'!$B$25:$B$26,'Sample Size cal and results'!$D$25:$D$26)</f>
        <v>38.810361739915216</v>
      </c>
    </row>
    <row r="314" spans="1:9" ht="13">
      <c r="A314" s="131" t="s">
        <v>1444</v>
      </c>
      <c r="B314" s="53">
        <v>41910</v>
      </c>
      <c r="C314" s="52">
        <v>51</v>
      </c>
      <c r="D314" s="72" t="str">
        <f>IF(DATEDIF($B314,'Inst summary and ER calculation'!$T$6,"y")=1,"1-2 years","2-3 years")</f>
        <v>2-3 years</v>
      </c>
      <c r="E314" s="69">
        <f t="shared" si="17"/>
        <v>0.99726775956284153</v>
      </c>
      <c r="F314" s="69">
        <f>$C314*E314*_xlfn.XLOOKUP($D314,'Sample Size cal and results'!$B$23:$B$24,'Sample Size cal and results'!$D$23:$D$24)</f>
        <v>51.793426594251805</v>
      </c>
      <c r="G314" s="72" t="str">
        <f>IF(DATEDIF($B314,'Inst summary and ER calculation'!$U$6,"y")=2,"2-3 years","3-4 years")</f>
        <v>3-4 years</v>
      </c>
      <c r="H314" s="69">
        <f t="shared" si="18"/>
        <v>1</v>
      </c>
      <c r="I314" s="142">
        <f>$C314*H314*_xlfn.XLOOKUP($G314,'Sample Size cal and results'!$B$25:$B$26,'Sample Size cal and results'!$D$25:$D$26)</f>
        <v>50.752011506042976</v>
      </c>
    </row>
    <row r="315" spans="1:9" ht="13">
      <c r="A315" s="131" t="s">
        <v>1444</v>
      </c>
      <c r="B315" s="53">
        <v>41911</v>
      </c>
      <c r="C315" s="52">
        <v>39</v>
      </c>
      <c r="D315" s="72" t="str">
        <f>IF(DATEDIF($B315,'Inst summary and ER calculation'!$T$6,"y")=1,"1-2 years","2-3 years")</f>
        <v>2-3 years</v>
      </c>
      <c r="E315" s="69">
        <f t="shared" si="17"/>
        <v>0.99726775956284153</v>
      </c>
      <c r="F315" s="69">
        <f>$C315*E315*_xlfn.XLOOKUP($D315,'Sample Size cal and results'!$B$23:$B$24,'Sample Size cal and results'!$D$23:$D$24)</f>
        <v>39.606737983839622</v>
      </c>
      <c r="G315" s="72" t="str">
        <f>IF(DATEDIF($B315,'Inst summary and ER calculation'!$U$6,"y")=2,"2-3 years","3-4 years")</f>
        <v>3-4 years</v>
      </c>
      <c r="H315" s="69">
        <f t="shared" si="18"/>
        <v>1</v>
      </c>
      <c r="I315" s="142">
        <f>$C315*H315*_xlfn.XLOOKUP($G315,'Sample Size cal and results'!$B$25:$B$26,'Sample Size cal and results'!$D$25:$D$26)</f>
        <v>38.810361739915216</v>
      </c>
    </row>
    <row r="316" spans="1:9" ht="13">
      <c r="A316" s="131" t="s">
        <v>1444</v>
      </c>
      <c r="B316" s="53">
        <v>41912</v>
      </c>
      <c r="C316" s="52">
        <v>315</v>
      </c>
      <c r="D316" s="72" t="str">
        <f>IF(DATEDIF($B316,'Inst summary and ER calculation'!$T$6,"y")=1,"1-2 years","2-3 years")</f>
        <v>2-3 years</v>
      </c>
      <c r="E316" s="69">
        <f t="shared" si="17"/>
        <v>0.99726775956284153</v>
      </c>
      <c r="F316" s="69">
        <f>$C316*E316*_xlfn.XLOOKUP($D316,'Sample Size cal and results'!$B$23:$B$24,'Sample Size cal and results'!$D$23:$D$24)</f>
        <v>319.90057602332001</v>
      </c>
      <c r="G316" s="72" t="str">
        <f>IF(DATEDIF($B316,'Inst summary and ER calculation'!$U$6,"y")=2,"2-3 years","3-4 years")</f>
        <v>3-4 years</v>
      </c>
      <c r="H316" s="69">
        <f t="shared" si="18"/>
        <v>1</v>
      </c>
      <c r="I316" s="142">
        <f>$C316*H316*_xlfn.XLOOKUP($G316,'Sample Size cal and results'!$B$25:$B$26,'Sample Size cal and results'!$D$25:$D$26)</f>
        <v>313.46830636085366</v>
      </c>
    </row>
    <row r="317" spans="1:9" ht="13">
      <c r="A317" s="131" t="s">
        <v>1444</v>
      </c>
      <c r="B317" s="53">
        <v>41913</v>
      </c>
      <c r="C317" s="52">
        <v>13</v>
      </c>
      <c r="D317" s="72" t="str">
        <f>IF(DATEDIF($B317,'Inst summary and ER calculation'!$T$6,"y")=1,"1-2 years","2-3 years")</f>
        <v>2-3 years</v>
      </c>
      <c r="E317" s="69">
        <f t="shared" si="17"/>
        <v>0.99726775956284153</v>
      </c>
      <c r="F317" s="69">
        <f>$C317*E317*_xlfn.XLOOKUP($D317,'Sample Size cal and results'!$B$23:$B$24,'Sample Size cal and results'!$D$23:$D$24)</f>
        <v>13.202245994613207</v>
      </c>
      <c r="G317" s="72" t="str">
        <f>IF(DATEDIF($B317,'Inst summary and ER calculation'!$U$6,"y")=2,"2-3 years","3-4 years")</f>
        <v>3-4 years</v>
      </c>
      <c r="H317" s="69">
        <f t="shared" si="18"/>
        <v>1</v>
      </c>
      <c r="I317" s="142">
        <f>$C317*H317*_xlfn.XLOOKUP($G317,'Sample Size cal and results'!$B$25:$B$26,'Sample Size cal and results'!$D$25:$D$26)</f>
        <v>12.936787246638405</v>
      </c>
    </row>
    <row r="318" spans="1:9" ht="13">
      <c r="A318" s="131" t="s">
        <v>1444</v>
      </c>
      <c r="B318" s="53">
        <v>41914</v>
      </c>
      <c r="C318" s="52">
        <v>29</v>
      </c>
      <c r="D318" s="72" t="str">
        <f>IF(DATEDIF($B318,'Inst summary and ER calculation'!$T$6,"y")=1,"1-2 years","2-3 years")</f>
        <v>2-3 years</v>
      </c>
      <c r="E318" s="69">
        <f t="shared" si="17"/>
        <v>0.99726775956284153</v>
      </c>
      <c r="F318" s="69">
        <f>$C318*E318*_xlfn.XLOOKUP($D318,'Sample Size cal and results'!$B$23:$B$24,'Sample Size cal and results'!$D$23:$D$24)</f>
        <v>29.451164141829459</v>
      </c>
      <c r="G318" s="72" t="str">
        <f>IF(DATEDIF($B318,'Inst summary and ER calculation'!$U$6,"y")=2,"2-3 years","3-4 years")</f>
        <v>3-4 years</v>
      </c>
      <c r="H318" s="69">
        <f t="shared" si="18"/>
        <v>1</v>
      </c>
      <c r="I318" s="142">
        <f>$C318*H318*_xlfn.XLOOKUP($G318,'Sample Size cal and results'!$B$25:$B$26,'Sample Size cal and results'!$D$25:$D$26)</f>
        <v>28.858986934808751</v>
      </c>
    </row>
    <row r="319" spans="1:9" ht="13">
      <c r="A319" s="131" t="s">
        <v>1444</v>
      </c>
      <c r="B319" s="53">
        <v>41915</v>
      </c>
      <c r="C319" s="52">
        <v>13</v>
      </c>
      <c r="D319" s="72" t="str">
        <f>IF(DATEDIF($B319,'Inst summary and ER calculation'!$T$6,"y")=1,"1-2 years","2-3 years")</f>
        <v>2-3 years</v>
      </c>
      <c r="E319" s="69">
        <f t="shared" si="17"/>
        <v>0.99726775956284153</v>
      </c>
      <c r="F319" s="69">
        <f>$C319*E319*_xlfn.XLOOKUP($D319,'Sample Size cal and results'!$B$23:$B$24,'Sample Size cal and results'!$D$23:$D$24)</f>
        <v>13.202245994613207</v>
      </c>
      <c r="G319" s="72" t="str">
        <f>IF(DATEDIF($B319,'Inst summary and ER calculation'!$U$6,"y")=2,"2-3 years","3-4 years")</f>
        <v>3-4 years</v>
      </c>
      <c r="H319" s="69">
        <f t="shared" si="18"/>
        <v>1</v>
      </c>
      <c r="I319" s="142">
        <f>$C319*H319*_xlfn.XLOOKUP($G319,'Sample Size cal and results'!$B$25:$B$26,'Sample Size cal and results'!$D$25:$D$26)</f>
        <v>12.936787246638405</v>
      </c>
    </row>
    <row r="320" spans="1:9" ht="13">
      <c r="A320" s="131" t="s">
        <v>1444</v>
      </c>
      <c r="B320" s="53">
        <v>41916</v>
      </c>
      <c r="C320" s="52">
        <v>28</v>
      </c>
      <c r="D320" s="72" t="str">
        <f>IF(DATEDIF($B320,'Inst summary and ER calculation'!$T$6,"y")=1,"1-2 years","2-3 years")</f>
        <v>2-3 years</v>
      </c>
      <c r="E320" s="69">
        <f t="shared" si="17"/>
        <v>0.99726775956284153</v>
      </c>
      <c r="F320" s="69">
        <f>$C320*E320*_xlfn.XLOOKUP($D320,'Sample Size cal and results'!$B$23:$B$24,'Sample Size cal and results'!$D$23:$D$24)</f>
        <v>28.435606757628442</v>
      </c>
      <c r="G320" s="72" t="str">
        <f>IF(DATEDIF($B320,'Inst summary and ER calculation'!$U$6,"y")=2,"2-3 years","3-4 years")</f>
        <v>3-4 years</v>
      </c>
      <c r="H320" s="69">
        <f t="shared" si="18"/>
        <v>1</v>
      </c>
      <c r="I320" s="142">
        <f>$C320*H320*_xlfn.XLOOKUP($G320,'Sample Size cal and results'!$B$25:$B$26,'Sample Size cal and results'!$D$25:$D$26)</f>
        <v>27.863849454298105</v>
      </c>
    </row>
    <row r="321" spans="1:9" ht="13">
      <c r="A321" s="131" t="s">
        <v>1444</v>
      </c>
      <c r="B321" s="53">
        <v>41917</v>
      </c>
      <c r="C321" s="52">
        <v>47</v>
      </c>
      <c r="D321" s="72" t="str">
        <f>IF(DATEDIF($B321,'Inst summary and ER calculation'!$T$6,"y")=1,"1-2 years","2-3 years")</f>
        <v>2-3 years</v>
      </c>
      <c r="E321" s="69">
        <f t="shared" si="17"/>
        <v>0.99726775956284153</v>
      </c>
      <c r="F321" s="69">
        <f>$C321*E321*_xlfn.XLOOKUP($D321,'Sample Size cal and results'!$B$23:$B$24,'Sample Size cal and results'!$D$23:$D$24)</f>
        <v>47.731197057447744</v>
      </c>
      <c r="G321" s="72" t="str">
        <f>IF(DATEDIF($B321,'Inst summary and ER calculation'!$U$6,"y")=2,"2-3 years","3-4 years")</f>
        <v>3-4 years</v>
      </c>
      <c r="H321" s="69">
        <f t="shared" si="18"/>
        <v>1</v>
      </c>
      <c r="I321" s="142">
        <f>$C321*H321*_xlfn.XLOOKUP($G321,'Sample Size cal and results'!$B$25:$B$26,'Sample Size cal and results'!$D$25:$D$26)</f>
        <v>46.771461584000384</v>
      </c>
    </row>
    <row r="322" spans="1:9" ht="13">
      <c r="A322" s="131" t="s">
        <v>1444</v>
      </c>
      <c r="B322" s="53">
        <v>41918</v>
      </c>
      <c r="C322" s="52">
        <v>30</v>
      </c>
      <c r="D322" s="72" t="str">
        <f>IF(DATEDIF($B322,'Inst summary and ER calculation'!$T$6,"y")=1,"1-2 years","2-3 years")</f>
        <v>2-3 years</v>
      </c>
      <c r="E322" s="69">
        <f t="shared" ref="E322:E385" si="19">MAX(MIN($T$6)-MAX($T$4,$B322,_xlfn.XLOOKUP($A322,$W$1:$W$36,$X$1:$X$36))+1,0)/366</f>
        <v>0.99726775956284153</v>
      </c>
      <c r="F322" s="69">
        <f>$C322*E322*_xlfn.XLOOKUP($D322,'Sample Size cal and results'!$B$23:$B$24,'Sample Size cal and results'!$D$23:$D$24)</f>
        <v>30.466721526030476</v>
      </c>
      <c r="G322" s="72" t="str">
        <f>IF(DATEDIF($B322,'Inst summary and ER calculation'!$U$6,"y")=2,"2-3 years","3-4 years")</f>
        <v>3-4 years</v>
      </c>
      <c r="H322" s="69">
        <f t="shared" ref="H322:H385" si="20">MAX(MIN($U$6)-MAX($U$4,$B322,_xlfn.XLOOKUP($A322,$W$1:$W$36,$X$1:$X$36))+1,0)/365</f>
        <v>1</v>
      </c>
      <c r="I322" s="142">
        <f>$C322*H322*_xlfn.XLOOKUP($G322,'Sample Size cal and results'!$B$25:$B$26,'Sample Size cal and results'!$D$25:$D$26)</f>
        <v>29.854124415319397</v>
      </c>
    </row>
    <row r="323" spans="1:9" ht="13">
      <c r="A323" s="131" t="s">
        <v>1444</v>
      </c>
      <c r="B323" s="53">
        <v>41919</v>
      </c>
      <c r="C323" s="52">
        <v>23</v>
      </c>
      <c r="D323" s="72" t="str">
        <f>IF(DATEDIF($B323,'Inst summary and ER calculation'!$T$6,"y")=1,"1-2 years","2-3 years")</f>
        <v>2-3 years</v>
      </c>
      <c r="E323" s="69">
        <f t="shared" si="19"/>
        <v>0.99726775956284153</v>
      </c>
      <c r="F323" s="69">
        <f>$C323*E323*_xlfn.XLOOKUP($D323,'Sample Size cal and results'!$B$23:$B$24,'Sample Size cal and results'!$D$23:$D$24)</f>
        <v>23.357819836623367</v>
      </c>
      <c r="G323" s="72" t="str">
        <f>IF(DATEDIF($B323,'Inst summary and ER calculation'!$U$6,"y")=2,"2-3 years","3-4 years")</f>
        <v>3-4 years</v>
      </c>
      <c r="H323" s="69">
        <f t="shared" si="20"/>
        <v>1</v>
      </c>
      <c r="I323" s="142">
        <f>$C323*H323*_xlfn.XLOOKUP($G323,'Sample Size cal and results'!$B$25:$B$26,'Sample Size cal and results'!$D$25:$D$26)</f>
        <v>22.888162051744871</v>
      </c>
    </row>
    <row r="324" spans="1:9" ht="13">
      <c r="A324" s="131" t="s">
        <v>1444</v>
      </c>
      <c r="B324" s="53">
        <v>41920</v>
      </c>
      <c r="C324" s="52">
        <v>56</v>
      </c>
      <c r="D324" s="72" t="str">
        <f>IF(DATEDIF($B324,'Inst summary and ER calculation'!$T$6,"y")=1,"1-2 years","2-3 years")</f>
        <v>2-3 years</v>
      </c>
      <c r="E324" s="69">
        <f t="shared" si="19"/>
        <v>0.99726775956284153</v>
      </c>
      <c r="F324" s="69">
        <f>$C324*E324*_xlfn.XLOOKUP($D324,'Sample Size cal and results'!$B$23:$B$24,'Sample Size cal and results'!$D$23:$D$24)</f>
        <v>56.871213515256883</v>
      </c>
      <c r="G324" s="72" t="str">
        <f>IF(DATEDIF($B324,'Inst summary and ER calculation'!$U$6,"y")=2,"2-3 years","3-4 years")</f>
        <v>3-4 years</v>
      </c>
      <c r="H324" s="69">
        <f t="shared" si="20"/>
        <v>1</v>
      </c>
      <c r="I324" s="142">
        <f>$C324*H324*_xlfn.XLOOKUP($G324,'Sample Size cal and results'!$B$25:$B$26,'Sample Size cal and results'!$D$25:$D$26)</f>
        <v>55.72769890859621</v>
      </c>
    </row>
    <row r="325" spans="1:9" ht="13">
      <c r="A325" s="131" t="s">
        <v>1444</v>
      </c>
      <c r="B325" s="53">
        <v>41921</v>
      </c>
      <c r="C325" s="52">
        <v>67</v>
      </c>
      <c r="D325" s="72" t="str">
        <f>IF(DATEDIF($B325,'Inst summary and ER calculation'!$T$6,"y")=1,"1-2 years","2-3 years")</f>
        <v>2-3 years</v>
      </c>
      <c r="E325" s="69">
        <f t="shared" si="19"/>
        <v>0.99726775956284153</v>
      </c>
      <c r="F325" s="69">
        <f>$C325*E325*_xlfn.XLOOKUP($D325,'Sample Size cal and results'!$B$23:$B$24,'Sample Size cal and results'!$D$23:$D$24)</f>
        <v>68.042344741468071</v>
      </c>
      <c r="G325" s="72" t="str">
        <f>IF(DATEDIF($B325,'Inst summary and ER calculation'!$U$6,"y")=2,"2-3 years","3-4 years")</f>
        <v>3-4 years</v>
      </c>
      <c r="H325" s="69">
        <f t="shared" si="20"/>
        <v>1</v>
      </c>
      <c r="I325" s="142">
        <f>$C325*H325*_xlfn.XLOOKUP($G325,'Sample Size cal and results'!$B$25:$B$26,'Sample Size cal and results'!$D$25:$D$26)</f>
        <v>66.674211194213314</v>
      </c>
    </row>
    <row r="326" spans="1:9" ht="13">
      <c r="A326" s="131" t="s">
        <v>1444</v>
      </c>
      <c r="B326" s="53">
        <v>41922</v>
      </c>
      <c r="C326" s="52">
        <v>48</v>
      </c>
      <c r="D326" s="72" t="str">
        <f>IF(DATEDIF($B326,'Inst summary and ER calculation'!$T$6,"y")=1,"1-2 years","2-3 years")</f>
        <v>2-3 years</v>
      </c>
      <c r="E326" s="69">
        <f t="shared" si="19"/>
        <v>0.99726775956284153</v>
      </c>
      <c r="F326" s="69">
        <f>$C326*E326*_xlfn.XLOOKUP($D326,'Sample Size cal and results'!$B$23:$B$24,'Sample Size cal and results'!$D$23:$D$24)</f>
        <v>48.746754441648761</v>
      </c>
      <c r="G326" s="72" t="str">
        <f>IF(DATEDIF($B326,'Inst summary and ER calculation'!$U$6,"y")=2,"2-3 years","3-4 years")</f>
        <v>3-4 years</v>
      </c>
      <c r="H326" s="69">
        <f t="shared" si="20"/>
        <v>1</v>
      </c>
      <c r="I326" s="142">
        <f>$C326*H326*_xlfn.XLOOKUP($G326,'Sample Size cal and results'!$B$25:$B$26,'Sample Size cal and results'!$D$25:$D$26)</f>
        <v>47.766599064511034</v>
      </c>
    </row>
    <row r="327" spans="1:9" ht="13">
      <c r="A327" s="131" t="s">
        <v>1444</v>
      </c>
      <c r="B327" s="53">
        <v>41923</v>
      </c>
      <c r="C327" s="52">
        <v>43</v>
      </c>
      <c r="D327" s="72" t="str">
        <f>IF(DATEDIF($B327,'Inst summary and ER calculation'!$T$6,"y")=1,"1-2 years","2-3 years")</f>
        <v>2-3 years</v>
      </c>
      <c r="E327" s="69">
        <f t="shared" si="19"/>
        <v>0.99726775956284153</v>
      </c>
      <c r="F327" s="69">
        <f>$C327*E327*_xlfn.XLOOKUP($D327,'Sample Size cal and results'!$B$23:$B$24,'Sample Size cal and results'!$D$23:$D$24)</f>
        <v>43.668967520643676</v>
      </c>
      <c r="G327" s="72" t="str">
        <f>IF(DATEDIF($B327,'Inst summary and ER calculation'!$U$6,"y")=2,"2-3 years","3-4 years")</f>
        <v>3-4 years</v>
      </c>
      <c r="H327" s="69">
        <f t="shared" si="20"/>
        <v>1</v>
      </c>
      <c r="I327" s="142">
        <f>$C327*H327*_xlfn.XLOOKUP($G327,'Sample Size cal and results'!$B$25:$B$26,'Sample Size cal and results'!$D$25:$D$26)</f>
        <v>42.7909116619578</v>
      </c>
    </row>
    <row r="328" spans="1:9" ht="13">
      <c r="A328" s="131" t="s">
        <v>1444</v>
      </c>
      <c r="B328" s="53">
        <v>41924</v>
      </c>
      <c r="C328" s="52">
        <v>53</v>
      </c>
      <c r="D328" s="72" t="str">
        <f>IF(DATEDIF($B328,'Inst summary and ER calculation'!$T$6,"y")=1,"1-2 years","2-3 years")</f>
        <v>2-3 years</v>
      </c>
      <c r="E328" s="69">
        <f t="shared" si="19"/>
        <v>0.99726775956284153</v>
      </c>
      <c r="F328" s="69">
        <f>$C328*E328*_xlfn.XLOOKUP($D328,'Sample Size cal and results'!$B$23:$B$24,'Sample Size cal and results'!$D$23:$D$24)</f>
        <v>53.824541362653839</v>
      </c>
      <c r="G328" s="72" t="str">
        <f>IF(DATEDIF($B328,'Inst summary and ER calculation'!$U$6,"y")=2,"2-3 years","3-4 years")</f>
        <v>3-4 years</v>
      </c>
      <c r="H328" s="69">
        <f t="shared" si="20"/>
        <v>1</v>
      </c>
      <c r="I328" s="142">
        <f>$C328*H328*_xlfn.XLOOKUP($G328,'Sample Size cal and results'!$B$25:$B$26,'Sample Size cal and results'!$D$25:$D$26)</f>
        <v>52.742286467064268</v>
      </c>
    </row>
    <row r="329" spans="1:9" ht="13">
      <c r="A329" s="131" t="s">
        <v>1444</v>
      </c>
      <c r="B329" s="53">
        <v>41925</v>
      </c>
      <c r="C329" s="52">
        <v>48</v>
      </c>
      <c r="D329" s="72" t="str">
        <f>IF(DATEDIF($B329,'Inst summary and ER calculation'!$T$6,"y")=1,"1-2 years","2-3 years")</f>
        <v>2-3 years</v>
      </c>
      <c r="E329" s="69">
        <f t="shared" si="19"/>
        <v>0.99726775956284153</v>
      </c>
      <c r="F329" s="69">
        <f>$C329*E329*_xlfn.XLOOKUP($D329,'Sample Size cal and results'!$B$23:$B$24,'Sample Size cal and results'!$D$23:$D$24)</f>
        <v>48.746754441648761</v>
      </c>
      <c r="G329" s="72" t="str">
        <f>IF(DATEDIF($B329,'Inst summary and ER calculation'!$U$6,"y")=2,"2-3 years","3-4 years")</f>
        <v>3-4 years</v>
      </c>
      <c r="H329" s="69">
        <f t="shared" si="20"/>
        <v>1</v>
      </c>
      <c r="I329" s="142">
        <f>$C329*H329*_xlfn.XLOOKUP($G329,'Sample Size cal and results'!$B$25:$B$26,'Sample Size cal and results'!$D$25:$D$26)</f>
        <v>47.766599064511034</v>
      </c>
    </row>
    <row r="330" spans="1:9" ht="13">
      <c r="A330" s="131" t="s">
        <v>1444</v>
      </c>
      <c r="B330" s="53">
        <v>41926</v>
      </c>
      <c r="C330" s="52">
        <v>50</v>
      </c>
      <c r="D330" s="72" t="str">
        <f>IF(DATEDIF($B330,'Inst summary and ER calculation'!$T$6,"y")=1,"1-2 years","2-3 years")</f>
        <v>2-3 years</v>
      </c>
      <c r="E330" s="69">
        <f t="shared" si="19"/>
        <v>0.99726775956284153</v>
      </c>
      <c r="F330" s="69">
        <f>$C330*E330*_xlfn.XLOOKUP($D330,'Sample Size cal and results'!$B$23:$B$24,'Sample Size cal and results'!$D$23:$D$24)</f>
        <v>50.777869210050795</v>
      </c>
      <c r="G330" s="72" t="str">
        <f>IF(DATEDIF($B330,'Inst summary and ER calculation'!$U$6,"y")=2,"2-3 years","3-4 years")</f>
        <v>3-4 years</v>
      </c>
      <c r="H330" s="69">
        <f t="shared" si="20"/>
        <v>1</v>
      </c>
      <c r="I330" s="142">
        <f>$C330*H330*_xlfn.XLOOKUP($G330,'Sample Size cal and results'!$B$25:$B$26,'Sample Size cal and results'!$D$25:$D$26)</f>
        <v>49.756874025532326</v>
      </c>
    </row>
    <row r="331" spans="1:9" ht="13">
      <c r="A331" s="131" t="s">
        <v>1444</v>
      </c>
      <c r="B331" s="53">
        <v>41927</v>
      </c>
      <c r="C331" s="52">
        <v>2529</v>
      </c>
      <c r="D331" s="72" t="str">
        <f>IF(DATEDIF($B331,'Inst summary and ER calculation'!$T$6,"y")=1,"1-2 years","2-3 years")</f>
        <v>2-3 years</v>
      </c>
      <c r="E331" s="69">
        <f t="shared" si="19"/>
        <v>0.99726775956284153</v>
      </c>
      <c r="F331" s="69">
        <f>$C331*E331*_xlfn.XLOOKUP($D331,'Sample Size cal and results'!$B$23:$B$24,'Sample Size cal and results'!$D$23:$D$24)</f>
        <v>2568.3446246443691</v>
      </c>
      <c r="G331" s="72" t="str">
        <f>IF(DATEDIF($B331,'Inst summary and ER calculation'!$U$6,"y")=2,"2-3 years","3-4 years")</f>
        <v>3-4 years</v>
      </c>
      <c r="H331" s="69">
        <f t="shared" si="20"/>
        <v>1</v>
      </c>
      <c r="I331" s="142">
        <f>$C331*H331*_xlfn.XLOOKUP($G331,'Sample Size cal and results'!$B$25:$B$26,'Sample Size cal and results'!$D$25:$D$26)</f>
        <v>2516.7026882114251</v>
      </c>
    </row>
    <row r="332" spans="1:9" ht="13">
      <c r="A332" s="131" t="s">
        <v>1444</v>
      </c>
      <c r="B332" s="53">
        <v>41928</v>
      </c>
      <c r="C332" s="52">
        <v>94</v>
      </c>
      <c r="D332" s="72" t="str">
        <f>IF(DATEDIF($B332,'Inst summary and ER calculation'!$T$6,"y")=1,"1-2 years","2-3 years")</f>
        <v>2-3 years</v>
      </c>
      <c r="E332" s="69">
        <f t="shared" si="19"/>
        <v>0.99726775956284153</v>
      </c>
      <c r="F332" s="69">
        <f>$C332*E332*_xlfn.XLOOKUP($D332,'Sample Size cal and results'!$B$23:$B$24,'Sample Size cal and results'!$D$23:$D$24)</f>
        <v>95.462394114895488</v>
      </c>
      <c r="G332" s="72" t="str">
        <f>IF(DATEDIF($B332,'Inst summary and ER calculation'!$U$6,"y")=2,"2-3 years","3-4 years")</f>
        <v>3-4 years</v>
      </c>
      <c r="H332" s="69">
        <f t="shared" si="20"/>
        <v>1</v>
      </c>
      <c r="I332" s="142">
        <f>$C332*H332*_xlfn.XLOOKUP($G332,'Sample Size cal and results'!$B$25:$B$26,'Sample Size cal and results'!$D$25:$D$26)</f>
        <v>93.542923168000769</v>
      </c>
    </row>
    <row r="333" spans="1:9" ht="13">
      <c r="A333" s="131" t="s">
        <v>1444</v>
      </c>
      <c r="B333" s="53">
        <v>41929</v>
      </c>
      <c r="C333" s="52">
        <v>102</v>
      </c>
      <c r="D333" s="72" t="str">
        <f>IF(DATEDIF($B333,'Inst summary and ER calculation'!$T$6,"y")=1,"1-2 years","2-3 years")</f>
        <v>2-3 years</v>
      </c>
      <c r="E333" s="69">
        <f t="shared" si="19"/>
        <v>0.99726775956284153</v>
      </c>
      <c r="F333" s="69">
        <f>$C333*E333*_xlfn.XLOOKUP($D333,'Sample Size cal and results'!$B$23:$B$24,'Sample Size cal and results'!$D$23:$D$24)</f>
        <v>103.58685318850361</v>
      </c>
      <c r="G333" s="72" t="str">
        <f>IF(DATEDIF($B333,'Inst summary and ER calculation'!$U$6,"y")=2,"2-3 years","3-4 years")</f>
        <v>3-4 years</v>
      </c>
      <c r="H333" s="69">
        <f t="shared" si="20"/>
        <v>1</v>
      </c>
      <c r="I333" s="142">
        <f>$C333*H333*_xlfn.XLOOKUP($G333,'Sample Size cal and results'!$B$25:$B$26,'Sample Size cal and results'!$D$25:$D$26)</f>
        <v>101.50402301208595</v>
      </c>
    </row>
    <row r="334" spans="1:9" ht="13">
      <c r="A334" s="131" t="s">
        <v>1444</v>
      </c>
      <c r="B334" s="53">
        <v>41930</v>
      </c>
      <c r="C334" s="52">
        <v>117</v>
      </c>
      <c r="D334" s="72" t="str">
        <f>IF(DATEDIF($B334,'Inst summary and ER calculation'!$T$6,"y")=1,"1-2 years","2-3 years")</f>
        <v>2-3 years</v>
      </c>
      <c r="E334" s="69">
        <f t="shared" si="19"/>
        <v>0.99726775956284153</v>
      </c>
      <c r="F334" s="69">
        <f>$C334*E334*_xlfn.XLOOKUP($D334,'Sample Size cal and results'!$B$23:$B$24,'Sample Size cal and results'!$D$23:$D$24)</f>
        <v>118.82021395151885</v>
      </c>
      <c r="G334" s="72" t="str">
        <f>IF(DATEDIF($B334,'Inst summary and ER calculation'!$U$6,"y")=2,"2-3 years","3-4 years")</f>
        <v>3-4 years</v>
      </c>
      <c r="H334" s="69">
        <f t="shared" si="20"/>
        <v>1</v>
      </c>
      <c r="I334" s="142">
        <f>$C334*H334*_xlfn.XLOOKUP($G334,'Sample Size cal and results'!$B$25:$B$26,'Sample Size cal and results'!$D$25:$D$26)</f>
        <v>116.43108521974564</v>
      </c>
    </row>
    <row r="335" spans="1:9" ht="13">
      <c r="A335" s="131" t="s">
        <v>1444</v>
      </c>
      <c r="B335" s="53">
        <v>41931</v>
      </c>
      <c r="C335" s="52">
        <v>75</v>
      </c>
      <c r="D335" s="72" t="str">
        <f>IF(DATEDIF($B335,'Inst summary and ER calculation'!$T$6,"y")=1,"1-2 years","2-3 years")</f>
        <v>2-3 years</v>
      </c>
      <c r="E335" s="69">
        <f t="shared" si="19"/>
        <v>0.99726775956284153</v>
      </c>
      <c r="F335" s="69">
        <f>$C335*E335*_xlfn.XLOOKUP($D335,'Sample Size cal and results'!$B$23:$B$24,'Sample Size cal and results'!$D$23:$D$24)</f>
        <v>76.166803815076179</v>
      </c>
      <c r="G335" s="72" t="str">
        <f>IF(DATEDIF($B335,'Inst summary and ER calculation'!$U$6,"y")=2,"2-3 years","3-4 years")</f>
        <v>3-4 years</v>
      </c>
      <c r="H335" s="69">
        <f t="shared" si="20"/>
        <v>1</v>
      </c>
      <c r="I335" s="142">
        <f>$C335*H335*_xlfn.XLOOKUP($G335,'Sample Size cal and results'!$B$25:$B$26,'Sample Size cal and results'!$D$25:$D$26)</f>
        <v>74.635311038298497</v>
      </c>
    </row>
    <row r="336" spans="1:9" ht="13">
      <c r="A336" s="131" t="s">
        <v>1444</v>
      </c>
      <c r="B336" s="53">
        <v>41932</v>
      </c>
      <c r="C336" s="52">
        <v>79</v>
      </c>
      <c r="D336" s="72" t="str">
        <f>IF(DATEDIF($B336,'Inst summary and ER calculation'!$T$6,"y")=1,"1-2 years","2-3 years")</f>
        <v>2-3 years</v>
      </c>
      <c r="E336" s="69">
        <f t="shared" si="19"/>
        <v>0.99726775956284153</v>
      </c>
      <c r="F336" s="69">
        <f>$C336*E336*_xlfn.XLOOKUP($D336,'Sample Size cal and results'!$B$23:$B$24,'Sample Size cal and results'!$D$23:$D$24)</f>
        <v>80.229033351880247</v>
      </c>
      <c r="G336" s="72" t="str">
        <f>IF(DATEDIF($B336,'Inst summary and ER calculation'!$U$6,"y")=2,"2-3 years","3-4 years")</f>
        <v>3-4 years</v>
      </c>
      <c r="H336" s="69">
        <f t="shared" si="20"/>
        <v>1</v>
      </c>
      <c r="I336" s="142">
        <f>$C336*H336*_xlfn.XLOOKUP($G336,'Sample Size cal and results'!$B$25:$B$26,'Sample Size cal and results'!$D$25:$D$26)</f>
        <v>78.615860960341081</v>
      </c>
    </row>
    <row r="337" spans="1:9" ht="13">
      <c r="A337" s="131" t="s">
        <v>1444</v>
      </c>
      <c r="B337" s="53">
        <v>41933</v>
      </c>
      <c r="C337" s="52">
        <v>75</v>
      </c>
      <c r="D337" s="72" t="str">
        <f>IF(DATEDIF($B337,'Inst summary and ER calculation'!$T$6,"y")=1,"1-2 years","2-3 years")</f>
        <v>2-3 years</v>
      </c>
      <c r="E337" s="69">
        <f t="shared" si="19"/>
        <v>0.99726775956284153</v>
      </c>
      <c r="F337" s="69">
        <f>$C337*E337*_xlfn.XLOOKUP($D337,'Sample Size cal and results'!$B$23:$B$24,'Sample Size cal and results'!$D$23:$D$24)</f>
        <v>76.166803815076179</v>
      </c>
      <c r="G337" s="72" t="str">
        <f>IF(DATEDIF($B337,'Inst summary and ER calculation'!$U$6,"y")=2,"2-3 years","3-4 years")</f>
        <v>3-4 years</v>
      </c>
      <c r="H337" s="69">
        <f t="shared" si="20"/>
        <v>1</v>
      </c>
      <c r="I337" s="142">
        <f>$C337*H337*_xlfn.XLOOKUP($G337,'Sample Size cal and results'!$B$25:$B$26,'Sample Size cal and results'!$D$25:$D$26)</f>
        <v>74.635311038298497</v>
      </c>
    </row>
    <row r="338" spans="1:9" ht="13">
      <c r="A338" s="131" t="s">
        <v>1444</v>
      </c>
      <c r="B338" s="53">
        <v>41934</v>
      </c>
      <c r="C338" s="52">
        <v>124</v>
      </c>
      <c r="D338" s="72" t="str">
        <f>IF(DATEDIF($B338,'Inst summary and ER calculation'!$T$6,"y")=1,"1-2 years","2-3 years")</f>
        <v>2-3 years</v>
      </c>
      <c r="E338" s="69">
        <f t="shared" si="19"/>
        <v>0.99726775956284153</v>
      </c>
      <c r="F338" s="69">
        <f>$C338*E338*_xlfn.XLOOKUP($D338,'Sample Size cal and results'!$B$23:$B$24,'Sample Size cal and results'!$D$23:$D$24)</f>
        <v>125.92911564092597</v>
      </c>
      <c r="G338" s="72" t="str">
        <f>IF(DATEDIF($B338,'Inst summary and ER calculation'!$U$6,"y")=2,"2-3 years","3-4 years")</f>
        <v>3-4 years</v>
      </c>
      <c r="H338" s="69">
        <f t="shared" si="20"/>
        <v>1</v>
      </c>
      <c r="I338" s="142">
        <f>$C338*H338*_xlfn.XLOOKUP($G338,'Sample Size cal and results'!$B$25:$B$26,'Sample Size cal and results'!$D$25:$D$26)</f>
        <v>123.39704758332017</v>
      </c>
    </row>
    <row r="339" spans="1:9" ht="13">
      <c r="A339" s="131" t="s">
        <v>1444</v>
      </c>
      <c r="B339" s="53">
        <v>41935</v>
      </c>
      <c r="C339" s="52">
        <v>155</v>
      </c>
      <c r="D339" s="72" t="str">
        <f>IF(DATEDIF($B339,'Inst summary and ER calculation'!$T$6,"y")=1,"1-2 years","2-3 years")</f>
        <v>2-3 years</v>
      </c>
      <c r="E339" s="69">
        <f t="shared" si="19"/>
        <v>0.99726775956284153</v>
      </c>
      <c r="F339" s="69">
        <f>$C339*E339*_xlfn.XLOOKUP($D339,'Sample Size cal and results'!$B$23:$B$24,'Sample Size cal and results'!$D$23:$D$24)</f>
        <v>157.41139455115746</v>
      </c>
      <c r="G339" s="72" t="str">
        <f>IF(DATEDIF($B339,'Inst summary and ER calculation'!$U$6,"y")=2,"2-3 years","3-4 years")</f>
        <v>3-4 years</v>
      </c>
      <c r="H339" s="69">
        <f t="shared" si="20"/>
        <v>1</v>
      </c>
      <c r="I339" s="142">
        <f>$C339*H339*_xlfn.XLOOKUP($G339,'Sample Size cal and results'!$B$25:$B$26,'Sample Size cal and results'!$D$25:$D$26)</f>
        <v>154.24630947915023</v>
      </c>
    </row>
    <row r="340" spans="1:9" ht="13">
      <c r="A340" s="131" t="s">
        <v>1444</v>
      </c>
      <c r="B340" s="53">
        <v>41936</v>
      </c>
      <c r="C340" s="52">
        <v>139</v>
      </c>
      <c r="D340" s="72" t="str">
        <f>IF(DATEDIF($B340,'Inst summary and ER calculation'!$T$6,"y")=1,"1-2 years","2-3 years")</f>
        <v>2-3 years</v>
      </c>
      <c r="E340" s="69">
        <f t="shared" si="19"/>
        <v>0.99726775956284153</v>
      </c>
      <c r="F340" s="69">
        <f>$C340*E340*_xlfn.XLOOKUP($D340,'Sample Size cal and results'!$B$23:$B$24,'Sample Size cal and results'!$D$23:$D$24)</f>
        <v>141.16247640394121</v>
      </c>
      <c r="G340" s="72" t="str">
        <f>IF(DATEDIF($B340,'Inst summary and ER calculation'!$U$6,"y")=2,"2-3 years","3-4 years")</f>
        <v>3-4 years</v>
      </c>
      <c r="H340" s="69">
        <f t="shared" si="20"/>
        <v>1</v>
      </c>
      <c r="I340" s="142">
        <f>$C340*H340*_xlfn.XLOOKUP($G340,'Sample Size cal and results'!$B$25:$B$26,'Sample Size cal and results'!$D$25:$D$26)</f>
        <v>138.32410979097986</v>
      </c>
    </row>
    <row r="341" spans="1:9" ht="13">
      <c r="A341" s="131" t="s">
        <v>1444</v>
      </c>
      <c r="B341" s="53">
        <v>41937</v>
      </c>
      <c r="C341" s="52">
        <v>152</v>
      </c>
      <c r="D341" s="72" t="str">
        <f>IF(DATEDIF($B341,'Inst summary and ER calculation'!$T$6,"y")=1,"1-2 years","2-3 years")</f>
        <v>2-3 years</v>
      </c>
      <c r="E341" s="69">
        <f t="shared" si="19"/>
        <v>0.99726775956284153</v>
      </c>
      <c r="F341" s="69">
        <f>$C341*E341*_xlfn.XLOOKUP($D341,'Sample Size cal and results'!$B$23:$B$24,'Sample Size cal and results'!$D$23:$D$24)</f>
        <v>154.36472239855439</v>
      </c>
      <c r="G341" s="72" t="str">
        <f>IF(DATEDIF($B341,'Inst summary and ER calculation'!$U$6,"y")=2,"2-3 years","3-4 years")</f>
        <v>3-4 years</v>
      </c>
      <c r="H341" s="69">
        <f t="shared" si="20"/>
        <v>1</v>
      </c>
      <c r="I341" s="142">
        <f>$C341*H341*_xlfn.XLOOKUP($G341,'Sample Size cal and results'!$B$25:$B$26,'Sample Size cal and results'!$D$25:$D$26)</f>
        <v>151.26089703761826</v>
      </c>
    </row>
    <row r="342" spans="1:9" ht="13">
      <c r="A342" s="131" t="s">
        <v>1444</v>
      </c>
      <c r="B342" s="53">
        <v>41938</v>
      </c>
      <c r="C342" s="52">
        <v>125</v>
      </c>
      <c r="D342" s="72" t="str">
        <f>IF(DATEDIF($B342,'Inst summary and ER calculation'!$T$6,"y")=1,"1-2 years","2-3 years")</f>
        <v>2-3 years</v>
      </c>
      <c r="E342" s="69">
        <f t="shared" si="19"/>
        <v>0.99726775956284153</v>
      </c>
      <c r="F342" s="69">
        <f>$C342*E342*_xlfn.XLOOKUP($D342,'Sample Size cal and results'!$B$23:$B$24,'Sample Size cal and results'!$D$23:$D$24)</f>
        <v>126.94467302512699</v>
      </c>
      <c r="G342" s="72" t="str">
        <f>IF(DATEDIF($B342,'Inst summary and ER calculation'!$U$6,"y")=2,"2-3 years","3-4 years")</f>
        <v>3-4 years</v>
      </c>
      <c r="H342" s="69">
        <f t="shared" si="20"/>
        <v>1</v>
      </c>
      <c r="I342" s="142">
        <f>$C342*H342*_xlfn.XLOOKUP($G342,'Sample Size cal and results'!$B$25:$B$26,'Sample Size cal and results'!$D$25:$D$26)</f>
        <v>124.39218506383082</v>
      </c>
    </row>
    <row r="343" spans="1:9" ht="13">
      <c r="A343" s="131" t="s">
        <v>1444</v>
      </c>
      <c r="B343" s="53">
        <v>41939</v>
      </c>
      <c r="C343" s="52">
        <v>121</v>
      </c>
      <c r="D343" s="72" t="str">
        <f>IF(DATEDIF($B343,'Inst summary and ER calculation'!$T$6,"y")=1,"1-2 years","2-3 years")</f>
        <v>2-3 years</v>
      </c>
      <c r="E343" s="69">
        <f t="shared" si="19"/>
        <v>0.99726775956284153</v>
      </c>
      <c r="F343" s="69">
        <f>$C343*E343*_xlfn.XLOOKUP($D343,'Sample Size cal and results'!$B$23:$B$24,'Sample Size cal and results'!$D$23:$D$24)</f>
        <v>122.88244348832292</v>
      </c>
      <c r="G343" s="72" t="str">
        <f>IF(DATEDIF($B343,'Inst summary and ER calculation'!$U$6,"y")=2,"2-3 years","3-4 years")</f>
        <v>3-4 years</v>
      </c>
      <c r="H343" s="69">
        <f t="shared" si="20"/>
        <v>1</v>
      </c>
      <c r="I343" s="142">
        <f>$C343*H343*_xlfn.XLOOKUP($G343,'Sample Size cal and results'!$B$25:$B$26,'Sample Size cal and results'!$D$25:$D$26)</f>
        <v>120.41163514178824</v>
      </c>
    </row>
    <row r="344" spans="1:9" ht="13">
      <c r="A344" s="131" t="s">
        <v>1444</v>
      </c>
      <c r="B344" s="53">
        <v>41940</v>
      </c>
      <c r="C344" s="52">
        <v>114</v>
      </c>
      <c r="D344" s="72" t="str">
        <f>IF(DATEDIF($B344,'Inst summary and ER calculation'!$T$6,"y")=1,"1-2 years","2-3 years")</f>
        <v>2-3 years</v>
      </c>
      <c r="E344" s="69">
        <f t="shared" si="19"/>
        <v>0.99726775956284153</v>
      </c>
      <c r="F344" s="69">
        <f>$C344*E344*_xlfn.XLOOKUP($D344,'Sample Size cal and results'!$B$23:$B$24,'Sample Size cal and results'!$D$23:$D$24)</f>
        <v>115.77354179891582</v>
      </c>
      <c r="G344" s="72" t="str">
        <f>IF(DATEDIF($B344,'Inst summary and ER calculation'!$U$6,"y")=2,"2-3 years","3-4 years")</f>
        <v>3-4 years</v>
      </c>
      <c r="H344" s="69">
        <f t="shared" si="20"/>
        <v>1</v>
      </c>
      <c r="I344" s="142">
        <f>$C344*H344*_xlfn.XLOOKUP($G344,'Sample Size cal and results'!$B$25:$B$26,'Sample Size cal and results'!$D$25:$D$26)</f>
        <v>113.44567277821371</v>
      </c>
    </row>
    <row r="345" spans="1:9" ht="13">
      <c r="A345" s="131" t="s">
        <v>1444</v>
      </c>
      <c r="B345" s="53">
        <v>41941</v>
      </c>
      <c r="C345" s="52">
        <v>130</v>
      </c>
      <c r="D345" s="72" t="str">
        <f>IF(DATEDIF($B345,'Inst summary and ER calculation'!$T$6,"y")=1,"1-2 years","2-3 years")</f>
        <v>2-3 years</v>
      </c>
      <c r="E345" s="69">
        <f t="shared" si="19"/>
        <v>0.99726775956284153</v>
      </c>
      <c r="F345" s="69">
        <f>$C345*E345*_xlfn.XLOOKUP($D345,'Sample Size cal and results'!$B$23:$B$24,'Sample Size cal and results'!$D$23:$D$24)</f>
        <v>132.02245994613205</v>
      </c>
      <c r="G345" s="72" t="str">
        <f>IF(DATEDIF($B345,'Inst summary and ER calculation'!$U$6,"y")=2,"2-3 years","3-4 years")</f>
        <v>3-4 years</v>
      </c>
      <c r="H345" s="69">
        <f t="shared" si="20"/>
        <v>1</v>
      </c>
      <c r="I345" s="142">
        <f>$C345*H345*_xlfn.XLOOKUP($G345,'Sample Size cal and results'!$B$25:$B$26,'Sample Size cal and results'!$D$25:$D$26)</f>
        <v>129.36787246638406</v>
      </c>
    </row>
    <row r="346" spans="1:9" ht="13">
      <c r="A346" s="131" t="s">
        <v>1444</v>
      </c>
      <c r="B346" s="53">
        <v>41942</v>
      </c>
      <c r="C346" s="52">
        <v>457</v>
      </c>
      <c r="D346" s="72" t="str">
        <f>IF(DATEDIF($B346,'Inst summary and ER calculation'!$T$6,"y")=1,"1-2 years","2-3 years")</f>
        <v>2-3 years</v>
      </c>
      <c r="E346" s="69">
        <f t="shared" si="19"/>
        <v>0.99726775956284153</v>
      </c>
      <c r="F346" s="69">
        <f>$C346*E346*_xlfn.XLOOKUP($D346,'Sample Size cal and results'!$B$23:$B$24,'Sample Size cal and results'!$D$23:$D$24)</f>
        <v>464.10972457986423</v>
      </c>
      <c r="G346" s="72" t="str">
        <f>IF(DATEDIF($B346,'Inst summary and ER calculation'!$U$6,"y")=2,"2-3 years","3-4 years")</f>
        <v>3-4 years</v>
      </c>
      <c r="H346" s="69">
        <f t="shared" si="20"/>
        <v>1</v>
      </c>
      <c r="I346" s="142">
        <f>$C346*H346*_xlfn.XLOOKUP($G346,'Sample Size cal and results'!$B$25:$B$26,'Sample Size cal and results'!$D$25:$D$26)</f>
        <v>454.77782859336548</v>
      </c>
    </row>
    <row r="347" spans="1:9" ht="13">
      <c r="A347" s="131" t="s">
        <v>1444</v>
      </c>
      <c r="B347" s="53">
        <v>41943</v>
      </c>
      <c r="C347" s="52">
        <v>964</v>
      </c>
      <c r="D347" s="72" t="str">
        <f>IF(DATEDIF($B347,'Inst summary and ER calculation'!$T$6,"y")=1,"1-2 years","2-3 years")</f>
        <v>2-3 years</v>
      </c>
      <c r="E347" s="69">
        <f t="shared" si="19"/>
        <v>0.99726775956284153</v>
      </c>
      <c r="F347" s="69">
        <f>$C347*E347*_xlfn.XLOOKUP($D347,'Sample Size cal and results'!$B$23:$B$24,'Sample Size cal and results'!$D$23:$D$24)</f>
        <v>978.99731836977924</v>
      </c>
      <c r="G347" s="72" t="str">
        <f>IF(DATEDIF($B347,'Inst summary and ER calculation'!$U$6,"y")=2,"2-3 years","3-4 years")</f>
        <v>3-4 years</v>
      </c>
      <c r="H347" s="69">
        <f t="shared" si="20"/>
        <v>1</v>
      </c>
      <c r="I347" s="142">
        <f>$C347*H347*_xlfn.XLOOKUP($G347,'Sample Size cal and results'!$B$25:$B$26,'Sample Size cal and results'!$D$25:$D$26)</f>
        <v>959.31253121226325</v>
      </c>
    </row>
    <row r="348" spans="1:9" ht="13">
      <c r="A348" s="131" t="s">
        <v>1444</v>
      </c>
      <c r="B348" s="53">
        <v>41958</v>
      </c>
      <c r="C348" s="52">
        <v>3</v>
      </c>
      <c r="D348" s="72" t="str">
        <f>IF(DATEDIF($B348,'Inst summary and ER calculation'!$T$6,"y")=1,"1-2 years","2-3 years")</f>
        <v>2-3 years</v>
      </c>
      <c r="E348" s="69">
        <f t="shared" si="19"/>
        <v>0.99726775956284153</v>
      </c>
      <c r="F348" s="69">
        <f>$C348*E348*_xlfn.XLOOKUP($D348,'Sample Size cal and results'!$B$23:$B$24,'Sample Size cal and results'!$D$23:$D$24)</f>
        <v>3.0466721526030476</v>
      </c>
      <c r="G348" s="72" t="str">
        <f>IF(DATEDIF($B348,'Inst summary and ER calculation'!$U$6,"y")=2,"2-3 years","3-4 years")</f>
        <v>3-4 years</v>
      </c>
      <c r="H348" s="69">
        <f t="shared" si="20"/>
        <v>1</v>
      </c>
      <c r="I348" s="142">
        <f>$C348*H348*_xlfn.XLOOKUP($G348,'Sample Size cal and results'!$B$25:$B$26,'Sample Size cal and results'!$D$25:$D$26)</f>
        <v>2.9854124415319396</v>
      </c>
    </row>
    <row r="349" spans="1:9" ht="13">
      <c r="A349" s="131" t="s">
        <v>1444</v>
      </c>
      <c r="B349" s="53">
        <v>41988</v>
      </c>
      <c r="C349" s="52">
        <v>14</v>
      </c>
      <c r="D349" s="72" t="str">
        <f>IF(DATEDIF($B349,'Inst summary and ER calculation'!$T$6,"y")=1,"1-2 years","2-3 years")</f>
        <v>2-3 years</v>
      </c>
      <c r="E349" s="69">
        <f t="shared" si="19"/>
        <v>0.99726775956284153</v>
      </c>
      <c r="F349" s="69">
        <f>$C349*E349*_xlfn.XLOOKUP($D349,'Sample Size cal and results'!$B$23:$B$24,'Sample Size cal and results'!$D$23:$D$24)</f>
        <v>14.217803378814221</v>
      </c>
      <c r="G349" s="72" t="str">
        <f>IF(DATEDIF($B349,'Inst summary and ER calculation'!$U$6,"y")=2,"2-3 years","3-4 years")</f>
        <v>3-4 years</v>
      </c>
      <c r="H349" s="69">
        <f t="shared" si="20"/>
        <v>1</v>
      </c>
      <c r="I349" s="142">
        <f>$C349*H349*_xlfn.XLOOKUP($G349,'Sample Size cal and results'!$B$25:$B$26,'Sample Size cal and results'!$D$25:$D$26)</f>
        <v>13.931924727149053</v>
      </c>
    </row>
    <row r="350" spans="1:9" ht="13">
      <c r="A350" s="131" t="s">
        <v>1444</v>
      </c>
      <c r="B350" s="53">
        <v>42005</v>
      </c>
      <c r="C350" s="52">
        <v>2</v>
      </c>
      <c r="D350" s="72" t="str">
        <f>IF(DATEDIF($B350,'Inst summary and ER calculation'!$T$6,"y")=1,"1-2 years","2-3 years")</f>
        <v>2-3 years</v>
      </c>
      <c r="E350" s="69">
        <f t="shared" si="19"/>
        <v>0.99726775956284153</v>
      </c>
      <c r="F350" s="69">
        <f>$C350*E350*_xlfn.XLOOKUP($D350,'Sample Size cal and results'!$B$23:$B$24,'Sample Size cal and results'!$D$23:$D$24)</f>
        <v>2.0311147684020319</v>
      </c>
      <c r="G350" s="72" t="str">
        <f>IF(DATEDIF($B350,'Inst summary and ER calculation'!$U$6,"y")=2,"2-3 years","3-4 years")</f>
        <v>3-4 years</v>
      </c>
      <c r="H350" s="69">
        <f t="shared" si="20"/>
        <v>1</v>
      </c>
      <c r="I350" s="142">
        <f>$C350*H350*_xlfn.XLOOKUP($G350,'Sample Size cal and results'!$B$25:$B$26,'Sample Size cal and results'!$D$25:$D$26)</f>
        <v>1.9902749610212931</v>
      </c>
    </row>
    <row r="351" spans="1:9" ht="13">
      <c r="A351" s="131" t="s">
        <v>1444</v>
      </c>
      <c r="B351" s="53">
        <v>42006</v>
      </c>
      <c r="C351" s="52">
        <v>8</v>
      </c>
      <c r="D351" s="72" t="str">
        <f>IF(DATEDIF($B351,'Inst summary and ER calculation'!$T$6,"y")=1,"1-2 years","2-3 years")</f>
        <v>2-3 years</v>
      </c>
      <c r="E351" s="69">
        <f t="shared" si="19"/>
        <v>0.99726775956284153</v>
      </c>
      <c r="F351" s="69">
        <f>$C351*E351*_xlfn.XLOOKUP($D351,'Sample Size cal and results'!$B$23:$B$24,'Sample Size cal and results'!$D$23:$D$24)</f>
        <v>8.1244590736081275</v>
      </c>
      <c r="G351" s="72" t="str">
        <f>IF(DATEDIF($B351,'Inst summary and ER calculation'!$U$6,"y")=2,"2-3 years","3-4 years")</f>
        <v>3-4 years</v>
      </c>
      <c r="H351" s="69">
        <f t="shared" si="20"/>
        <v>1</v>
      </c>
      <c r="I351" s="142">
        <f>$C351*H351*_xlfn.XLOOKUP($G351,'Sample Size cal and results'!$B$25:$B$26,'Sample Size cal and results'!$D$25:$D$26)</f>
        <v>7.9610998440851724</v>
      </c>
    </row>
    <row r="352" spans="1:9" ht="13">
      <c r="A352" s="131" t="s">
        <v>1444</v>
      </c>
      <c r="B352" s="53">
        <v>42007</v>
      </c>
      <c r="C352" s="52">
        <v>2</v>
      </c>
      <c r="D352" s="72" t="str">
        <f>IF(DATEDIF($B352,'Inst summary and ER calculation'!$T$6,"y")=1,"1-2 years","2-3 years")</f>
        <v>2-3 years</v>
      </c>
      <c r="E352" s="69">
        <f t="shared" si="19"/>
        <v>0.99726775956284153</v>
      </c>
      <c r="F352" s="69">
        <f>$C352*E352*_xlfn.XLOOKUP($D352,'Sample Size cal and results'!$B$23:$B$24,'Sample Size cal and results'!$D$23:$D$24)</f>
        <v>2.0311147684020319</v>
      </c>
      <c r="G352" s="72" t="str">
        <f>IF(DATEDIF($B352,'Inst summary and ER calculation'!$U$6,"y")=2,"2-3 years","3-4 years")</f>
        <v>3-4 years</v>
      </c>
      <c r="H352" s="69">
        <f t="shared" si="20"/>
        <v>1</v>
      </c>
      <c r="I352" s="142">
        <f>$C352*H352*_xlfn.XLOOKUP($G352,'Sample Size cal and results'!$B$25:$B$26,'Sample Size cal and results'!$D$25:$D$26)</f>
        <v>1.9902749610212931</v>
      </c>
    </row>
    <row r="353" spans="1:9" ht="13">
      <c r="A353" s="131" t="s">
        <v>1444</v>
      </c>
      <c r="B353" s="53">
        <v>42008</v>
      </c>
      <c r="C353" s="52">
        <v>1</v>
      </c>
      <c r="D353" s="72" t="str">
        <f>IF(DATEDIF($B353,'Inst summary and ER calculation'!$T$6,"y")=1,"1-2 years","2-3 years")</f>
        <v>2-3 years</v>
      </c>
      <c r="E353" s="69">
        <f t="shared" si="19"/>
        <v>0.99726775956284153</v>
      </c>
      <c r="F353" s="69">
        <f>$C353*E353*_xlfn.XLOOKUP($D353,'Sample Size cal and results'!$B$23:$B$24,'Sample Size cal and results'!$D$23:$D$24)</f>
        <v>1.0155573842010159</v>
      </c>
      <c r="G353" s="72" t="str">
        <f>IF(DATEDIF($B353,'Inst summary and ER calculation'!$U$6,"y")=2,"2-3 years","3-4 years")</f>
        <v>3-4 years</v>
      </c>
      <c r="H353" s="69">
        <f t="shared" si="20"/>
        <v>1</v>
      </c>
      <c r="I353" s="142">
        <f>$C353*H353*_xlfn.XLOOKUP($G353,'Sample Size cal and results'!$B$25:$B$26,'Sample Size cal and results'!$D$25:$D$26)</f>
        <v>0.99513748051064654</v>
      </c>
    </row>
    <row r="354" spans="1:9" ht="13">
      <c r="A354" s="131" t="s">
        <v>1444</v>
      </c>
      <c r="B354" s="53">
        <v>42009</v>
      </c>
      <c r="C354" s="52">
        <v>6</v>
      </c>
      <c r="D354" s="72" t="str">
        <f>IF(DATEDIF($B354,'Inst summary and ER calculation'!$T$6,"y")=1,"1-2 years","2-3 years")</f>
        <v>2-3 years</v>
      </c>
      <c r="E354" s="69">
        <f t="shared" si="19"/>
        <v>0.99726775956284153</v>
      </c>
      <c r="F354" s="69">
        <f>$C354*E354*_xlfn.XLOOKUP($D354,'Sample Size cal and results'!$B$23:$B$24,'Sample Size cal and results'!$D$23:$D$24)</f>
        <v>6.0933443052060952</v>
      </c>
      <c r="G354" s="72" t="str">
        <f>IF(DATEDIF($B354,'Inst summary and ER calculation'!$U$6,"y")=2,"2-3 years","3-4 years")</f>
        <v>3-4 years</v>
      </c>
      <c r="H354" s="69">
        <f t="shared" si="20"/>
        <v>1</v>
      </c>
      <c r="I354" s="142">
        <f>$C354*H354*_xlfn.XLOOKUP($G354,'Sample Size cal and results'!$B$25:$B$26,'Sample Size cal and results'!$D$25:$D$26)</f>
        <v>5.9708248830638793</v>
      </c>
    </row>
    <row r="355" spans="1:9" ht="13">
      <c r="A355" s="131" t="s">
        <v>1444</v>
      </c>
      <c r="B355" s="53">
        <v>42011</v>
      </c>
      <c r="C355" s="52">
        <v>2</v>
      </c>
      <c r="D355" s="72" t="str">
        <f>IF(DATEDIF($B355,'Inst summary and ER calculation'!$T$6,"y")=1,"1-2 years","2-3 years")</f>
        <v>2-3 years</v>
      </c>
      <c r="E355" s="69">
        <f t="shared" si="19"/>
        <v>0.99726775956284153</v>
      </c>
      <c r="F355" s="69">
        <f>$C355*E355*_xlfn.XLOOKUP($D355,'Sample Size cal and results'!$B$23:$B$24,'Sample Size cal and results'!$D$23:$D$24)</f>
        <v>2.0311147684020319</v>
      </c>
      <c r="G355" s="72" t="str">
        <f>IF(DATEDIF($B355,'Inst summary and ER calculation'!$U$6,"y")=2,"2-3 years","3-4 years")</f>
        <v>3-4 years</v>
      </c>
      <c r="H355" s="69">
        <f t="shared" si="20"/>
        <v>1</v>
      </c>
      <c r="I355" s="142">
        <f>$C355*H355*_xlfn.XLOOKUP($G355,'Sample Size cal and results'!$B$25:$B$26,'Sample Size cal and results'!$D$25:$D$26)</f>
        <v>1.9902749610212931</v>
      </c>
    </row>
    <row r="356" spans="1:9" ht="13">
      <c r="A356" s="131" t="s">
        <v>1444</v>
      </c>
      <c r="B356" s="53">
        <v>42012</v>
      </c>
      <c r="C356" s="52">
        <v>4</v>
      </c>
      <c r="D356" s="72" t="str">
        <f>IF(DATEDIF($B356,'Inst summary and ER calculation'!$T$6,"y")=1,"1-2 years","2-3 years")</f>
        <v>2-3 years</v>
      </c>
      <c r="E356" s="69">
        <f t="shared" si="19"/>
        <v>0.99726775956284153</v>
      </c>
      <c r="F356" s="69">
        <f>$C356*E356*_xlfn.XLOOKUP($D356,'Sample Size cal and results'!$B$23:$B$24,'Sample Size cal and results'!$D$23:$D$24)</f>
        <v>4.0622295368040637</v>
      </c>
      <c r="G356" s="72" t="str">
        <f>IF(DATEDIF($B356,'Inst summary and ER calculation'!$U$6,"y")=2,"2-3 years","3-4 years")</f>
        <v>3-4 years</v>
      </c>
      <c r="H356" s="69">
        <f t="shared" si="20"/>
        <v>1</v>
      </c>
      <c r="I356" s="142">
        <f>$C356*H356*_xlfn.XLOOKUP($G356,'Sample Size cal and results'!$B$25:$B$26,'Sample Size cal and results'!$D$25:$D$26)</f>
        <v>3.9805499220425862</v>
      </c>
    </row>
    <row r="357" spans="1:9" ht="13">
      <c r="A357" s="131" t="s">
        <v>1444</v>
      </c>
      <c r="B357" s="53">
        <v>42013</v>
      </c>
      <c r="C357" s="52">
        <v>2</v>
      </c>
      <c r="D357" s="72" t="str">
        <f>IF(DATEDIF($B357,'Inst summary and ER calculation'!$T$6,"y")=1,"1-2 years","2-3 years")</f>
        <v>2-3 years</v>
      </c>
      <c r="E357" s="69">
        <f t="shared" si="19"/>
        <v>0.99726775956284153</v>
      </c>
      <c r="F357" s="69">
        <f>$C357*E357*_xlfn.XLOOKUP($D357,'Sample Size cal and results'!$B$23:$B$24,'Sample Size cal and results'!$D$23:$D$24)</f>
        <v>2.0311147684020319</v>
      </c>
      <c r="G357" s="72" t="str">
        <f>IF(DATEDIF($B357,'Inst summary and ER calculation'!$U$6,"y")=2,"2-3 years","3-4 years")</f>
        <v>3-4 years</v>
      </c>
      <c r="H357" s="69">
        <f t="shared" si="20"/>
        <v>1</v>
      </c>
      <c r="I357" s="142">
        <f>$C357*H357*_xlfn.XLOOKUP($G357,'Sample Size cal and results'!$B$25:$B$26,'Sample Size cal and results'!$D$25:$D$26)</f>
        <v>1.9902749610212931</v>
      </c>
    </row>
    <row r="358" spans="1:9" ht="13">
      <c r="A358" s="131" t="s">
        <v>1444</v>
      </c>
      <c r="B358" s="53">
        <v>42014</v>
      </c>
      <c r="C358" s="52">
        <v>4</v>
      </c>
      <c r="D358" s="72" t="str">
        <f>IF(DATEDIF($B358,'Inst summary and ER calculation'!$T$6,"y")=1,"1-2 years","2-3 years")</f>
        <v>2-3 years</v>
      </c>
      <c r="E358" s="69">
        <f t="shared" si="19"/>
        <v>0.99726775956284153</v>
      </c>
      <c r="F358" s="69">
        <f>$C358*E358*_xlfn.XLOOKUP($D358,'Sample Size cal and results'!$B$23:$B$24,'Sample Size cal and results'!$D$23:$D$24)</f>
        <v>4.0622295368040637</v>
      </c>
      <c r="G358" s="72" t="str">
        <f>IF(DATEDIF($B358,'Inst summary and ER calculation'!$U$6,"y")=2,"2-3 years","3-4 years")</f>
        <v>3-4 years</v>
      </c>
      <c r="H358" s="69">
        <f t="shared" si="20"/>
        <v>1</v>
      </c>
      <c r="I358" s="142">
        <f>$C358*H358*_xlfn.XLOOKUP($G358,'Sample Size cal and results'!$B$25:$B$26,'Sample Size cal and results'!$D$25:$D$26)</f>
        <v>3.9805499220425862</v>
      </c>
    </row>
    <row r="359" spans="1:9" ht="13">
      <c r="A359" s="131" t="s">
        <v>1444</v>
      </c>
      <c r="B359" s="53">
        <v>42015</v>
      </c>
      <c r="C359" s="52">
        <v>5</v>
      </c>
      <c r="D359" s="72" t="str">
        <f>IF(DATEDIF($B359,'Inst summary and ER calculation'!$T$6,"y")=1,"1-2 years","2-3 years")</f>
        <v>2-3 years</v>
      </c>
      <c r="E359" s="69">
        <f t="shared" si="19"/>
        <v>0.99726775956284153</v>
      </c>
      <c r="F359" s="69">
        <f>$C359*E359*_xlfn.XLOOKUP($D359,'Sample Size cal and results'!$B$23:$B$24,'Sample Size cal and results'!$D$23:$D$24)</f>
        <v>5.077786921005079</v>
      </c>
      <c r="G359" s="72" t="str">
        <f>IF(DATEDIF($B359,'Inst summary and ER calculation'!$U$6,"y")=2,"2-3 years","3-4 years")</f>
        <v>3-4 years</v>
      </c>
      <c r="H359" s="69">
        <f t="shared" si="20"/>
        <v>1</v>
      </c>
      <c r="I359" s="142">
        <f>$C359*H359*_xlfn.XLOOKUP($G359,'Sample Size cal and results'!$B$25:$B$26,'Sample Size cal and results'!$D$25:$D$26)</f>
        <v>4.9756874025532323</v>
      </c>
    </row>
    <row r="360" spans="1:9" ht="13">
      <c r="A360" s="131" t="s">
        <v>1444</v>
      </c>
      <c r="B360" s="53">
        <v>42016</v>
      </c>
      <c r="C360" s="52">
        <v>7</v>
      </c>
      <c r="D360" s="72" t="str">
        <f>IF(DATEDIF($B360,'Inst summary and ER calculation'!$T$6,"y")=1,"1-2 years","2-3 years")</f>
        <v>2-3 years</v>
      </c>
      <c r="E360" s="69">
        <f t="shared" si="19"/>
        <v>0.99726775956284153</v>
      </c>
      <c r="F360" s="69">
        <f>$C360*E360*_xlfn.XLOOKUP($D360,'Sample Size cal and results'!$B$23:$B$24,'Sample Size cal and results'!$D$23:$D$24)</f>
        <v>7.1089016894071104</v>
      </c>
      <c r="G360" s="72" t="str">
        <f>IF(DATEDIF($B360,'Inst summary and ER calculation'!$U$6,"y")=2,"2-3 years","3-4 years")</f>
        <v>3-4 years</v>
      </c>
      <c r="H360" s="69">
        <f t="shared" si="20"/>
        <v>1</v>
      </c>
      <c r="I360" s="142">
        <f>$C360*H360*_xlfn.XLOOKUP($G360,'Sample Size cal and results'!$B$25:$B$26,'Sample Size cal and results'!$D$25:$D$26)</f>
        <v>6.9659623635745263</v>
      </c>
    </row>
    <row r="361" spans="1:9" ht="13">
      <c r="A361" s="131" t="s">
        <v>1444</v>
      </c>
      <c r="B361" s="53">
        <v>42017</v>
      </c>
      <c r="C361" s="52">
        <v>5</v>
      </c>
      <c r="D361" s="72" t="str">
        <f>IF(DATEDIF($B361,'Inst summary and ER calculation'!$T$6,"y")=1,"1-2 years","2-3 years")</f>
        <v>2-3 years</v>
      </c>
      <c r="E361" s="69">
        <f t="shared" si="19"/>
        <v>0.99726775956284153</v>
      </c>
      <c r="F361" s="69">
        <f>$C361*E361*_xlfn.XLOOKUP($D361,'Sample Size cal and results'!$B$23:$B$24,'Sample Size cal and results'!$D$23:$D$24)</f>
        <v>5.077786921005079</v>
      </c>
      <c r="G361" s="72" t="str">
        <f>IF(DATEDIF($B361,'Inst summary and ER calculation'!$U$6,"y")=2,"2-3 years","3-4 years")</f>
        <v>3-4 years</v>
      </c>
      <c r="H361" s="69">
        <f t="shared" si="20"/>
        <v>1</v>
      </c>
      <c r="I361" s="142">
        <f>$C361*H361*_xlfn.XLOOKUP($G361,'Sample Size cal and results'!$B$25:$B$26,'Sample Size cal and results'!$D$25:$D$26)</f>
        <v>4.9756874025532323</v>
      </c>
    </row>
    <row r="362" spans="1:9" ht="13">
      <c r="A362" s="131" t="s">
        <v>1444</v>
      </c>
      <c r="B362" s="53">
        <v>42018</v>
      </c>
      <c r="C362" s="52">
        <v>9</v>
      </c>
      <c r="D362" s="72" t="str">
        <f>IF(DATEDIF($B362,'Inst summary and ER calculation'!$T$6,"y")=1,"1-2 years","2-3 years")</f>
        <v>2-3 years</v>
      </c>
      <c r="E362" s="69">
        <f t="shared" si="19"/>
        <v>0.99726775956284153</v>
      </c>
      <c r="F362" s="69">
        <f>$C362*E362*_xlfn.XLOOKUP($D362,'Sample Size cal and results'!$B$23:$B$24,'Sample Size cal and results'!$D$23:$D$24)</f>
        <v>9.1400164578091427</v>
      </c>
      <c r="G362" s="72" t="str">
        <f>IF(DATEDIF($B362,'Inst summary and ER calculation'!$U$6,"y")=2,"2-3 years","3-4 years")</f>
        <v>3-4 years</v>
      </c>
      <c r="H362" s="69">
        <f t="shared" si="20"/>
        <v>1</v>
      </c>
      <c r="I362" s="142">
        <f>$C362*H362*_xlfn.XLOOKUP($G362,'Sample Size cal and results'!$B$25:$B$26,'Sample Size cal and results'!$D$25:$D$26)</f>
        <v>8.9562373245958184</v>
      </c>
    </row>
    <row r="363" spans="1:9" ht="13">
      <c r="A363" s="131" t="s">
        <v>1444</v>
      </c>
      <c r="B363" s="53">
        <v>42019</v>
      </c>
      <c r="C363" s="52">
        <v>570</v>
      </c>
      <c r="D363" s="72" t="str">
        <f>IF(DATEDIF($B363,'Inst summary and ER calculation'!$T$6,"y")=1,"1-2 years","2-3 years")</f>
        <v>2-3 years</v>
      </c>
      <c r="E363" s="69">
        <f t="shared" si="19"/>
        <v>0.99726775956284153</v>
      </c>
      <c r="F363" s="69">
        <f>$C363*E363*_xlfn.XLOOKUP($D363,'Sample Size cal and results'!$B$23:$B$24,'Sample Size cal and results'!$D$23:$D$24)</f>
        <v>578.86770899457906</v>
      </c>
      <c r="G363" s="72" t="str">
        <f>IF(DATEDIF($B363,'Inst summary and ER calculation'!$U$6,"y")=2,"2-3 years","3-4 years")</f>
        <v>3-4 years</v>
      </c>
      <c r="H363" s="69">
        <f t="shared" si="20"/>
        <v>1</v>
      </c>
      <c r="I363" s="142">
        <f>$C363*H363*_xlfn.XLOOKUP($G363,'Sample Size cal and results'!$B$25:$B$26,'Sample Size cal and results'!$D$25:$D$26)</f>
        <v>567.22836389106851</v>
      </c>
    </row>
    <row r="364" spans="1:9" ht="13">
      <c r="A364" s="131" t="s">
        <v>1444</v>
      </c>
      <c r="B364" s="53">
        <v>42020</v>
      </c>
      <c r="C364" s="52">
        <v>6</v>
      </c>
      <c r="D364" s="72" t="str">
        <f>IF(DATEDIF($B364,'Inst summary and ER calculation'!$T$6,"y")=1,"1-2 years","2-3 years")</f>
        <v>2-3 years</v>
      </c>
      <c r="E364" s="69">
        <f t="shared" si="19"/>
        <v>0.99726775956284153</v>
      </c>
      <c r="F364" s="69">
        <f>$C364*E364*_xlfn.XLOOKUP($D364,'Sample Size cal and results'!$B$23:$B$24,'Sample Size cal and results'!$D$23:$D$24)</f>
        <v>6.0933443052060952</v>
      </c>
      <c r="G364" s="72" t="str">
        <f>IF(DATEDIF($B364,'Inst summary and ER calculation'!$U$6,"y")=2,"2-3 years","3-4 years")</f>
        <v>3-4 years</v>
      </c>
      <c r="H364" s="69">
        <f t="shared" si="20"/>
        <v>1</v>
      </c>
      <c r="I364" s="142">
        <f>$C364*H364*_xlfn.XLOOKUP($G364,'Sample Size cal and results'!$B$25:$B$26,'Sample Size cal and results'!$D$25:$D$26)</f>
        <v>5.9708248830638793</v>
      </c>
    </row>
    <row r="365" spans="1:9" ht="13">
      <c r="A365" s="131" t="s">
        <v>1444</v>
      </c>
      <c r="B365" s="53">
        <v>42021</v>
      </c>
      <c r="C365" s="52">
        <v>3</v>
      </c>
      <c r="D365" s="72" t="str">
        <f>IF(DATEDIF($B365,'Inst summary and ER calculation'!$T$6,"y")=1,"1-2 years","2-3 years")</f>
        <v>2-3 years</v>
      </c>
      <c r="E365" s="69">
        <f t="shared" si="19"/>
        <v>0.99726775956284153</v>
      </c>
      <c r="F365" s="69">
        <f>$C365*E365*_xlfn.XLOOKUP($D365,'Sample Size cal and results'!$B$23:$B$24,'Sample Size cal and results'!$D$23:$D$24)</f>
        <v>3.0466721526030476</v>
      </c>
      <c r="G365" s="72" t="str">
        <f>IF(DATEDIF($B365,'Inst summary and ER calculation'!$U$6,"y")=2,"2-3 years","3-4 years")</f>
        <v>3-4 years</v>
      </c>
      <c r="H365" s="69">
        <f t="shared" si="20"/>
        <v>1</v>
      </c>
      <c r="I365" s="142">
        <f>$C365*H365*_xlfn.XLOOKUP($G365,'Sample Size cal and results'!$B$25:$B$26,'Sample Size cal and results'!$D$25:$D$26)</f>
        <v>2.9854124415319396</v>
      </c>
    </row>
    <row r="366" spans="1:9" ht="13">
      <c r="A366" s="131" t="s">
        <v>1444</v>
      </c>
      <c r="B366" s="53">
        <v>42022</v>
      </c>
      <c r="C366" s="52">
        <v>5</v>
      </c>
      <c r="D366" s="72" t="str">
        <f>IF(DATEDIF($B366,'Inst summary and ER calculation'!$T$6,"y")=1,"1-2 years","2-3 years")</f>
        <v>2-3 years</v>
      </c>
      <c r="E366" s="69">
        <f t="shared" si="19"/>
        <v>0.99726775956284153</v>
      </c>
      <c r="F366" s="69">
        <f>$C366*E366*_xlfn.XLOOKUP($D366,'Sample Size cal and results'!$B$23:$B$24,'Sample Size cal and results'!$D$23:$D$24)</f>
        <v>5.077786921005079</v>
      </c>
      <c r="G366" s="72" t="str">
        <f>IF(DATEDIF($B366,'Inst summary and ER calculation'!$U$6,"y")=2,"2-3 years","3-4 years")</f>
        <v>3-4 years</v>
      </c>
      <c r="H366" s="69">
        <f t="shared" si="20"/>
        <v>1</v>
      </c>
      <c r="I366" s="142">
        <f>$C366*H366*_xlfn.XLOOKUP($G366,'Sample Size cal and results'!$B$25:$B$26,'Sample Size cal and results'!$D$25:$D$26)</f>
        <v>4.9756874025532323</v>
      </c>
    </row>
    <row r="367" spans="1:9" ht="13">
      <c r="A367" s="131" t="s">
        <v>1444</v>
      </c>
      <c r="B367" s="53">
        <v>42023</v>
      </c>
      <c r="C367" s="52">
        <v>7</v>
      </c>
      <c r="D367" s="72" t="str">
        <f>IF(DATEDIF($B367,'Inst summary and ER calculation'!$T$6,"y")=1,"1-2 years","2-3 years")</f>
        <v>2-3 years</v>
      </c>
      <c r="E367" s="69">
        <f t="shared" si="19"/>
        <v>0.99726775956284153</v>
      </c>
      <c r="F367" s="69">
        <f>$C367*E367*_xlfn.XLOOKUP($D367,'Sample Size cal and results'!$B$23:$B$24,'Sample Size cal and results'!$D$23:$D$24)</f>
        <v>7.1089016894071104</v>
      </c>
      <c r="G367" s="72" t="str">
        <f>IF(DATEDIF($B367,'Inst summary and ER calculation'!$U$6,"y")=2,"2-3 years","3-4 years")</f>
        <v>3-4 years</v>
      </c>
      <c r="H367" s="69">
        <f t="shared" si="20"/>
        <v>1</v>
      </c>
      <c r="I367" s="142">
        <f>$C367*H367*_xlfn.XLOOKUP($G367,'Sample Size cal and results'!$B$25:$B$26,'Sample Size cal and results'!$D$25:$D$26)</f>
        <v>6.9659623635745263</v>
      </c>
    </row>
    <row r="368" spans="1:9" ht="13">
      <c r="A368" s="131" t="s">
        <v>1444</v>
      </c>
      <c r="B368" s="53">
        <v>42024</v>
      </c>
      <c r="C368" s="52">
        <v>8</v>
      </c>
      <c r="D368" s="72" t="str">
        <f>IF(DATEDIF($B368,'Inst summary and ER calculation'!$T$6,"y")=1,"1-2 years","2-3 years")</f>
        <v>2-3 years</v>
      </c>
      <c r="E368" s="69">
        <f t="shared" si="19"/>
        <v>0.99726775956284153</v>
      </c>
      <c r="F368" s="69">
        <f>$C368*E368*_xlfn.XLOOKUP($D368,'Sample Size cal and results'!$B$23:$B$24,'Sample Size cal and results'!$D$23:$D$24)</f>
        <v>8.1244590736081275</v>
      </c>
      <c r="G368" s="72" t="str">
        <f>IF(DATEDIF($B368,'Inst summary and ER calculation'!$U$6,"y")=2,"2-3 years","3-4 years")</f>
        <v>3-4 years</v>
      </c>
      <c r="H368" s="69">
        <f t="shared" si="20"/>
        <v>1</v>
      </c>
      <c r="I368" s="142">
        <f>$C368*H368*_xlfn.XLOOKUP($G368,'Sample Size cal and results'!$B$25:$B$26,'Sample Size cal and results'!$D$25:$D$26)</f>
        <v>7.9610998440851724</v>
      </c>
    </row>
    <row r="369" spans="1:9" ht="13">
      <c r="A369" s="131" t="s">
        <v>1444</v>
      </c>
      <c r="B369" s="53">
        <v>42025</v>
      </c>
      <c r="C369" s="52">
        <v>6</v>
      </c>
      <c r="D369" s="72" t="str">
        <f>IF(DATEDIF($B369,'Inst summary and ER calculation'!$T$6,"y")=1,"1-2 years","2-3 years")</f>
        <v>2-3 years</v>
      </c>
      <c r="E369" s="69">
        <f t="shared" si="19"/>
        <v>0.99726775956284153</v>
      </c>
      <c r="F369" s="69">
        <f>$C369*E369*_xlfn.XLOOKUP($D369,'Sample Size cal and results'!$B$23:$B$24,'Sample Size cal and results'!$D$23:$D$24)</f>
        <v>6.0933443052060952</v>
      </c>
      <c r="G369" s="72" t="str">
        <f>IF(DATEDIF($B369,'Inst summary and ER calculation'!$U$6,"y")=2,"2-3 years","3-4 years")</f>
        <v>3-4 years</v>
      </c>
      <c r="H369" s="69">
        <f t="shared" si="20"/>
        <v>1</v>
      </c>
      <c r="I369" s="142">
        <f>$C369*H369*_xlfn.XLOOKUP($G369,'Sample Size cal and results'!$B$25:$B$26,'Sample Size cal and results'!$D$25:$D$26)</f>
        <v>5.9708248830638793</v>
      </c>
    </row>
    <row r="370" spans="1:9" ht="13">
      <c r="A370" s="131" t="s">
        <v>1444</v>
      </c>
      <c r="B370" s="53">
        <v>42026</v>
      </c>
      <c r="C370" s="52">
        <v>14</v>
      </c>
      <c r="D370" s="72" t="str">
        <f>IF(DATEDIF($B370,'Inst summary and ER calculation'!$T$6,"y")=1,"1-2 years","2-3 years")</f>
        <v>2-3 years</v>
      </c>
      <c r="E370" s="69">
        <f t="shared" si="19"/>
        <v>0.99726775956284153</v>
      </c>
      <c r="F370" s="69">
        <f>$C370*E370*_xlfn.XLOOKUP($D370,'Sample Size cal and results'!$B$23:$B$24,'Sample Size cal and results'!$D$23:$D$24)</f>
        <v>14.217803378814221</v>
      </c>
      <c r="G370" s="72" t="str">
        <f>IF(DATEDIF($B370,'Inst summary and ER calculation'!$U$6,"y")=2,"2-3 years","3-4 years")</f>
        <v>3-4 years</v>
      </c>
      <c r="H370" s="69">
        <f t="shared" si="20"/>
        <v>1</v>
      </c>
      <c r="I370" s="142">
        <f>$C370*H370*_xlfn.XLOOKUP($G370,'Sample Size cal and results'!$B$25:$B$26,'Sample Size cal and results'!$D$25:$D$26)</f>
        <v>13.931924727149053</v>
      </c>
    </row>
    <row r="371" spans="1:9" ht="13">
      <c r="A371" s="131" t="s">
        <v>1444</v>
      </c>
      <c r="B371" s="53">
        <v>42027</v>
      </c>
      <c r="C371" s="52">
        <v>5</v>
      </c>
      <c r="D371" s="72" t="str">
        <f>IF(DATEDIF($B371,'Inst summary and ER calculation'!$T$6,"y")=1,"1-2 years","2-3 years")</f>
        <v>2-3 years</v>
      </c>
      <c r="E371" s="69">
        <f t="shared" si="19"/>
        <v>0.99726775956284153</v>
      </c>
      <c r="F371" s="69">
        <f>$C371*E371*_xlfn.XLOOKUP($D371,'Sample Size cal and results'!$B$23:$B$24,'Sample Size cal and results'!$D$23:$D$24)</f>
        <v>5.077786921005079</v>
      </c>
      <c r="G371" s="72" t="str">
        <f>IF(DATEDIF($B371,'Inst summary and ER calculation'!$U$6,"y")=2,"2-3 years","3-4 years")</f>
        <v>3-4 years</v>
      </c>
      <c r="H371" s="69">
        <f t="shared" si="20"/>
        <v>1</v>
      </c>
      <c r="I371" s="142">
        <f>$C371*H371*_xlfn.XLOOKUP($G371,'Sample Size cal and results'!$B$25:$B$26,'Sample Size cal and results'!$D$25:$D$26)</f>
        <v>4.9756874025532323</v>
      </c>
    </row>
    <row r="372" spans="1:9" ht="13">
      <c r="A372" s="131" t="s">
        <v>1444</v>
      </c>
      <c r="B372" s="53">
        <v>42028</v>
      </c>
      <c r="C372" s="52">
        <v>4</v>
      </c>
      <c r="D372" s="72" t="str">
        <f>IF(DATEDIF($B372,'Inst summary and ER calculation'!$T$6,"y")=1,"1-2 years","2-3 years")</f>
        <v>2-3 years</v>
      </c>
      <c r="E372" s="69">
        <f t="shared" si="19"/>
        <v>0.99726775956284153</v>
      </c>
      <c r="F372" s="69">
        <f>$C372*E372*_xlfn.XLOOKUP($D372,'Sample Size cal and results'!$B$23:$B$24,'Sample Size cal and results'!$D$23:$D$24)</f>
        <v>4.0622295368040637</v>
      </c>
      <c r="G372" s="72" t="str">
        <f>IF(DATEDIF($B372,'Inst summary and ER calculation'!$U$6,"y")=2,"2-3 years","3-4 years")</f>
        <v>3-4 years</v>
      </c>
      <c r="H372" s="69">
        <f t="shared" si="20"/>
        <v>1</v>
      </c>
      <c r="I372" s="142">
        <f>$C372*H372*_xlfn.XLOOKUP($G372,'Sample Size cal and results'!$B$25:$B$26,'Sample Size cal and results'!$D$25:$D$26)</f>
        <v>3.9805499220425862</v>
      </c>
    </row>
    <row r="373" spans="1:9" ht="13">
      <c r="A373" s="131" t="s">
        <v>1444</v>
      </c>
      <c r="B373" s="53">
        <v>42029</v>
      </c>
      <c r="C373" s="52">
        <v>17</v>
      </c>
      <c r="D373" s="72" t="str">
        <f>IF(DATEDIF($B373,'Inst summary and ER calculation'!$T$6,"y")=1,"1-2 years","2-3 years")</f>
        <v>2-3 years</v>
      </c>
      <c r="E373" s="69">
        <f t="shared" si="19"/>
        <v>0.99726775956284153</v>
      </c>
      <c r="F373" s="69">
        <f>$C373*E373*_xlfn.XLOOKUP($D373,'Sample Size cal and results'!$B$23:$B$24,'Sample Size cal and results'!$D$23:$D$24)</f>
        <v>17.264475531417268</v>
      </c>
      <c r="G373" s="72" t="str">
        <f>IF(DATEDIF($B373,'Inst summary and ER calculation'!$U$6,"y")=2,"2-3 years","3-4 years")</f>
        <v>3-4 years</v>
      </c>
      <c r="H373" s="69">
        <f t="shared" si="20"/>
        <v>1</v>
      </c>
      <c r="I373" s="142">
        <f>$C373*H373*_xlfn.XLOOKUP($G373,'Sample Size cal and results'!$B$25:$B$26,'Sample Size cal and results'!$D$25:$D$26)</f>
        <v>16.917337168680991</v>
      </c>
    </row>
    <row r="374" spans="1:9" ht="13">
      <c r="A374" s="131" t="s">
        <v>1444</v>
      </c>
      <c r="B374" s="53">
        <v>42030</v>
      </c>
      <c r="C374" s="52">
        <v>11</v>
      </c>
      <c r="D374" s="72" t="str">
        <f>IF(DATEDIF($B374,'Inst summary and ER calculation'!$T$6,"y")=1,"1-2 years","2-3 years")</f>
        <v>2-3 years</v>
      </c>
      <c r="E374" s="69">
        <f t="shared" si="19"/>
        <v>0.99726775956284153</v>
      </c>
      <c r="F374" s="69">
        <f>$C374*E374*_xlfn.XLOOKUP($D374,'Sample Size cal and results'!$B$23:$B$24,'Sample Size cal and results'!$D$23:$D$24)</f>
        <v>11.171131226211175</v>
      </c>
      <c r="G374" s="72" t="str">
        <f>IF(DATEDIF($B374,'Inst summary and ER calculation'!$U$6,"y")=2,"2-3 years","3-4 years")</f>
        <v>3-4 years</v>
      </c>
      <c r="H374" s="69">
        <f t="shared" si="20"/>
        <v>1</v>
      </c>
      <c r="I374" s="142">
        <f>$C374*H374*_xlfn.XLOOKUP($G374,'Sample Size cal and results'!$B$25:$B$26,'Sample Size cal and results'!$D$25:$D$26)</f>
        <v>10.946512285617112</v>
      </c>
    </row>
    <row r="375" spans="1:9" ht="13">
      <c r="A375" s="131" t="s">
        <v>1444</v>
      </c>
      <c r="B375" s="53">
        <v>42031</v>
      </c>
      <c r="C375" s="52">
        <v>8</v>
      </c>
      <c r="D375" s="72" t="str">
        <f>IF(DATEDIF($B375,'Inst summary and ER calculation'!$T$6,"y")=1,"1-2 years","2-3 years")</f>
        <v>2-3 years</v>
      </c>
      <c r="E375" s="69">
        <f t="shared" si="19"/>
        <v>0.99726775956284153</v>
      </c>
      <c r="F375" s="69">
        <f>$C375*E375*_xlfn.XLOOKUP($D375,'Sample Size cal and results'!$B$23:$B$24,'Sample Size cal and results'!$D$23:$D$24)</f>
        <v>8.1244590736081275</v>
      </c>
      <c r="G375" s="72" t="str">
        <f>IF(DATEDIF($B375,'Inst summary and ER calculation'!$U$6,"y")=2,"2-3 years","3-4 years")</f>
        <v>3-4 years</v>
      </c>
      <c r="H375" s="69">
        <f t="shared" si="20"/>
        <v>1</v>
      </c>
      <c r="I375" s="142">
        <f>$C375*H375*_xlfn.XLOOKUP($G375,'Sample Size cal and results'!$B$25:$B$26,'Sample Size cal and results'!$D$25:$D$26)</f>
        <v>7.9610998440851724</v>
      </c>
    </row>
    <row r="376" spans="1:9" ht="13">
      <c r="A376" s="131" t="s">
        <v>1444</v>
      </c>
      <c r="B376" s="53">
        <v>42032</v>
      </c>
      <c r="C376" s="52">
        <v>5</v>
      </c>
      <c r="D376" s="72" t="str">
        <f>IF(DATEDIF($B376,'Inst summary and ER calculation'!$T$6,"y")=1,"1-2 years","2-3 years")</f>
        <v>2-3 years</v>
      </c>
      <c r="E376" s="69">
        <f t="shared" si="19"/>
        <v>0.99726775956284153</v>
      </c>
      <c r="F376" s="69">
        <f>$C376*E376*_xlfn.XLOOKUP($D376,'Sample Size cal and results'!$B$23:$B$24,'Sample Size cal and results'!$D$23:$D$24)</f>
        <v>5.077786921005079</v>
      </c>
      <c r="G376" s="72" t="str">
        <f>IF(DATEDIF($B376,'Inst summary and ER calculation'!$U$6,"y")=2,"2-3 years","3-4 years")</f>
        <v>3-4 years</v>
      </c>
      <c r="H376" s="69">
        <f t="shared" si="20"/>
        <v>1</v>
      </c>
      <c r="I376" s="142">
        <f>$C376*H376*_xlfn.XLOOKUP($G376,'Sample Size cal and results'!$B$25:$B$26,'Sample Size cal and results'!$D$25:$D$26)</f>
        <v>4.9756874025532323</v>
      </c>
    </row>
    <row r="377" spans="1:9" ht="13">
      <c r="A377" s="131" t="s">
        <v>1444</v>
      </c>
      <c r="B377" s="53">
        <v>42033</v>
      </c>
      <c r="C377" s="52">
        <v>8</v>
      </c>
      <c r="D377" s="72" t="str">
        <f>IF(DATEDIF($B377,'Inst summary and ER calculation'!$T$6,"y")=1,"1-2 years","2-3 years")</f>
        <v>2-3 years</v>
      </c>
      <c r="E377" s="69">
        <f t="shared" si="19"/>
        <v>0.99726775956284153</v>
      </c>
      <c r="F377" s="69">
        <f>$C377*E377*_xlfn.XLOOKUP($D377,'Sample Size cal and results'!$B$23:$B$24,'Sample Size cal and results'!$D$23:$D$24)</f>
        <v>8.1244590736081275</v>
      </c>
      <c r="G377" s="72" t="str">
        <f>IF(DATEDIF($B377,'Inst summary and ER calculation'!$U$6,"y")=2,"2-3 years","3-4 years")</f>
        <v>3-4 years</v>
      </c>
      <c r="H377" s="69">
        <f t="shared" si="20"/>
        <v>1</v>
      </c>
      <c r="I377" s="142">
        <f>$C377*H377*_xlfn.XLOOKUP($G377,'Sample Size cal and results'!$B$25:$B$26,'Sample Size cal and results'!$D$25:$D$26)</f>
        <v>7.9610998440851724</v>
      </c>
    </row>
    <row r="378" spans="1:9" ht="13">
      <c r="A378" s="131" t="s">
        <v>1444</v>
      </c>
      <c r="B378" s="53">
        <v>42034</v>
      </c>
      <c r="C378" s="52">
        <v>8</v>
      </c>
      <c r="D378" s="72" t="str">
        <f>IF(DATEDIF($B378,'Inst summary and ER calculation'!$T$6,"y")=1,"1-2 years","2-3 years")</f>
        <v>2-3 years</v>
      </c>
      <c r="E378" s="69">
        <f t="shared" si="19"/>
        <v>0.99726775956284153</v>
      </c>
      <c r="F378" s="69">
        <f>$C378*E378*_xlfn.XLOOKUP($D378,'Sample Size cal and results'!$B$23:$B$24,'Sample Size cal and results'!$D$23:$D$24)</f>
        <v>8.1244590736081275</v>
      </c>
      <c r="G378" s="72" t="str">
        <f>IF(DATEDIF($B378,'Inst summary and ER calculation'!$U$6,"y")=2,"2-3 years","3-4 years")</f>
        <v>3-4 years</v>
      </c>
      <c r="H378" s="69">
        <f t="shared" si="20"/>
        <v>1</v>
      </c>
      <c r="I378" s="142">
        <f>$C378*H378*_xlfn.XLOOKUP($G378,'Sample Size cal and results'!$B$25:$B$26,'Sample Size cal and results'!$D$25:$D$26)</f>
        <v>7.9610998440851724</v>
      </c>
    </row>
    <row r="379" spans="1:9" ht="13">
      <c r="A379" s="131" t="s">
        <v>1444</v>
      </c>
      <c r="B379" s="53">
        <v>42035</v>
      </c>
      <c r="C379" s="52">
        <v>5</v>
      </c>
      <c r="D379" s="72" t="str">
        <f>IF(DATEDIF($B379,'Inst summary and ER calculation'!$T$6,"y")=1,"1-2 years","2-3 years")</f>
        <v>2-3 years</v>
      </c>
      <c r="E379" s="69">
        <f t="shared" si="19"/>
        <v>0.99726775956284153</v>
      </c>
      <c r="F379" s="69">
        <f>$C379*E379*_xlfn.XLOOKUP($D379,'Sample Size cal and results'!$B$23:$B$24,'Sample Size cal and results'!$D$23:$D$24)</f>
        <v>5.077786921005079</v>
      </c>
      <c r="G379" s="72" t="str">
        <f>IF(DATEDIF($B379,'Inst summary and ER calculation'!$U$6,"y")=2,"2-3 years","3-4 years")</f>
        <v>3-4 years</v>
      </c>
      <c r="H379" s="69">
        <f t="shared" si="20"/>
        <v>1</v>
      </c>
      <c r="I379" s="142">
        <f>$C379*H379*_xlfn.XLOOKUP($G379,'Sample Size cal and results'!$B$25:$B$26,'Sample Size cal and results'!$D$25:$D$26)</f>
        <v>4.9756874025532323</v>
      </c>
    </row>
    <row r="380" spans="1:9" ht="13">
      <c r="A380" s="131" t="s">
        <v>1444</v>
      </c>
      <c r="B380" s="53">
        <v>42036</v>
      </c>
      <c r="C380" s="52">
        <v>10</v>
      </c>
      <c r="D380" s="72" t="str">
        <f>IF(DATEDIF($B380,'Inst summary and ER calculation'!$T$6,"y")=1,"1-2 years","2-3 years")</f>
        <v>2-3 years</v>
      </c>
      <c r="E380" s="69">
        <f t="shared" si="19"/>
        <v>0.99726775956284153</v>
      </c>
      <c r="F380" s="69">
        <f>$C380*E380*_xlfn.XLOOKUP($D380,'Sample Size cal and results'!$B$23:$B$24,'Sample Size cal and results'!$D$23:$D$24)</f>
        <v>10.155573842010158</v>
      </c>
      <c r="G380" s="72" t="str">
        <f>IF(DATEDIF($B380,'Inst summary and ER calculation'!$U$6,"y")=2,"2-3 years","3-4 years")</f>
        <v>3-4 years</v>
      </c>
      <c r="H380" s="69">
        <f t="shared" si="20"/>
        <v>1</v>
      </c>
      <c r="I380" s="142">
        <f>$C380*H380*_xlfn.XLOOKUP($G380,'Sample Size cal and results'!$B$25:$B$26,'Sample Size cal and results'!$D$25:$D$26)</f>
        <v>9.9513748051064645</v>
      </c>
    </row>
    <row r="381" spans="1:9" ht="13">
      <c r="A381" s="131" t="s">
        <v>1444</v>
      </c>
      <c r="B381" s="53">
        <v>42037</v>
      </c>
      <c r="C381" s="52">
        <v>10</v>
      </c>
      <c r="D381" s="72" t="str">
        <f>IF(DATEDIF($B381,'Inst summary and ER calculation'!$T$6,"y")=1,"1-2 years","2-3 years")</f>
        <v>2-3 years</v>
      </c>
      <c r="E381" s="69">
        <f t="shared" si="19"/>
        <v>0.99726775956284153</v>
      </c>
      <c r="F381" s="69">
        <f>$C381*E381*_xlfn.XLOOKUP($D381,'Sample Size cal and results'!$B$23:$B$24,'Sample Size cal and results'!$D$23:$D$24)</f>
        <v>10.155573842010158</v>
      </c>
      <c r="G381" s="72" t="str">
        <f>IF(DATEDIF($B381,'Inst summary and ER calculation'!$U$6,"y")=2,"2-3 years","3-4 years")</f>
        <v>3-4 years</v>
      </c>
      <c r="H381" s="69">
        <f t="shared" si="20"/>
        <v>1</v>
      </c>
      <c r="I381" s="142">
        <f>$C381*H381*_xlfn.XLOOKUP($G381,'Sample Size cal and results'!$B$25:$B$26,'Sample Size cal and results'!$D$25:$D$26)</f>
        <v>9.9513748051064645</v>
      </c>
    </row>
    <row r="382" spans="1:9" ht="13">
      <c r="A382" s="131" t="s">
        <v>1444</v>
      </c>
      <c r="B382" s="53">
        <v>42038</v>
      </c>
      <c r="C382" s="52">
        <v>8</v>
      </c>
      <c r="D382" s="72" t="str">
        <f>IF(DATEDIF($B382,'Inst summary and ER calculation'!$T$6,"y")=1,"1-2 years","2-3 years")</f>
        <v>2-3 years</v>
      </c>
      <c r="E382" s="69">
        <f t="shared" si="19"/>
        <v>0.99726775956284153</v>
      </c>
      <c r="F382" s="69">
        <f>$C382*E382*_xlfn.XLOOKUP($D382,'Sample Size cal and results'!$B$23:$B$24,'Sample Size cal and results'!$D$23:$D$24)</f>
        <v>8.1244590736081275</v>
      </c>
      <c r="G382" s="72" t="str">
        <f>IF(DATEDIF($B382,'Inst summary and ER calculation'!$U$6,"y")=2,"2-3 years","3-4 years")</f>
        <v>3-4 years</v>
      </c>
      <c r="H382" s="69">
        <f t="shared" si="20"/>
        <v>1</v>
      </c>
      <c r="I382" s="142">
        <f>$C382*H382*_xlfn.XLOOKUP($G382,'Sample Size cal and results'!$B$25:$B$26,'Sample Size cal and results'!$D$25:$D$26)</f>
        <v>7.9610998440851724</v>
      </c>
    </row>
    <row r="383" spans="1:9" ht="13">
      <c r="A383" s="131" t="s">
        <v>1444</v>
      </c>
      <c r="B383" s="53">
        <v>42039</v>
      </c>
      <c r="C383" s="52">
        <v>8</v>
      </c>
      <c r="D383" s="72" t="str">
        <f>IF(DATEDIF($B383,'Inst summary and ER calculation'!$T$6,"y")=1,"1-2 years","2-3 years")</f>
        <v>2-3 years</v>
      </c>
      <c r="E383" s="69">
        <f t="shared" si="19"/>
        <v>0.99726775956284153</v>
      </c>
      <c r="F383" s="69">
        <f>$C383*E383*_xlfn.XLOOKUP($D383,'Sample Size cal and results'!$B$23:$B$24,'Sample Size cal and results'!$D$23:$D$24)</f>
        <v>8.1244590736081275</v>
      </c>
      <c r="G383" s="72" t="str">
        <f>IF(DATEDIF($B383,'Inst summary and ER calculation'!$U$6,"y")=2,"2-3 years","3-4 years")</f>
        <v>3-4 years</v>
      </c>
      <c r="H383" s="69">
        <f t="shared" si="20"/>
        <v>1</v>
      </c>
      <c r="I383" s="142">
        <f>$C383*H383*_xlfn.XLOOKUP($G383,'Sample Size cal and results'!$B$25:$B$26,'Sample Size cal and results'!$D$25:$D$26)</f>
        <v>7.9610998440851724</v>
      </c>
    </row>
    <row r="384" spans="1:9" ht="13">
      <c r="A384" s="131" t="s">
        <v>1444</v>
      </c>
      <c r="B384" s="53">
        <v>42040</v>
      </c>
      <c r="C384" s="52">
        <v>14</v>
      </c>
      <c r="D384" s="72" t="str">
        <f>IF(DATEDIF($B384,'Inst summary and ER calculation'!$T$6,"y")=1,"1-2 years","2-3 years")</f>
        <v>2-3 years</v>
      </c>
      <c r="E384" s="69">
        <f t="shared" si="19"/>
        <v>0.99726775956284153</v>
      </c>
      <c r="F384" s="69">
        <f>$C384*E384*_xlfn.XLOOKUP($D384,'Sample Size cal and results'!$B$23:$B$24,'Sample Size cal and results'!$D$23:$D$24)</f>
        <v>14.217803378814221</v>
      </c>
      <c r="G384" s="72" t="str">
        <f>IF(DATEDIF($B384,'Inst summary and ER calculation'!$U$6,"y")=2,"2-3 years","3-4 years")</f>
        <v>3-4 years</v>
      </c>
      <c r="H384" s="69">
        <f t="shared" si="20"/>
        <v>1</v>
      </c>
      <c r="I384" s="142">
        <f>$C384*H384*_xlfn.XLOOKUP($G384,'Sample Size cal and results'!$B$25:$B$26,'Sample Size cal and results'!$D$25:$D$26)</f>
        <v>13.931924727149053</v>
      </c>
    </row>
    <row r="385" spans="1:9" ht="13">
      <c r="A385" s="131" t="s">
        <v>1444</v>
      </c>
      <c r="B385" s="53">
        <v>42041</v>
      </c>
      <c r="C385" s="52">
        <v>12</v>
      </c>
      <c r="D385" s="72" t="str">
        <f>IF(DATEDIF($B385,'Inst summary and ER calculation'!$T$6,"y")=1,"1-2 years","2-3 years")</f>
        <v>2-3 years</v>
      </c>
      <c r="E385" s="69">
        <f t="shared" si="19"/>
        <v>0.99726775956284153</v>
      </c>
      <c r="F385" s="69">
        <f>$C385*E385*_xlfn.XLOOKUP($D385,'Sample Size cal and results'!$B$23:$B$24,'Sample Size cal and results'!$D$23:$D$24)</f>
        <v>12.18668861041219</v>
      </c>
      <c r="G385" s="72" t="str">
        <f>IF(DATEDIF($B385,'Inst summary and ER calculation'!$U$6,"y")=2,"2-3 years","3-4 years")</f>
        <v>3-4 years</v>
      </c>
      <c r="H385" s="69">
        <f t="shared" si="20"/>
        <v>1</v>
      </c>
      <c r="I385" s="142">
        <f>$C385*H385*_xlfn.XLOOKUP($G385,'Sample Size cal and results'!$B$25:$B$26,'Sample Size cal and results'!$D$25:$D$26)</f>
        <v>11.941649766127759</v>
      </c>
    </row>
    <row r="386" spans="1:9" ht="13">
      <c r="A386" s="131" t="s">
        <v>1444</v>
      </c>
      <c r="B386" s="53">
        <v>42042</v>
      </c>
      <c r="C386" s="52">
        <v>23</v>
      </c>
      <c r="D386" s="72" t="str">
        <f>IF(DATEDIF($B386,'Inst summary and ER calculation'!$T$6,"y")=1,"1-2 years","2-3 years")</f>
        <v>2-3 years</v>
      </c>
      <c r="E386" s="69">
        <f t="shared" ref="E386:E449" si="21">MAX(MIN($T$6)-MAX($T$4,$B386,_xlfn.XLOOKUP($A386,$W$1:$W$36,$X$1:$X$36))+1,0)/366</f>
        <v>0.99726775956284153</v>
      </c>
      <c r="F386" s="69">
        <f>$C386*E386*_xlfn.XLOOKUP($D386,'Sample Size cal and results'!$B$23:$B$24,'Sample Size cal and results'!$D$23:$D$24)</f>
        <v>23.357819836623367</v>
      </c>
      <c r="G386" s="72" t="str">
        <f>IF(DATEDIF($B386,'Inst summary and ER calculation'!$U$6,"y")=2,"2-3 years","3-4 years")</f>
        <v>3-4 years</v>
      </c>
      <c r="H386" s="69">
        <f t="shared" ref="H386:H449" si="22">MAX(MIN($U$6)-MAX($U$4,$B386,_xlfn.XLOOKUP($A386,$W$1:$W$36,$X$1:$X$36))+1,0)/365</f>
        <v>1</v>
      </c>
      <c r="I386" s="142">
        <f>$C386*H386*_xlfn.XLOOKUP($G386,'Sample Size cal and results'!$B$25:$B$26,'Sample Size cal and results'!$D$25:$D$26)</f>
        <v>22.888162051744871</v>
      </c>
    </row>
    <row r="387" spans="1:9" ht="13">
      <c r="A387" s="131" t="s">
        <v>1444</v>
      </c>
      <c r="B387" s="53">
        <v>42043</v>
      </c>
      <c r="C387" s="52">
        <v>20</v>
      </c>
      <c r="D387" s="72" t="str">
        <f>IF(DATEDIF($B387,'Inst summary and ER calculation'!$T$6,"y")=1,"1-2 years","2-3 years")</f>
        <v>2-3 years</v>
      </c>
      <c r="E387" s="69">
        <f t="shared" si="21"/>
        <v>0.99726775956284153</v>
      </c>
      <c r="F387" s="69">
        <f>$C387*E387*_xlfn.XLOOKUP($D387,'Sample Size cal and results'!$B$23:$B$24,'Sample Size cal and results'!$D$23:$D$24)</f>
        <v>20.311147684020316</v>
      </c>
      <c r="G387" s="72" t="str">
        <f>IF(DATEDIF($B387,'Inst summary and ER calculation'!$U$6,"y")=2,"2-3 years","3-4 years")</f>
        <v>3-4 years</v>
      </c>
      <c r="H387" s="69">
        <f t="shared" si="22"/>
        <v>1</v>
      </c>
      <c r="I387" s="142">
        <f>$C387*H387*_xlfn.XLOOKUP($G387,'Sample Size cal and results'!$B$25:$B$26,'Sample Size cal and results'!$D$25:$D$26)</f>
        <v>19.902749610212929</v>
      </c>
    </row>
    <row r="388" spans="1:9" ht="13">
      <c r="A388" s="131" t="s">
        <v>1444</v>
      </c>
      <c r="B388" s="53">
        <v>42044</v>
      </c>
      <c r="C388" s="52">
        <v>15</v>
      </c>
      <c r="D388" s="72" t="str">
        <f>IF(DATEDIF($B388,'Inst summary and ER calculation'!$T$6,"y")=1,"1-2 years","2-3 years")</f>
        <v>2-3 years</v>
      </c>
      <c r="E388" s="69">
        <f t="shared" si="21"/>
        <v>0.99726775956284153</v>
      </c>
      <c r="F388" s="69">
        <f>$C388*E388*_xlfn.XLOOKUP($D388,'Sample Size cal and results'!$B$23:$B$24,'Sample Size cal and results'!$D$23:$D$24)</f>
        <v>15.233360763015238</v>
      </c>
      <c r="G388" s="72" t="str">
        <f>IF(DATEDIF($B388,'Inst summary and ER calculation'!$U$6,"y")=2,"2-3 years","3-4 years")</f>
        <v>3-4 years</v>
      </c>
      <c r="H388" s="69">
        <f t="shared" si="22"/>
        <v>1</v>
      </c>
      <c r="I388" s="142">
        <f>$C388*H388*_xlfn.XLOOKUP($G388,'Sample Size cal and results'!$B$25:$B$26,'Sample Size cal and results'!$D$25:$D$26)</f>
        <v>14.927062207659699</v>
      </c>
    </row>
    <row r="389" spans="1:9" ht="13">
      <c r="A389" s="131" t="s">
        <v>1444</v>
      </c>
      <c r="B389" s="53">
        <v>42045</v>
      </c>
      <c r="C389" s="52">
        <v>20</v>
      </c>
      <c r="D389" s="72" t="str">
        <f>IF(DATEDIF($B389,'Inst summary and ER calculation'!$T$6,"y")=1,"1-2 years","2-3 years")</f>
        <v>2-3 years</v>
      </c>
      <c r="E389" s="69">
        <f t="shared" si="21"/>
        <v>0.99726775956284153</v>
      </c>
      <c r="F389" s="69">
        <f>$C389*E389*_xlfn.XLOOKUP($D389,'Sample Size cal and results'!$B$23:$B$24,'Sample Size cal and results'!$D$23:$D$24)</f>
        <v>20.311147684020316</v>
      </c>
      <c r="G389" s="72" t="str">
        <f>IF(DATEDIF($B389,'Inst summary and ER calculation'!$U$6,"y")=2,"2-3 years","3-4 years")</f>
        <v>3-4 years</v>
      </c>
      <c r="H389" s="69">
        <f t="shared" si="22"/>
        <v>1</v>
      </c>
      <c r="I389" s="142">
        <f>$C389*H389*_xlfn.XLOOKUP($G389,'Sample Size cal and results'!$B$25:$B$26,'Sample Size cal and results'!$D$25:$D$26)</f>
        <v>19.902749610212929</v>
      </c>
    </row>
    <row r="390" spans="1:9" ht="13">
      <c r="A390" s="131" t="s">
        <v>1444</v>
      </c>
      <c r="B390" s="53">
        <v>42046</v>
      </c>
      <c r="C390" s="52">
        <v>18</v>
      </c>
      <c r="D390" s="72" t="str">
        <f>IF(DATEDIF($B390,'Inst summary and ER calculation'!$T$6,"y")=1,"1-2 years","2-3 years")</f>
        <v>2-3 years</v>
      </c>
      <c r="E390" s="69">
        <f t="shared" si="21"/>
        <v>0.99726775956284153</v>
      </c>
      <c r="F390" s="69">
        <f>$C390*E390*_xlfn.XLOOKUP($D390,'Sample Size cal and results'!$B$23:$B$24,'Sample Size cal and results'!$D$23:$D$24)</f>
        <v>18.280032915618285</v>
      </c>
      <c r="G390" s="72" t="str">
        <f>IF(DATEDIF($B390,'Inst summary and ER calculation'!$U$6,"y")=2,"2-3 years","3-4 years")</f>
        <v>3-4 years</v>
      </c>
      <c r="H390" s="69">
        <f t="shared" si="22"/>
        <v>1</v>
      </c>
      <c r="I390" s="142">
        <f>$C390*H390*_xlfn.XLOOKUP($G390,'Sample Size cal and results'!$B$25:$B$26,'Sample Size cal and results'!$D$25:$D$26)</f>
        <v>17.912474649191637</v>
      </c>
    </row>
    <row r="391" spans="1:9" ht="13">
      <c r="A391" s="131" t="s">
        <v>1444</v>
      </c>
      <c r="B391" s="53">
        <v>42047</v>
      </c>
      <c r="C391" s="52">
        <v>27</v>
      </c>
      <c r="D391" s="72" t="str">
        <f>IF(DATEDIF($B391,'Inst summary and ER calculation'!$T$6,"y")=1,"1-2 years","2-3 years")</f>
        <v>2-3 years</v>
      </c>
      <c r="E391" s="69">
        <f t="shared" si="21"/>
        <v>0.99726775956284153</v>
      </c>
      <c r="F391" s="69">
        <f>$C391*E391*_xlfn.XLOOKUP($D391,'Sample Size cal and results'!$B$23:$B$24,'Sample Size cal and results'!$D$23:$D$24)</f>
        <v>27.420049373427428</v>
      </c>
      <c r="G391" s="72" t="str">
        <f>IF(DATEDIF($B391,'Inst summary and ER calculation'!$U$6,"y")=2,"2-3 years","3-4 years")</f>
        <v>3-4 years</v>
      </c>
      <c r="H391" s="69">
        <f t="shared" si="22"/>
        <v>1</v>
      </c>
      <c r="I391" s="142">
        <f>$C391*H391*_xlfn.XLOOKUP($G391,'Sample Size cal and results'!$B$25:$B$26,'Sample Size cal and results'!$D$25:$D$26)</f>
        <v>26.868711973787455</v>
      </c>
    </row>
    <row r="392" spans="1:9" ht="13">
      <c r="A392" s="131" t="s">
        <v>1444</v>
      </c>
      <c r="B392" s="53">
        <v>42048</v>
      </c>
      <c r="C392" s="52">
        <v>20</v>
      </c>
      <c r="D392" s="72" t="str">
        <f>IF(DATEDIF($B392,'Inst summary and ER calculation'!$T$6,"y")=1,"1-2 years","2-3 years")</f>
        <v>2-3 years</v>
      </c>
      <c r="E392" s="69">
        <f t="shared" si="21"/>
        <v>0.99726775956284153</v>
      </c>
      <c r="F392" s="69">
        <f>$C392*E392*_xlfn.XLOOKUP($D392,'Sample Size cal and results'!$B$23:$B$24,'Sample Size cal and results'!$D$23:$D$24)</f>
        <v>20.311147684020316</v>
      </c>
      <c r="G392" s="72" t="str">
        <f>IF(DATEDIF($B392,'Inst summary and ER calculation'!$U$6,"y")=2,"2-3 years","3-4 years")</f>
        <v>3-4 years</v>
      </c>
      <c r="H392" s="69">
        <f t="shared" si="22"/>
        <v>1</v>
      </c>
      <c r="I392" s="142">
        <f>$C392*H392*_xlfn.XLOOKUP($G392,'Sample Size cal and results'!$B$25:$B$26,'Sample Size cal and results'!$D$25:$D$26)</f>
        <v>19.902749610212929</v>
      </c>
    </row>
    <row r="393" spans="1:9" ht="13">
      <c r="A393" s="131" t="s">
        <v>1444</v>
      </c>
      <c r="B393" s="53">
        <v>42049</v>
      </c>
      <c r="C393" s="52">
        <v>153</v>
      </c>
      <c r="D393" s="72" t="str">
        <f>IF(DATEDIF($B393,'Inst summary and ER calculation'!$T$6,"y")=1,"1-2 years","2-3 years")</f>
        <v>2-3 years</v>
      </c>
      <c r="E393" s="69">
        <f t="shared" si="21"/>
        <v>0.99726775956284153</v>
      </c>
      <c r="F393" s="69">
        <f>$C393*E393*_xlfn.XLOOKUP($D393,'Sample Size cal and results'!$B$23:$B$24,'Sample Size cal and results'!$D$23:$D$24)</f>
        <v>155.38027978275542</v>
      </c>
      <c r="G393" s="72" t="str">
        <f>IF(DATEDIF($B393,'Inst summary and ER calculation'!$U$6,"y")=2,"2-3 years","3-4 years")</f>
        <v>3-4 years</v>
      </c>
      <c r="H393" s="69">
        <f t="shared" si="22"/>
        <v>1</v>
      </c>
      <c r="I393" s="142">
        <f>$C393*H393*_xlfn.XLOOKUP($G393,'Sample Size cal and results'!$B$25:$B$26,'Sample Size cal and results'!$D$25:$D$26)</f>
        <v>152.25603451812893</v>
      </c>
    </row>
    <row r="394" spans="1:9" ht="13">
      <c r="A394" s="131" t="s">
        <v>1444</v>
      </c>
      <c r="B394" s="53">
        <v>42050</v>
      </c>
      <c r="C394" s="52">
        <v>573</v>
      </c>
      <c r="D394" s="72" t="str">
        <f>IF(DATEDIF($B394,'Inst summary and ER calculation'!$T$6,"y")=1,"1-2 years","2-3 years")</f>
        <v>2-3 years</v>
      </c>
      <c r="E394" s="69">
        <f t="shared" si="21"/>
        <v>0.99726775956284153</v>
      </c>
      <c r="F394" s="69">
        <f>$C394*E394*_xlfn.XLOOKUP($D394,'Sample Size cal and results'!$B$23:$B$24,'Sample Size cal and results'!$D$23:$D$24)</f>
        <v>581.9143811471821</v>
      </c>
      <c r="G394" s="72" t="str">
        <f>IF(DATEDIF($B394,'Inst summary and ER calculation'!$U$6,"y")=2,"2-3 years","3-4 years")</f>
        <v>3-4 years</v>
      </c>
      <c r="H394" s="69">
        <f t="shared" si="22"/>
        <v>1</v>
      </c>
      <c r="I394" s="142">
        <f>$C394*H394*_xlfn.XLOOKUP($G394,'Sample Size cal and results'!$B$25:$B$26,'Sample Size cal and results'!$D$25:$D$26)</f>
        <v>570.21377633260045</v>
      </c>
    </row>
    <row r="395" spans="1:9" ht="13">
      <c r="A395" s="131" t="s">
        <v>1444</v>
      </c>
      <c r="B395" s="53">
        <v>42051</v>
      </c>
      <c r="C395" s="52">
        <v>26</v>
      </c>
      <c r="D395" s="72" t="str">
        <f>IF(DATEDIF($B395,'Inst summary and ER calculation'!$T$6,"y")=1,"1-2 years","2-3 years")</f>
        <v>2-3 years</v>
      </c>
      <c r="E395" s="69">
        <f t="shared" si="21"/>
        <v>0.99726775956284153</v>
      </c>
      <c r="F395" s="69">
        <f>$C395*E395*_xlfn.XLOOKUP($D395,'Sample Size cal and results'!$B$23:$B$24,'Sample Size cal and results'!$D$23:$D$24)</f>
        <v>26.404491989226415</v>
      </c>
      <c r="G395" s="72" t="str">
        <f>IF(DATEDIF($B395,'Inst summary and ER calculation'!$U$6,"y")=2,"2-3 years","3-4 years")</f>
        <v>3-4 years</v>
      </c>
      <c r="H395" s="69">
        <f t="shared" si="22"/>
        <v>1</v>
      </c>
      <c r="I395" s="142">
        <f>$C395*H395*_xlfn.XLOOKUP($G395,'Sample Size cal and results'!$B$25:$B$26,'Sample Size cal and results'!$D$25:$D$26)</f>
        <v>25.873574493276809</v>
      </c>
    </row>
    <row r="396" spans="1:9" ht="13">
      <c r="A396" s="131" t="s">
        <v>1444</v>
      </c>
      <c r="B396" s="53">
        <v>42052</v>
      </c>
      <c r="C396" s="52">
        <v>35</v>
      </c>
      <c r="D396" s="72" t="str">
        <f>IF(DATEDIF($B396,'Inst summary and ER calculation'!$T$6,"y")=1,"1-2 years","2-3 years")</f>
        <v>2-3 years</v>
      </c>
      <c r="E396" s="69">
        <f t="shared" si="21"/>
        <v>0.99726775956284153</v>
      </c>
      <c r="F396" s="69">
        <f>$C396*E396*_xlfn.XLOOKUP($D396,'Sample Size cal and results'!$B$23:$B$24,'Sample Size cal and results'!$D$23:$D$24)</f>
        <v>35.544508447035554</v>
      </c>
      <c r="G396" s="72" t="str">
        <f>IF(DATEDIF($B396,'Inst summary and ER calculation'!$U$6,"y")=2,"2-3 years","3-4 years")</f>
        <v>3-4 years</v>
      </c>
      <c r="H396" s="69">
        <f t="shared" si="22"/>
        <v>1</v>
      </c>
      <c r="I396" s="142">
        <f>$C396*H396*_xlfn.XLOOKUP($G396,'Sample Size cal and results'!$B$25:$B$26,'Sample Size cal and results'!$D$25:$D$26)</f>
        <v>34.829811817872631</v>
      </c>
    </row>
    <row r="397" spans="1:9" ht="13">
      <c r="A397" s="131" t="s">
        <v>1444</v>
      </c>
      <c r="B397" s="53">
        <v>42053</v>
      </c>
      <c r="C397" s="52">
        <v>19</v>
      </c>
      <c r="D397" s="72" t="str">
        <f>IF(DATEDIF($B397,'Inst summary and ER calculation'!$T$6,"y")=1,"1-2 years","2-3 years")</f>
        <v>2-3 years</v>
      </c>
      <c r="E397" s="69">
        <f t="shared" si="21"/>
        <v>0.99726775956284153</v>
      </c>
      <c r="F397" s="69">
        <f>$C397*E397*_xlfn.XLOOKUP($D397,'Sample Size cal and results'!$B$23:$B$24,'Sample Size cal and results'!$D$23:$D$24)</f>
        <v>19.295590299819299</v>
      </c>
      <c r="G397" s="72" t="str">
        <f>IF(DATEDIF($B397,'Inst summary and ER calculation'!$U$6,"y")=2,"2-3 years","3-4 years")</f>
        <v>3-4 years</v>
      </c>
      <c r="H397" s="69">
        <f t="shared" si="22"/>
        <v>1</v>
      </c>
      <c r="I397" s="142">
        <f>$C397*H397*_xlfn.XLOOKUP($G397,'Sample Size cal and results'!$B$25:$B$26,'Sample Size cal and results'!$D$25:$D$26)</f>
        <v>18.907612129702283</v>
      </c>
    </row>
    <row r="398" spans="1:9" ht="13">
      <c r="A398" s="131" t="s">
        <v>1444</v>
      </c>
      <c r="B398" s="53">
        <v>42054</v>
      </c>
      <c r="C398" s="52">
        <v>23</v>
      </c>
      <c r="D398" s="72" t="str">
        <f>IF(DATEDIF($B398,'Inst summary and ER calculation'!$T$6,"y")=1,"1-2 years","2-3 years")</f>
        <v>2-3 years</v>
      </c>
      <c r="E398" s="69">
        <f t="shared" si="21"/>
        <v>0.99726775956284153</v>
      </c>
      <c r="F398" s="69">
        <f>$C398*E398*_xlfn.XLOOKUP($D398,'Sample Size cal and results'!$B$23:$B$24,'Sample Size cal and results'!$D$23:$D$24)</f>
        <v>23.357819836623367</v>
      </c>
      <c r="G398" s="72" t="str">
        <f>IF(DATEDIF($B398,'Inst summary and ER calculation'!$U$6,"y")=2,"2-3 years","3-4 years")</f>
        <v>3-4 years</v>
      </c>
      <c r="H398" s="69">
        <f t="shared" si="22"/>
        <v>1</v>
      </c>
      <c r="I398" s="142">
        <f>$C398*H398*_xlfn.XLOOKUP($G398,'Sample Size cal and results'!$B$25:$B$26,'Sample Size cal and results'!$D$25:$D$26)</f>
        <v>22.888162051744871</v>
      </c>
    </row>
    <row r="399" spans="1:9" ht="13">
      <c r="A399" s="131" t="s">
        <v>1444</v>
      </c>
      <c r="B399" s="53">
        <v>42055</v>
      </c>
      <c r="C399" s="52">
        <v>25</v>
      </c>
      <c r="D399" s="72" t="str">
        <f>IF(DATEDIF($B399,'Inst summary and ER calculation'!$T$6,"y")=1,"1-2 years","2-3 years")</f>
        <v>2-3 years</v>
      </c>
      <c r="E399" s="69">
        <f t="shared" si="21"/>
        <v>0.99726775956284153</v>
      </c>
      <c r="F399" s="69">
        <f>$C399*E399*_xlfn.XLOOKUP($D399,'Sample Size cal and results'!$B$23:$B$24,'Sample Size cal and results'!$D$23:$D$24)</f>
        <v>25.388934605025398</v>
      </c>
      <c r="G399" s="72" t="str">
        <f>IF(DATEDIF($B399,'Inst summary and ER calculation'!$U$6,"y")=2,"2-3 years","3-4 years")</f>
        <v>3-4 years</v>
      </c>
      <c r="H399" s="69">
        <f t="shared" si="22"/>
        <v>1</v>
      </c>
      <c r="I399" s="142">
        <f>$C399*H399*_xlfn.XLOOKUP($G399,'Sample Size cal and results'!$B$25:$B$26,'Sample Size cal and results'!$D$25:$D$26)</f>
        <v>24.878437012766163</v>
      </c>
    </row>
    <row r="400" spans="1:9" ht="13">
      <c r="A400" s="131" t="s">
        <v>1444</v>
      </c>
      <c r="B400" s="53">
        <v>42056</v>
      </c>
      <c r="C400" s="52">
        <v>18</v>
      </c>
      <c r="D400" s="72" t="str">
        <f>IF(DATEDIF($B400,'Inst summary and ER calculation'!$T$6,"y")=1,"1-2 years","2-3 years")</f>
        <v>2-3 years</v>
      </c>
      <c r="E400" s="69">
        <f t="shared" si="21"/>
        <v>0.99726775956284153</v>
      </c>
      <c r="F400" s="69">
        <f>$C400*E400*_xlfn.XLOOKUP($D400,'Sample Size cal and results'!$B$23:$B$24,'Sample Size cal and results'!$D$23:$D$24)</f>
        <v>18.280032915618285</v>
      </c>
      <c r="G400" s="72" t="str">
        <f>IF(DATEDIF($B400,'Inst summary and ER calculation'!$U$6,"y")=2,"2-3 years","3-4 years")</f>
        <v>3-4 years</v>
      </c>
      <c r="H400" s="69">
        <f t="shared" si="22"/>
        <v>1</v>
      </c>
      <c r="I400" s="142">
        <f>$C400*H400*_xlfn.XLOOKUP($G400,'Sample Size cal and results'!$B$25:$B$26,'Sample Size cal and results'!$D$25:$D$26)</f>
        <v>17.912474649191637</v>
      </c>
    </row>
    <row r="401" spans="1:9" ht="13">
      <c r="A401" s="131" t="s">
        <v>1444</v>
      </c>
      <c r="B401" s="53">
        <v>42057</v>
      </c>
      <c r="C401" s="52">
        <v>24</v>
      </c>
      <c r="D401" s="72" t="str">
        <f>IF(DATEDIF($B401,'Inst summary and ER calculation'!$T$6,"y")=1,"1-2 years","2-3 years")</f>
        <v>2-3 years</v>
      </c>
      <c r="E401" s="69">
        <f t="shared" si="21"/>
        <v>0.99726775956284153</v>
      </c>
      <c r="F401" s="69">
        <f>$C401*E401*_xlfn.XLOOKUP($D401,'Sample Size cal and results'!$B$23:$B$24,'Sample Size cal and results'!$D$23:$D$24)</f>
        <v>24.373377220824381</v>
      </c>
      <c r="G401" s="72" t="str">
        <f>IF(DATEDIF($B401,'Inst summary and ER calculation'!$U$6,"y")=2,"2-3 years","3-4 years")</f>
        <v>3-4 years</v>
      </c>
      <c r="H401" s="69">
        <f t="shared" si="22"/>
        <v>1</v>
      </c>
      <c r="I401" s="142">
        <f>$C401*H401*_xlfn.XLOOKUP($G401,'Sample Size cal and results'!$B$25:$B$26,'Sample Size cal and results'!$D$25:$D$26)</f>
        <v>23.883299532255517</v>
      </c>
    </row>
    <row r="402" spans="1:9" ht="13">
      <c r="A402" s="131" t="s">
        <v>1444</v>
      </c>
      <c r="B402" s="53">
        <v>42058</v>
      </c>
      <c r="C402" s="52">
        <v>16</v>
      </c>
      <c r="D402" s="72" t="str">
        <f>IF(DATEDIF($B402,'Inst summary and ER calculation'!$T$6,"y")=1,"1-2 years","2-3 years")</f>
        <v>2-3 years</v>
      </c>
      <c r="E402" s="69">
        <f t="shared" si="21"/>
        <v>0.99726775956284153</v>
      </c>
      <c r="F402" s="69">
        <f>$C402*E402*_xlfn.XLOOKUP($D402,'Sample Size cal and results'!$B$23:$B$24,'Sample Size cal and results'!$D$23:$D$24)</f>
        <v>16.248918147216255</v>
      </c>
      <c r="G402" s="72" t="str">
        <f>IF(DATEDIF($B402,'Inst summary and ER calculation'!$U$6,"y")=2,"2-3 years","3-4 years")</f>
        <v>3-4 years</v>
      </c>
      <c r="H402" s="69">
        <f t="shared" si="22"/>
        <v>1</v>
      </c>
      <c r="I402" s="142">
        <f>$C402*H402*_xlfn.XLOOKUP($G402,'Sample Size cal and results'!$B$25:$B$26,'Sample Size cal and results'!$D$25:$D$26)</f>
        <v>15.922199688170345</v>
      </c>
    </row>
    <row r="403" spans="1:9" ht="13">
      <c r="A403" s="131" t="s">
        <v>1444</v>
      </c>
      <c r="B403" s="53">
        <v>42059</v>
      </c>
      <c r="C403" s="52">
        <v>11</v>
      </c>
      <c r="D403" s="72" t="str">
        <f>IF(DATEDIF($B403,'Inst summary and ER calculation'!$T$6,"y")=1,"1-2 years","2-3 years")</f>
        <v>2-3 years</v>
      </c>
      <c r="E403" s="69">
        <f t="shared" si="21"/>
        <v>0.99726775956284153</v>
      </c>
      <c r="F403" s="69">
        <f>$C403*E403*_xlfn.XLOOKUP($D403,'Sample Size cal and results'!$B$23:$B$24,'Sample Size cal and results'!$D$23:$D$24)</f>
        <v>11.171131226211175</v>
      </c>
      <c r="G403" s="72" t="str">
        <f>IF(DATEDIF($B403,'Inst summary and ER calculation'!$U$6,"y")=2,"2-3 years","3-4 years")</f>
        <v>3-4 years</v>
      </c>
      <c r="H403" s="69">
        <f t="shared" si="22"/>
        <v>1</v>
      </c>
      <c r="I403" s="142">
        <f>$C403*H403*_xlfn.XLOOKUP($G403,'Sample Size cal and results'!$B$25:$B$26,'Sample Size cal and results'!$D$25:$D$26)</f>
        <v>10.946512285617112</v>
      </c>
    </row>
    <row r="404" spans="1:9" ht="13">
      <c r="A404" s="131" t="s">
        <v>1444</v>
      </c>
      <c r="B404" s="53">
        <v>42060</v>
      </c>
      <c r="C404" s="52">
        <v>16</v>
      </c>
      <c r="D404" s="72" t="str">
        <f>IF(DATEDIF($B404,'Inst summary and ER calculation'!$T$6,"y")=1,"1-2 years","2-3 years")</f>
        <v>2-3 years</v>
      </c>
      <c r="E404" s="69">
        <f t="shared" si="21"/>
        <v>0.99726775956284153</v>
      </c>
      <c r="F404" s="69">
        <f>$C404*E404*_xlfn.XLOOKUP($D404,'Sample Size cal and results'!$B$23:$B$24,'Sample Size cal and results'!$D$23:$D$24)</f>
        <v>16.248918147216255</v>
      </c>
      <c r="G404" s="72" t="str">
        <f>IF(DATEDIF($B404,'Inst summary and ER calculation'!$U$6,"y")=2,"2-3 years","3-4 years")</f>
        <v>3-4 years</v>
      </c>
      <c r="H404" s="69">
        <f t="shared" si="22"/>
        <v>1</v>
      </c>
      <c r="I404" s="142">
        <f>$C404*H404*_xlfn.XLOOKUP($G404,'Sample Size cal and results'!$B$25:$B$26,'Sample Size cal and results'!$D$25:$D$26)</f>
        <v>15.922199688170345</v>
      </c>
    </row>
    <row r="405" spans="1:9" ht="13">
      <c r="A405" s="131" t="s">
        <v>1444</v>
      </c>
      <c r="B405" s="53">
        <v>42061</v>
      </c>
      <c r="C405" s="52">
        <v>10</v>
      </c>
      <c r="D405" s="72" t="str">
        <f>IF(DATEDIF($B405,'Inst summary and ER calculation'!$T$6,"y")=1,"1-2 years","2-3 years")</f>
        <v>2-3 years</v>
      </c>
      <c r="E405" s="69">
        <f t="shared" si="21"/>
        <v>0.99726775956284153</v>
      </c>
      <c r="F405" s="69">
        <f>$C405*E405*_xlfn.XLOOKUP($D405,'Sample Size cal and results'!$B$23:$B$24,'Sample Size cal and results'!$D$23:$D$24)</f>
        <v>10.155573842010158</v>
      </c>
      <c r="G405" s="72" t="str">
        <f>IF(DATEDIF($B405,'Inst summary and ER calculation'!$U$6,"y")=2,"2-3 years","3-4 years")</f>
        <v>3-4 years</v>
      </c>
      <c r="H405" s="69">
        <f t="shared" si="22"/>
        <v>1</v>
      </c>
      <c r="I405" s="142">
        <f>$C405*H405*_xlfn.XLOOKUP($G405,'Sample Size cal and results'!$B$25:$B$26,'Sample Size cal and results'!$D$25:$D$26)</f>
        <v>9.9513748051064645</v>
      </c>
    </row>
    <row r="406" spans="1:9" ht="13">
      <c r="A406" s="131" t="s">
        <v>1444</v>
      </c>
      <c r="B406" s="53">
        <v>42062</v>
      </c>
      <c r="C406" s="52">
        <v>19</v>
      </c>
      <c r="D406" s="72" t="str">
        <f>IF(DATEDIF($B406,'Inst summary and ER calculation'!$T$6,"y")=1,"1-2 years","2-3 years")</f>
        <v>2-3 years</v>
      </c>
      <c r="E406" s="69">
        <f t="shared" si="21"/>
        <v>0.99726775956284153</v>
      </c>
      <c r="F406" s="69">
        <f>$C406*E406*_xlfn.XLOOKUP($D406,'Sample Size cal and results'!$B$23:$B$24,'Sample Size cal and results'!$D$23:$D$24)</f>
        <v>19.295590299819299</v>
      </c>
      <c r="G406" s="72" t="str">
        <f>IF(DATEDIF($B406,'Inst summary and ER calculation'!$U$6,"y")=2,"2-3 years","3-4 years")</f>
        <v>3-4 years</v>
      </c>
      <c r="H406" s="69">
        <f t="shared" si="22"/>
        <v>1</v>
      </c>
      <c r="I406" s="142">
        <f>$C406*H406*_xlfn.XLOOKUP($G406,'Sample Size cal and results'!$B$25:$B$26,'Sample Size cal and results'!$D$25:$D$26)</f>
        <v>18.907612129702283</v>
      </c>
    </row>
    <row r="407" spans="1:9" ht="13">
      <c r="A407" s="131" t="s">
        <v>1444</v>
      </c>
      <c r="B407" s="53">
        <v>42063</v>
      </c>
      <c r="C407" s="52">
        <v>43</v>
      </c>
      <c r="D407" s="72" t="str">
        <f>IF(DATEDIF($B407,'Inst summary and ER calculation'!$T$6,"y")=1,"1-2 years","2-3 years")</f>
        <v>2-3 years</v>
      </c>
      <c r="E407" s="69">
        <f t="shared" si="21"/>
        <v>0.99726775956284153</v>
      </c>
      <c r="F407" s="69">
        <f>$C407*E407*_xlfn.XLOOKUP($D407,'Sample Size cal and results'!$B$23:$B$24,'Sample Size cal and results'!$D$23:$D$24)</f>
        <v>43.668967520643676</v>
      </c>
      <c r="G407" s="72" t="str">
        <f>IF(DATEDIF($B407,'Inst summary and ER calculation'!$U$6,"y")=2,"2-3 years","3-4 years")</f>
        <v>3-4 years</v>
      </c>
      <c r="H407" s="69">
        <f t="shared" si="22"/>
        <v>1</v>
      </c>
      <c r="I407" s="142">
        <f>$C407*H407*_xlfn.XLOOKUP($G407,'Sample Size cal and results'!$B$25:$B$26,'Sample Size cal and results'!$D$25:$D$26)</f>
        <v>42.7909116619578</v>
      </c>
    </row>
    <row r="408" spans="1:9" ht="13">
      <c r="A408" s="131" t="s">
        <v>1445</v>
      </c>
      <c r="B408" s="53">
        <v>41897</v>
      </c>
      <c r="C408" s="52">
        <v>351</v>
      </c>
      <c r="D408" s="72" t="str">
        <f>IF(DATEDIF($B408,'Inst summary and ER calculation'!$T$6,"y")=1,"1-2 years","2-3 years")</f>
        <v>2-3 years</v>
      </c>
      <c r="E408" s="69">
        <f t="shared" si="21"/>
        <v>0.99726775956284153</v>
      </c>
      <c r="F408" s="69">
        <f>$C408*E408*_xlfn.XLOOKUP($D408,'Sample Size cal and results'!$B$23:$B$24,'Sample Size cal and results'!$D$23:$D$24)</f>
        <v>356.46064185455657</v>
      </c>
      <c r="G408" s="72" t="str">
        <f>IF(DATEDIF($B408,'Inst summary and ER calculation'!$U$6,"y")=2,"2-3 years","3-4 years")</f>
        <v>3-4 years</v>
      </c>
      <c r="H408" s="69">
        <f t="shared" si="22"/>
        <v>1</v>
      </c>
      <c r="I408" s="142">
        <f>$C408*H408*_xlfn.XLOOKUP($G408,'Sample Size cal and results'!$B$25:$B$26,'Sample Size cal and results'!$D$25:$D$26)</f>
        <v>349.29325565923693</v>
      </c>
    </row>
    <row r="409" spans="1:9" ht="13">
      <c r="A409" s="131" t="s">
        <v>1445</v>
      </c>
      <c r="B409" s="53">
        <v>41898</v>
      </c>
      <c r="C409" s="52">
        <v>84</v>
      </c>
      <c r="D409" s="72" t="str">
        <f>IF(DATEDIF($B409,'Inst summary and ER calculation'!$T$6,"y")=1,"1-2 years","2-3 years")</f>
        <v>2-3 years</v>
      </c>
      <c r="E409" s="69">
        <f t="shared" si="21"/>
        <v>0.99726775956284153</v>
      </c>
      <c r="F409" s="69">
        <f>$C409*E409*_xlfn.XLOOKUP($D409,'Sample Size cal and results'!$B$23:$B$24,'Sample Size cal and results'!$D$23:$D$24)</f>
        <v>85.306820272885332</v>
      </c>
      <c r="G409" s="72" t="str">
        <f>IF(DATEDIF($B409,'Inst summary and ER calculation'!$U$6,"y")=2,"2-3 years","3-4 years")</f>
        <v>3-4 years</v>
      </c>
      <c r="H409" s="69">
        <f t="shared" si="22"/>
        <v>1</v>
      </c>
      <c r="I409" s="142">
        <f>$C409*H409*_xlfn.XLOOKUP($G409,'Sample Size cal and results'!$B$25:$B$26,'Sample Size cal and results'!$D$25:$D$26)</f>
        <v>83.591548362894315</v>
      </c>
    </row>
    <row r="410" spans="1:9" ht="13">
      <c r="A410" s="131" t="s">
        <v>1445</v>
      </c>
      <c r="B410" s="53">
        <v>41899</v>
      </c>
      <c r="C410" s="52">
        <v>89</v>
      </c>
      <c r="D410" s="72" t="str">
        <f>IF(DATEDIF($B410,'Inst summary and ER calculation'!$T$6,"y")=1,"1-2 years","2-3 years")</f>
        <v>2-3 years</v>
      </c>
      <c r="E410" s="69">
        <f t="shared" si="21"/>
        <v>0.99726775956284153</v>
      </c>
      <c r="F410" s="69">
        <f>$C410*E410*_xlfn.XLOOKUP($D410,'Sample Size cal and results'!$B$23:$B$24,'Sample Size cal and results'!$D$23:$D$24)</f>
        <v>90.384607193890417</v>
      </c>
      <c r="G410" s="72" t="str">
        <f>IF(DATEDIF($B410,'Inst summary and ER calculation'!$U$6,"y")=2,"2-3 years","3-4 years")</f>
        <v>3-4 years</v>
      </c>
      <c r="H410" s="69">
        <f t="shared" si="22"/>
        <v>1</v>
      </c>
      <c r="I410" s="142">
        <f>$C410*H410*_xlfn.XLOOKUP($G410,'Sample Size cal and results'!$B$25:$B$26,'Sample Size cal and results'!$D$25:$D$26)</f>
        <v>88.567235765447549</v>
      </c>
    </row>
    <row r="411" spans="1:9" ht="13">
      <c r="A411" s="131" t="s">
        <v>1445</v>
      </c>
      <c r="B411" s="53">
        <v>41900</v>
      </c>
      <c r="C411" s="52">
        <v>89</v>
      </c>
      <c r="D411" s="72" t="str">
        <f>IF(DATEDIF($B411,'Inst summary and ER calculation'!$T$6,"y")=1,"1-2 years","2-3 years")</f>
        <v>2-3 years</v>
      </c>
      <c r="E411" s="69">
        <f t="shared" si="21"/>
        <v>0.99726775956284153</v>
      </c>
      <c r="F411" s="69">
        <f>$C411*E411*_xlfn.XLOOKUP($D411,'Sample Size cal and results'!$B$23:$B$24,'Sample Size cal and results'!$D$23:$D$24)</f>
        <v>90.384607193890417</v>
      </c>
      <c r="G411" s="72" t="str">
        <f>IF(DATEDIF($B411,'Inst summary and ER calculation'!$U$6,"y")=2,"2-3 years","3-4 years")</f>
        <v>3-4 years</v>
      </c>
      <c r="H411" s="69">
        <f t="shared" si="22"/>
        <v>1</v>
      </c>
      <c r="I411" s="142">
        <f>$C411*H411*_xlfn.XLOOKUP($G411,'Sample Size cal and results'!$B$25:$B$26,'Sample Size cal and results'!$D$25:$D$26)</f>
        <v>88.567235765447549</v>
      </c>
    </row>
    <row r="412" spans="1:9" ht="13">
      <c r="A412" s="131" t="s">
        <v>1445</v>
      </c>
      <c r="B412" s="53">
        <v>41901</v>
      </c>
      <c r="C412" s="52">
        <v>87</v>
      </c>
      <c r="D412" s="72" t="str">
        <f>IF(DATEDIF($B412,'Inst summary and ER calculation'!$T$6,"y")=1,"1-2 years","2-3 years")</f>
        <v>2-3 years</v>
      </c>
      <c r="E412" s="69">
        <f t="shared" si="21"/>
        <v>0.99726775956284153</v>
      </c>
      <c r="F412" s="69">
        <f>$C412*E412*_xlfn.XLOOKUP($D412,'Sample Size cal and results'!$B$23:$B$24,'Sample Size cal and results'!$D$23:$D$24)</f>
        <v>88.353492425488383</v>
      </c>
      <c r="G412" s="72" t="str">
        <f>IF(DATEDIF($B412,'Inst summary and ER calculation'!$U$6,"y")=2,"2-3 years","3-4 years")</f>
        <v>3-4 years</v>
      </c>
      <c r="H412" s="69">
        <f t="shared" si="22"/>
        <v>1</v>
      </c>
      <c r="I412" s="142">
        <f>$C412*H412*_xlfn.XLOOKUP($G412,'Sample Size cal and results'!$B$25:$B$26,'Sample Size cal and results'!$D$25:$D$26)</f>
        <v>86.57696080442625</v>
      </c>
    </row>
    <row r="413" spans="1:9" ht="13">
      <c r="A413" s="131" t="s">
        <v>1445</v>
      </c>
      <c r="B413" s="53">
        <v>41902</v>
      </c>
      <c r="C413" s="52">
        <v>86</v>
      </c>
      <c r="D413" s="72" t="str">
        <f>IF(DATEDIF($B413,'Inst summary and ER calculation'!$T$6,"y")=1,"1-2 years","2-3 years")</f>
        <v>2-3 years</v>
      </c>
      <c r="E413" s="69">
        <f t="shared" si="21"/>
        <v>0.99726775956284153</v>
      </c>
      <c r="F413" s="69">
        <f>$C413*E413*_xlfn.XLOOKUP($D413,'Sample Size cal and results'!$B$23:$B$24,'Sample Size cal and results'!$D$23:$D$24)</f>
        <v>87.337935041287352</v>
      </c>
      <c r="G413" s="72" t="str">
        <f>IF(DATEDIF($B413,'Inst summary and ER calculation'!$U$6,"y")=2,"2-3 years","3-4 years")</f>
        <v>3-4 years</v>
      </c>
      <c r="H413" s="69">
        <f t="shared" si="22"/>
        <v>1</v>
      </c>
      <c r="I413" s="142">
        <f>$C413*H413*_xlfn.XLOOKUP($G413,'Sample Size cal and results'!$B$25:$B$26,'Sample Size cal and results'!$D$25:$D$26)</f>
        <v>85.5818233239156</v>
      </c>
    </row>
    <row r="414" spans="1:9" ht="13">
      <c r="A414" s="131" t="s">
        <v>1445</v>
      </c>
      <c r="B414" s="53">
        <v>41903</v>
      </c>
      <c r="C414" s="52">
        <v>91</v>
      </c>
      <c r="D414" s="72" t="str">
        <f>IF(DATEDIF($B414,'Inst summary and ER calculation'!$T$6,"y")=1,"1-2 years","2-3 years")</f>
        <v>2-3 years</v>
      </c>
      <c r="E414" s="69">
        <f t="shared" si="21"/>
        <v>0.99726775956284153</v>
      </c>
      <c r="F414" s="69">
        <f>$C414*E414*_xlfn.XLOOKUP($D414,'Sample Size cal and results'!$B$23:$B$24,'Sample Size cal and results'!$D$23:$D$24)</f>
        <v>92.415721962292437</v>
      </c>
      <c r="G414" s="72" t="str">
        <f>IF(DATEDIF($B414,'Inst summary and ER calculation'!$U$6,"y")=2,"2-3 years","3-4 years")</f>
        <v>3-4 years</v>
      </c>
      <c r="H414" s="69">
        <f t="shared" si="22"/>
        <v>1</v>
      </c>
      <c r="I414" s="142">
        <f>$C414*H414*_xlfn.XLOOKUP($G414,'Sample Size cal and results'!$B$25:$B$26,'Sample Size cal and results'!$D$25:$D$26)</f>
        <v>90.557510726468834</v>
      </c>
    </row>
    <row r="415" spans="1:9" ht="13">
      <c r="A415" s="131" t="s">
        <v>1445</v>
      </c>
      <c r="B415" s="53">
        <v>41904</v>
      </c>
      <c r="C415" s="52">
        <v>91</v>
      </c>
      <c r="D415" s="72" t="str">
        <f>IF(DATEDIF($B415,'Inst summary and ER calculation'!$T$6,"y")=1,"1-2 years","2-3 years")</f>
        <v>2-3 years</v>
      </c>
      <c r="E415" s="69">
        <f t="shared" si="21"/>
        <v>0.99726775956284153</v>
      </c>
      <c r="F415" s="69">
        <f>$C415*E415*_xlfn.XLOOKUP($D415,'Sample Size cal and results'!$B$23:$B$24,'Sample Size cal and results'!$D$23:$D$24)</f>
        <v>92.415721962292437</v>
      </c>
      <c r="G415" s="72" t="str">
        <f>IF(DATEDIF($B415,'Inst summary and ER calculation'!$U$6,"y")=2,"2-3 years","3-4 years")</f>
        <v>3-4 years</v>
      </c>
      <c r="H415" s="69">
        <f t="shared" si="22"/>
        <v>1</v>
      </c>
      <c r="I415" s="142">
        <f>$C415*H415*_xlfn.XLOOKUP($G415,'Sample Size cal and results'!$B$25:$B$26,'Sample Size cal and results'!$D$25:$D$26)</f>
        <v>90.557510726468834</v>
      </c>
    </row>
    <row r="416" spans="1:9" ht="13">
      <c r="A416" s="131" t="s">
        <v>1445</v>
      </c>
      <c r="B416" s="53">
        <v>41905</v>
      </c>
      <c r="C416" s="52">
        <v>102</v>
      </c>
      <c r="D416" s="72" t="str">
        <f>IF(DATEDIF($B416,'Inst summary and ER calculation'!$T$6,"y")=1,"1-2 years","2-3 years")</f>
        <v>2-3 years</v>
      </c>
      <c r="E416" s="69">
        <f t="shared" si="21"/>
        <v>0.99726775956284153</v>
      </c>
      <c r="F416" s="69">
        <f>$C416*E416*_xlfn.XLOOKUP($D416,'Sample Size cal and results'!$B$23:$B$24,'Sample Size cal and results'!$D$23:$D$24)</f>
        <v>103.58685318850361</v>
      </c>
      <c r="G416" s="72" t="str">
        <f>IF(DATEDIF($B416,'Inst summary and ER calculation'!$U$6,"y")=2,"2-3 years","3-4 years")</f>
        <v>3-4 years</v>
      </c>
      <c r="H416" s="69">
        <f t="shared" si="22"/>
        <v>1</v>
      </c>
      <c r="I416" s="142">
        <f>$C416*H416*_xlfn.XLOOKUP($G416,'Sample Size cal and results'!$B$25:$B$26,'Sample Size cal and results'!$D$25:$D$26)</f>
        <v>101.50402301208595</v>
      </c>
    </row>
    <row r="417" spans="1:9" ht="13">
      <c r="A417" s="131" t="s">
        <v>1445</v>
      </c>
      <c r="B417" s="53">
        <v>41906</v>
      </c>
      <c r="C417" s="52">
        <v>96</v>
      </c>
      <c r="D417" s="72" t="str">
        <f>IF(DATEDIF($B417,'Inst summary and ER calculation'!$T$6,"y")=1,"1-2 years","2-3 years")</f>
        <v>2-3 years</v>
      </c>
      <c r="E417" s="69">
        <f t="shared" si="21"/>
        <v>0.99726775956284153</v>
      </c>
      <c r="F417" s="69">
        <f>$C417*E417*_xlfn.XLOOKUP($D417,'Sample Size cal and results'!$B$23:$B$24,'Sample Size cal and results'!$D$23:$D$24)</f>
        <v>97.493508883297523</v>
      </c>
      <c r="G417" s="72" t="str">
        <f>IF(DATEDIF($B417,'Inst summary and ER calculation'!$U$6,"y")=2,"2-3 years","3-4 years")</f>
        <v>3-4 years</v>
      </c>
      <c r="H417" s="69">
        <f t="shared" si="22"/>
        <v>1</v>
      </c>
      <c r="I417" s="142">
        <f>$C417*H417*_xlfn.XLOOKUP($G417,'Sample Size cal and results'!$B$25:$B$26,'Sample Size cal and results'!$D$25:$D$26)</f>
        <v>95.533198129022068</v>
      </c>
    </row>
    <row r="418" spans="1:9" ht="13">
      <c r="A418" s="131" t="s">
        <v>1445</v>
      </c>
      <c r="B418" s="53">
        <v>41907</v>
      </c>
      <c r="C418" s="52">
        <v>92</v>
      </c>
      <c r="D418" s="72" t="str">
        <f>IF(DATEDIF($B418,'Inst summary and ER calculation'!$T$6,"y")=1,"1-2 years","2-3 years")</f>
        <v>2-3 years</v>
      </c>
      <c r="E418" s="69">
        <f t="shared" si="21"/>
        <v>0.99726775956284153</v>
      </c>
      <c r="F418" s="69">
        <f>$C418*E418*_xlfn.XLOOKUP($D418,'Sample Size cal and results'!$B$23:$B$24,'Sample Size cal and results'!$D$23:$D$24)</f>
        <v>93.431279346493469</v>
      </c>
      <c r="G418" s="72" t="str">
        <f>IF(DATEDIF($B418,'Inst summary and ER calculation'!$U$6,"y")=2,"2-3 years","3-4 years")</f>
        <v>3-4 years</v>
      </c>
      <c r="H418" s="69">
        <f t="shared" si="22"/>
        <v>1</v>
      </c>
      <c r="I418" s="142">
        <f>$C418*H418*_xlfn.XLOOKUP($G418,'Sample Size cal and results'!$B$25:$B$26,'Sample Size cal and results'!$D$25:$D$26)</f>
        <v>91.552648206979484</v>
      </c>
    </row>
    <row r="419" spans="1:9" ht="13">
      <c r="A419" s="131" t="s">
        <v>1445</v>
      </c>
      <c r="B419" s="53">
        <v>41908</v>
      </c>
      <c r="C419" s="52">
        <v>89</v>
      </c>
      <c r="D419" s="72" t="str">
        <f>IF(DATEDIF($B419,'Inst summary and ER calculation'!$T$6,"y")=1,"1-2 years","2-3 years")</f>
        <v>2-3 years</v>
      </c>
      <c r="E419" s="69">
        <f t="shared" si="21"/>
        <v>0.99726775956284153</v>
      </c>
      <c r="F419" s="69">
        <f>$C419*E419*_xlfn.XLOOKUP($D419,'Sample Size cal and results'!$B$23:$B$24,'Sample Size cal and results'!$D$23:$D$24)</f>
        <v>90.384607193890417</v>
      </c>
      <c r="G419" s="72" t="str">
        <f>IF(DATEDIF($B419,'Inst summary and ER calculation'!$U$6,"y")=2,"2-3 years","3-4 years")</f>
        <v>3-4 years</v>
      </c>
      <c r="H419" s="69">
        <f t="shared" si="22"/>
        <v>1</v>
      </c>
      <c r="I419" s="142">
        <f>$C419*H419*_xlfn.XLOOKUP($G419,'Sample Size cal and results'!$B$25:$B$26,'Sample Size cal and results'!$D$25:$D$26)</f>
        <v>88.567235765447549</v>
      </c>
    </row>
    <row r="420" spans="1:9" ht="13">
      <c r="A420" s="131" t="s">
        <v>1445</v>
      </c>
      <c r="B420" s="53">
        <v>41909</v>
      </c>
      <c r="C420" s="52">
        <v>91</v>
      </c>
      <c r="D420" s="72" t="str">
        <f>IF(DATEDIF($B420,'Inst summary and ER calculation'!$T$6,"y")=1,"1-2 years","2-3 years")</f>
        <v>2-3 years</v>
      </c>
      <c r="E420" s="69">
        <f t="shared" si="21"/>
        <v>0.99726775956284153</v>
      </c>
      <c r="F420" s="69">
        <f>$C420*E420*_xlfn.XLOOKUP($D420,'Sample Size cal and results'!$B$23:$B$24,'Sample Size cal and results'!$D$23:$D$24)</f>
        <v>92.415721962292437</v>
      </c>
      <c r="G420" s="72" t="str">
        <f>IF(DATEDIF($B420,'Inst summary and ER calculation'!$U$6,"y")=2,"2-3 years","3-4 years")</f>
        <v>3-4 years</v>
      </c>
      <c r="H420" s="69">
        <f t="shared" si="22"/>
        <v>1</v>
      </c>
      <c r="I420" s="142">
        <f>$C420*H420*_xlfn.XLOOKUP($G420,'Sample Size cal and results'!$B$25:$B$26,'Sample Size cal and results'!$D$25:$D$26)</f>
        <v>90.557510726468834</v>
      </c>
    </row>
    <row r="421" spans="1:9" ht="13">
      <c r="A421" s="131" t="s">
        <v>1445</v>
      </c>
      <c r="B421" s="53">
        <v>41910</v>
      </c>
      <c r="C421" s="52">
        <v>84</v>
      </c>
      <c r="D421" s="72" t="str">
        <f>IF(DATEDIF($B421,'Inst summary and ER calculation'!$T$6,"y")=1,"1-2 years","2-3 years")</f>
        <v>2-3 years</v>
      </c>
      <c r="E421" s="69">
        <f t="shared" si="21"/>
        <v>0.99726775956284153</v>
      </c>
      <c r="F421" s="69">
        <f>$C421*E421*_xlfn.XLOOKUP($D421,'Sample Size cal and results'!$B$23:$B$24,'Sample Size cal and results'!$D$23:$D$24)</f>
        <v>85.306820272885332</v>
      </c>
      <c r="G421" s="72" t="str">
        <f>IF(DATEDIF($B421,'Inst summary and ER calculation'!$U$6,"y")=2,"2-3 years","3-4 years")</f>
        <v>3-4 years</v>
      </c>
      <c r="H421" s="69">
        <f t="shared" si="22"/>
        <v>1</v>
      </c>
      <c r="I421" s="142">
        <f>$C421*H421*_xlfn.XLOOKUP($G421,'Sample Size cal and results'!$B$25:$B$26,'Sample Size cal and results'!$D$25:$D$26)</f>
        <v>83.591548362894315</v>
      </c>
    </row>
    <row r="422" spans="1:9" ht="13">
      <c r="A422" s="131" t="s">
        <v>1445</v>
      </c>
      <c r="B422" s="53">
        <v>41911</v>
      </c>
      <c r="C422" s="52">
        <v>67</v>
      </c>
      <c r="D422" s="72" t="str">
        <f>IF(DATEDIF($B422,'Inst summary and ER calculation'!$T$6,"y")=1,"1-2 years","2-3 years")</f>
        <v>2-3 years</v>
      </c>
      <c r="E422" s="69">
        <f t="shared" si="21"/>
        <v>0.99726775956284153</v>
      </c>
      <c r="F422" s="69">
        <f>$C422*E422*_xlfn.XLOOKUP($D422,'Sample Size cal and results'!$B$23:$B$24,'Sample Size cal and results'!$D$23:$D$24)</f>
        <v>68.042344741468071</v>
      </c>
      <c r="G422" s="72" t="str">
        <f>IF(DATEDIF($B422,'Inst summary and ER calculation'!$U$6,"y")=2,"2-3 years","3-4 years")</f>
        <v>3-4 years</v>
      </c>
      <c r="H422" s="69">
        <f t="shared" si="22"/>
        <v>1</v>
      </c>
      <c r="I422" s="142">
        <f>$C422*H422*_xlfn.XLOOKUP($G422,'Sample Size cal and results'!$B$25:$B$26,'Sample Size cal and results'!$D$25:$D$26)</f>
        <v>66.674211194213314</v>
      </c>
    </row>
    <row r="423" spans="1:9" ht="13">
      <c r="A423" s="131" t="s">
        <v>1445</v>
      </c>
      <c r="B423" s="53">
        <v>41912</v>
      </c>
      <c r="C423" s="52">
        <v>76</v>
      </c>
      <c r="D423" s="72" t="str">
        <f>IF(DATEDIF($B423,'Inst summary and ER calculation'!$T$6,"y")=1,"1-2 years","2-3 years")</f>
        <v>2-3 years</v>
      </c>
      <c r="E423" s="69">
        <f t="shared" si="21"/>
        <v>0.99726775956284153</v>
      </c>
      <c r="F423" s="69">
        <f>$C423*E423*_xlfn.XLOOKUP($D423,'Sample Size cal and results'!$B$23:$B$24,'Sample Size cal and results'!$D$23:$D$24)</f>
        <v>77.182361199277196</v>
      </c>
      <c r="G423" s="72" t="str">
        <f>IF(DATEDIF($B423,'Inst summary and ER calculation'!$U$6,"y")=2,"2-3 years","3-4 years")</f>
        <v>3-4 years</v>
      </c>
      <c r="H423" s="69">
        <f t="shared" si="22"/>
        <v>1</v>
      </c>
      <c r="I423" s="142">
        <f>$C423*H423*_xlfn.XLOOKUP($G423,'Sample Size cal and results'!$B$25:$B$26,'Sample Size cal and results'!$D$25:$D$26)</f>
        <v>75.630448518809132</v>
      </c>
    </row>
    <row r="424" spans="1:9" ht="13">
      <c r="A424" s="131" t="s">
        <v>1445</v>
      </c>
      <c r="B424" s="53">
        <v>41913</v>
      </c>
      <c r="C424" s="52">
        <v>175</v>
      </c>
      <c r="D424" s="72" t="str">
        <f>IF(DATEDIF($B424,'Inst summary and ER calculation'!$T$6,"y")=1,"1-2 years","2-3 years")</f>
        <v>2-3 years</v>
      </c>
      <c r="E424" s="69">
        <f t="shared" si="21"/>
        <v>0.99726775956284153</v>
      </c>
      <c r="F424" s="69">
        <f>$C424*E424*_xlfn.XLOOKUP($D424,'Sample Size cal and results'!$B$23:$B$24,'Sample Size cal and results'!$D$23:$D$24)</f>
        <v>177.72254223517777</v>
      </c>
      <c r="G424" s="72" t="str">
        <f>IF(DATEDIF($B424,'Inst summary and ER calculation'!$U$6,"y")=2,"2-3 years","3-4 years")</f>
        <v>3-4 years</v>
      </c>
      <c r="H424" s="69">
        <f t="shared" si="22"/>
        <v>1</v>
      </c>
      <c r="I424" s="142">
        <f>$C424*H424*_xlfn.XLOOKUP($G424,'Sample Size cal and results'!$B$25:$B$26,'Sample Size cal and results'!$D$25:$D$26)</f>
        <v>174.14905908936313</v>
      </c>
    </row>
    <row r="425" spans="1:9" ht="13">
      <c r="A425" s="131" t="s">
        <v>1445</v>
      </c>
      <c r="B425" s="53">
        <v>41914</v>
      </c>
      <c r="C425" s="52">
        <v>178</v>
      </c>
      <c r="D425" s="72" t="str">
        <f>IF(DATEDIF($B425,'Inst summary and ER calculation'!$T$6,"y")=1,"1-2 years","2-3 years")</f>
        <v>2-3 years</v>
      </c>
      <c r="E425" s="69">
        <f t="shared" si="21"/>
        <v>0.99726775956284153</v>
      </c>
      <c r="F425" s="69">
        <f>$C425*E425*_xlfn.XLOOKUP($D425,'Sample Size cal and results'!$B$23:$B$24,'Sample Size cal and results'!$D$23:$D$24)</f>
        <v>180.76921438778083</v>
      </c>
      <c r="G425" s="72" t="str">
        <f>IF(DATEDIF($B425,'Inst summary and ER calculation'!$U$6,"y")=2,"2-3 years","3-4 years")</f>
        <v>3-4 years</v>
      </c>
      <c r="H425" s="69">
        <f t="shared" si="22"/>
        <v>1</v>
      </c>
      <c r="I425" s="142">
        <f>$C425*H425*_xlfn.XLOOKUP($G425,'Sample Size cal and results'!$B$25:$B$26,'Sample Size cal and results'!$D$25:$D$26)</f>
        <v>177.1344715308951</v>
      </c>
    </row>
    <row r="426" spans="1:9" ht="13">
      <c r="A426" s="131" t="s">
        <v>1445</v>
      </c>
      <c r="B426" s="53">
        <v>41915</v>
      </c>
      <c r="C426" s="52">
        <v>165</v>
      </c>
      <c r="D426" s="72" t="str">
        <f>IF(DATEDIF($B426,'Inst summary and ER calculation'!$T$6,"y")=1,"1-2 years","2-3 years")</f>
        <v>2-3 years</v>
      </c>
      <c r="E426" s="69">
        <f t="shared" si="21"/>
        <v>0.99726775956284153</v>
      </c>
      <c r="F426" s="69">
        <f>$C426*E426*_xlfn.XLOOKUP($D426,'Sample Size cal and results'!$B$23:$B$24,'Sample Size cal and results'!$D$23:$D$24)</f>
        <v>167.5669683931676</v>
      </c>
      <c r="G426" s="72" t="str">
        <f>IF(DATEDIF($B426,'Inst summary and ER calculation'!$U$6,"y")=2,"2-3 years","3-4 years")</f>
        <v>3-4 years</v>
      </c>
      <c r="H426" s="69">
        <f t="shared" si="22"/>
        <v>1</v>
      </c>
      <c r="I426" s="142">
        <f>$C426*H426*_xlfn.XLOOKUP($G426,'Sample Size cal and results'!$B$25:$B$26,'Sample Size cal and results'!$D$25:$D$26)</f>
        <v>164.19768428425667</v>
      </c>
    </row>
    <row r="427" spans="1:9" ht="13">
      <c r="A427" s="131" t="s">
        <v>1445</v>
      </c>
      <c r="B427" s="53">
        <v>41916</v>
      </c>
      <c r="C427" s="52">
        <v>148</v>
      </c>
      <c r="D427" s="72" t="str">
        <f>IF(DATEDIF($B427,'Inst summary and ER calculation'!$T$6,"y")=1,"1-2 years","2-3 years")</f>
        <v>2-3 years</v>
      </c>
      <c r="E427" s="69">
        <f t="shared" si="21"/>
        <v>0.99726775956284153</v>
      </c>
      <c r="F427" s="69">
        <f>$C427*E427*_xlfn.XLOOKUP($D427,'Sample Size cal and results'!$B$23:$B$24,'Sample Size cal and results'!$D$23:$D$24)</f>
        <v>150.30249286175035</v>
      </c>
      <c r="G427" s="72" t="str">
        <f>IF(DATEDIF($B427,'Inst summary and ER calculation'!$U$6,"y")=2,"2-3 years","3-4 years")</f>
        <v>3-4 years</v>
      </c>
      <c r="H427" s="69">
        <f t="shared" si="22"/>
        <v>1</v>
      </c>
      <c r="I427" s="142">
        <f>$C427*H427*_xlfn.XLOOKUP($G427,'Sample Size cal and results'!$B$25:$B$26,'Sample Size cal and results'!$D$25:$D$26)</f>
        <v>147.28034711557569</v>
      </c>
    </row>
    <row r="428" spans="1:9" ht="13">
      <c r="A428" s="131" t="s">
        <v>1445</v>
      </c>
      <c r="B428" s="53">
        <v>41917</v>
      </c>
      <c r="C428" s="52">
        <v>145</v>
      </c>
      <c r="D428" s="72" t="str">
        <f>IF(DATEDIF($B428,'Inst summary and ER calculation'!$T$6,"y")=1,"1-2 years","2-3 years")</f>
        <v>2-3 years</v>
      </c>
      <c r="E428" s="69">
        <f t="shared" si="21"/>
        <v>0.99726775956284153</v>
      </c>
      <c r="F428" s="69">
        <f>$C428*E428*_xlfn.XLOOKUP($D428,'Sample Size cal and results'!$B$23:$B$24,'Sample Size cal and results'!$D$23:$D$24)</f>
        <v>147.25582070914729</v>
      </c>
      <c r="G428" s="72" t="str">
        <f>IF(DATEDIF($B428,'Inst summary and ER calculation'!$U$6,"y")=2,"2-3 years","3-4 years")</f>
        <v>3-4 years</v>
      </c>
      <c r="H428" s="69">
        <f t="shared" si="22"/>
        <v>1</v>
      </c>
      <c r="I428" s="142">
        <f>$C428*H428*_xlfn.XLOOKUP($G428,'Sample Size cal and results'!$B$25:$B$26,'Sample Size cal and results'!$D$25:$D$26)</f>
        <v>144.29493467404376</v>
      </c>
    </row>
    <row r="429" spans="1:9" ht="13">
      <c r="A429" s="131" t="s">
        <v>1445</v>
      </c>
      <c r="B429" s="53">
        <v>41918</v>
      </c>
      <c r="C429" s="52">
        <v>156</v>
      </c>
      <c r="D429" s="72" t="str">
        <f>IF(DATEDIF($B429,'Inst summary and ER calculation'!$T$6,"y")=1,"1-2 years","2-3 years")</f>
        <v>2-3 years</v>
      </c>
      <c r="E429" s="69">
        <f t="shared" si="21"/>
        <v>0.99726775956284153</v>
      </c>
      <c r="F429" s="69">
        <f>$C429*E429*_xlfn.XLOOKUP($D429,'Sample Size cal and results'!$B$23:$B$24,'Sample Size cal and results'!$D$23:$D$24)</f>
        <v>158.42695193535849</v>
      </c>
      <c r="G429" s="72" t="str">
        <f>IF(DATEDIF($B429,'Inst summary and ER calculation'!$U$6,"y")=2,"2-3 years","3-4 years")</f>
        <v>3-4 years</v>
      </c>
      <c r="H429" s="69">
        <f t="shared" si="22"/>
        <v>1</v>
      </c>
      <c r="I429" s="142">
        <f>$C429*H429*_xlfn.XLOOKUP($G429,'Sample Size cal and results'!$B$25:$B$26,'Sample Size cal and results'!$D$25:$D$26)</f>
        <v>155.24144695966086</v>
      </c>
    </row>
    <row r="430" spans="1:9" ht="13">
      <c r="A430" s="131" t="s">
        <v>1445</v>
      </c>
      <c r="B430" s="53">
        <v>41919</v>
      </c>
      <c r="C430" s="52">
        <v>164</v>
      </c>
      <c r="D430" s="72" t="str">
        <f>IF(DATEDIF($B430,'Inst summary and ER calculation'!$T$6,"y")=1,"1-2 years","2-3 years")</f>
        <v>2-3 years</v>
      </c>
      <c r="E430" s="69">
        <f t="shared" si="21"/>
        <v>0.99726775956284153</v>
      </c>
      <c r="F430" s="69">
        <f>$C430*E430*_xlfn.XLOOKUP($D430,'Sample Size cal and results'!$B$23:$B$24,'Sample Size cal and results'!$D$23:$D$24)</f>
        <v>166.55141100896662</v>
      </c>
      <c r="G430" s="72" t="str">
        <f>IF(DATEDIF($B430,'Inst summary and ER calculation'!$U$6,"y")=2,"2-3 years","3-4 years")</f>
        <v>3-4 years</v>
      </c>
      <c r="H430" s="69">
        <f t="shared" si="22"/>
        <v>1</v>
      </c>
      <c r="I430" s="142">
        <f>$C430*H430*_xlfn.XLOOKUP($G430,'Sample Size cal and results'!$B$25:$B$26,'Sample Size cal and results'!$D$25:$D$26)</f>
        <v>163.20254680374603</v>
      </c>
    </row>
    <row r="431" spans="1:9" ht="13">
      <c r="A431" s="131" t="s">
        <v>1445</v>
      </c>
      <c r="B431" s="53">
        <v>41920</v>
      </c>
      <c r="C431" s="52">
        <v>150</v>
      </c>
      <c r="D431" s="72" t="str">
        <f>IF(DATEDIF($B431,'Inst summary and ER calculation'!$T$6,"y")=1,"1-2 years","2-3 years")</f>
        <v>2-3 years</v>
      </c>
      <c r="E431" s="69">
        <f t="shared" si="21"/>
        <v>0.99726775956284153</v>
      </c>
      <c r="F431" s="69">
        <f>$C431*E431*_xlfn.XLOOKUP($D431,'Sample Size cal and results'!$B$23:$B$24,'Sample Size cal and results'!$D$23:$D$24)</f>
        <v>152.33360763015236</v>
      </c>
      <c r="G431" s="72" t="str">
        <f>IF(DATEDIF($B431,'Inst summary and ER calculation'!$U$6,"y")=2,"2-3 years","3-4 years")</f>
        <v>3-4 years</v>
      </c>
      <c r="H431" s="69">
        <f t="shared" si="22"/>
        <v>1</v>
      </c>
      <c r="I431" s="142">
        <f>$C431*H431*_xlfn.XLOOKUP($G431,'Sample Size cal and results'!$B$25:$B$26,'Sample Size cal and results'!$D$25:$D$26)</f>
        <v>149.27062207659699</v>
      </c>
    </row>
    <row r="432" spans="1:9" ht="13">
      <c r="A432" s="131" t="s">
        <v>1445</v>
      </c>
      <c r="B432" s="53">
        <v>41921</v>
      </c>
      <c r="C432" s="52">
        <v>141</v>
      </c>
      <c r="D432" s="72" t="str">
        <f>IF(DATEDIF($B432,'Inst summary and ER calculation'!$T$6,"y")=1,"1-2 years","2-3 years")</f>
        <v>2-3 years</v>
      </c>
      <c r="E432" s="69">
        <f t="shared" si="21"/>
        <v>0.99726775956284153</v>
      </c>
      <c r="F432" s="69">
        <f>$C432*E432*_xlfn.XLOOKUP($D432,'Sample Size cal and results'!$B$23:$B$24,'Sample Size cal and results'!$D$23:$D$24)</f>
        <v>143.19359117234325</v>
      </c>
      <c r="G432" s="72" t="str">
        <f>IF(DATEDIF($B432,'Inst summary and ER calculation'!$U$6,"y")=2,"2-3 years","3-4 years")</f>
        <v>3-4 years</v>
      </c>
      <c r="H432" s="69">
        <f t="shared" si="22"/>
        <v>1</v>
      </c>
      <c r="I432" s="142">
        <f>$C432*H432*_xlfn.XLOOKUP($G432,'Sample Size cal and results'!$B$25:$B$26,'Sample Size cal and results'!$D$25:$D$26)</f>
        <v>140.31438475200116</v>
      </c>
    </row>
    <row r="433" spans="1:9" ht="13">
      <c r="A433" s="131" t="s">
        <v>1445</v>
      </c>
      <c r="B433" s="53">
        <v>41922</v>
      </c>
      <c r="C433" s="52">
        <v>227</v>
      </c>
      <c r="D433" s="72" t="str">
        <f>IF(DATEDIF($B433,'Inst summary and ER calculation'!$T$6,"y")=1,"1-2 years","2-3 years")</f>
        <v>2-3 years</v>
      </c>
      <c r="E433" s="69">
        <f t="shared" si="21"/>
        <v>0.99726775956284153</v>
      </c>
      <c r="F433" s="69">
        <f>$C433*E433*_xlfn.XLOOKUP($D433,'Sample Size cal and results'!$B$23:$B$24,'Sample Size cal and results'!$D$23:$D$24)</f>
        <v>230.5315262136306</v>
      </c>
      <c r="G433" s="72" t="str">
        <f>IF(DATEDIF($B433,'Inst summary and ER calculation'!$U$6,"y")=2,"2-3 years","3-4 years")</f>
        <v>3-4 years</v>
      </c>
      <c r="H433" s="69">
        <f t="shared" si="22"/>
        <v>1</v>
      </c>
      <c r="I433" s="142">
        <f>$C433*H433*_xlfn.XLOOKUP($G433,'Sample Size cal and results'!$B$25:$B$26,'Sample Size cal and results'!$D$25:$D$26)</f>
        <v>225.89620807591677</v>
      </c>
    </row>
    <row r="434" spans="1:9" ht="13">
      <c r="A434" s="131" t="s">
        <v>1445</v>
      </c>
      <c r="B434" s="53">
        <v>41923</v>
      </c>
      <c r="C434" s="52">
        <v>190</v>
      </c>
      <c r="D434" s="72" t="str">
        <f>IF(DATEDIF($B434,'Inst summary and ER calculation'!$T$6,"y")=1,"1-2 years","2-3 years")</f>
        <v>2-3 years</v>
      </c>
      <c r="E434" s="69">
        <f t="shared" si="21"/>
        <v>0.99726775956284153</v>
      </c>
      <c r="F434" s="69">
        <f>$C434*E434*_xlfn.XLOOKUP($D434,'Sample Size cal and results'!$B$23:$B$24,'Sample Size cal and results'!$D$23:$D$24)</f>
        <v>192.95590299819301</v>
      </c>
      <c r="G434" s="72" t="str">
        <f>IF(DATEDIF($B434,'Inst summary and ER calculation'!$U$6,"y")=2,"2-3 years","3-4 years")</f>
        <v>3-4 years</v>
      </c>
      <c r="H434" s="69">
        <f t="shared" si="22"/>
        <v>1</v>
      </c>
      <c r="I434" s="142">
        <f>$C434*H434*_xlfn.XLOOKUP($G434,'Sample Size cal and results'!$B$25:$B$26,'Sample Size cal and results'!$D$25:$D$26)</f>
        <v>189.07612129702284</v>
      </c>
    </row>
    <row r="435" spans="1:9" ht="13">
      <c r="A435" s="131" t="s">
        <v>1445</v>
      </c>
      <c r="B435" s="53">
        <v>41924</v>
      </c>
      <c r="C435" s="52">
        <v>198</v>
      </c>
      <c r="D435" s="72" t="str">
        <f>IF(DATEDIF($B435,'Inst summary and ER calculation'!$T$6,"y")=1,"1-2 years","2-3 years")</f>
        <v>2-3 years</v>
      </c>
      <c r="E435" s="69">
        <f t="shared" si="21"/>
        <v>0.99726775956284153</v>
      </c>
      <c r="F435" s="69">
        <f>$C435*E435*_xlfn.XLOOKUP($D435,'Sample Size cal and results'!$B$23:$B$24,'Sample Size cal and results'!$D$23:$D$24)</f>
        <v>201.08036207180115</v>
      </c>
      <c r="G435" s="72" t="str">
        <f>IF(DATEDIF($B435,'Inst summary and ER calculation'!$U$6,"y")=2,"2-3 years","3-4 years")</f>
        <v>3-4 years</v>
      </c>
      <c r="H435" s="69">
        <f t="shared" si="22"/>
        <v>1</v>
      </c>
      <c r="I435" s="142">
        <f>$C435*H435*_xlfn.XLOOKUP($G435,'Sample Size cal and results'!$B$25:$B$26,'Sample Size cal and results'!$D$25:$D$26)</f>
        <v>197.03722114110801</v>
      </c>
    </row>
    <row r="436" spans="1:9" ht="13">
      <c r="A436" s="131" t="s">
        <v>1445</v>
      </c>
      <c r="B436" s="53">
        <v>41925</v>
      </c>
      <c r="C436" s="52">
        <v>195</v>
      </c>
      <c r="D436" s="72" t="str">
        <f>IF(DATEDIF($B436,'Inst summary and ER calculation'!$T$6,"y")=1,"1-2 years","2-3 years")</f>
        <v>2-3 years</v>
      </c>
      <c r="E436" s="69">
        <f t="shared" si="21"/>
        <v>0.99726775956284153</v>
      </c>
      <c r="F436" s="69">
        <f>$C436*E436*_xlfn.XLOOKUP($D436,'Sample Size cal and results'!$B$23:$B$24,'Sample Size cal and results'!$D$23:$D$24)</f>
        <v>198.03368991919808</v>
      </c>
      <c r="G436" s="72" t="str">
        <f>IF(DATEDIF($B436,'Inst summary and ER calculation'!$U$6,"y")=2,"2-3 years","3-4 years")</f>
        <v>3-4 years</v>
      </c>
      <c r="H436" s="69">
        <f t="shared" si="22"/>
        <v>1</v>
      </c>
      <c r="I436" s="142">
        <f>$C436*H436*_xlfn.XLOOKUP($G436,'Sample Size cal and results'!$B$25:$B$26,'Sample Size cal and results'!$D$25:$D$26)</f>
        <v>194.05180869957607</v>
      </c>
    </row>
    <row r="437" spans="1:9" ht="13">
      <c r="A437" s="131" t="s">
        <v>1445</v>
      </c>
      <c r="B437" s="53">
        <v>41926</v>
      </c>
      <c r="C437" s="52">
        <v>213</v>
      </c>
      <c r="D437" s="72" t="str">
        <f>IF(DATEDIF($B437,'Inst summary and ER calculation'!$T$6,"y")=1,"1-2 years","2-3 years")</f>
        <v>2-3 years</v>
      </c>
      <c r="E437" s="69">
        <f t="shared" si="21"/>
        <v>0.99726775956284153</v>
      </c>
      <c r="F437" s="69">
        <f>$C437*E437*_xlfn.XLOOKUP($D437,'Sample Size cal and results'!$B$23:$B$24,'Sample Size cal and results'!$D$23:$D$24)</f>
        <v>216.31372283481639</v>
      </c>
      <c r="G437" s="72" t="str">
        <f>IF(DATEDIF($B437,'Inst summary and ER calculation'!$U$6,"y")=2,"2-3 years","3-4 years")</f>
        <v>3-4 years</v>
      </c>
      <c r="H437" s="69">
        <f t="shared" si="22"/>
        <v>1</v>
      </c>
      <c r="I437" s="142">
        <f>$C437*H437*_xlfn.XLOOKUP($G437,'Sample Size cal and results'!$B$25:$B$26,'Sample Size cal and results'!$D$25:$D$26)</f>
        <v>211.96428334876771</v>
      </c>
    </row>
    <row r="438" spans="1:9" ht="13">
      <c r="A438" s="131" t="s">
        <v>1445</v>
      </c>
      <c r="B438" s="53">
        <v>41927</v>
      </c>
      <c r="C438" s="52">
        <v>1101</v>
      </c>
      <c r="D438" s="72" t="str">
        <f>IF(DATEDIF($B438,'Inst summary and ER calculation'!$T$6,"y")=1,"1-2 years","2-3 years")</f>
        <v>2-3 years</v>
      </c>
      <c r="E438" s="69">
        <f t="shared" si="21"/>
        <v>0.99726775956284153</v>
      </c>
      <c r="F438" s="69">
        <f>$C438*E438*_xlfn.XLOOKUP($D438,'Sample Size cal and results'!$B$23:$B$24,'Sample Size cal and results'!$D$23:$D$24)</f>
        <v>1118.1286800053185</v>
      </c>
      <c r="G438" s="72" t="str">
        <f>IF(DATEDIF($B438,'Inst summary and ER calculation'!$U$6,"y")=2,"2-3 years","3-4 years")</f>
        <v>3-4 years</v>
      </c>
      <c r="H438" s="69">
        <f t="shared" si="22"/>
        <v>1</v>
      </c>
      <c r="I438" s="142">
        <f>$C438*H438*_xlfn.XLOOKUP($G438,'Sample Size cal and results'!$B$25:$B$26,'Sample Size cal and results'!$D$25:$D$26)</f>
        <v>1095.6463660422219</v>
      </c>
    </row>
    <row r="439" spans="1:9" ht="13">
      <c r="A439" s="131" t="s">
        <v>1445</v>
      </c>
      <c r="B439" s="53">
        <v>41928</v>
      </c>
      <c r="C439" s="52">
        <v>216</v>
      </c>
      <c r="D439" s="72" t="str">
        <f>IF(DATEDIF($B439,'Inst summary and ER calculation'!$T$6,"y")=1,"1-2 years","2-3 years")</f>
        <v>2-3 years</v>
      </c>
      <c r="E439" s="69">
        <f t="shared" si="21"/>
        <v>0.99726775956284153</v>
      </c>
      <c r="F439" s="69">
        <f>$C439*E439*_xlfn.XLOOKUP($D439,'Sample Size cal and results'!$B$23:$B$24,'Sample Size cal and results'!$D$23:$D$24)</f>
        <v>219.36039498741943</v>
      </c>
      <c r="G439" s="72" t="str">
        <f>IF(DATEDIF($B439,'Inst summary and ER calculation'!$U$6,"y")=2,"2-3 years","3-4 years")</f>
        <v>3-4 years</v>
      </c>
      <c r="H439" s="69">
        <f t="shared" si="22"/>
        <v>1</v>
      </c>
      <c r="I439" s="142">
        <f>$C439*H439*_xlfn.XLOOKUP($G439,'Sample Size cal and results'!$B$25:$B$26,'Sample Size cal and results'!$D$25:$D$26)</f>
        <v>214.94969579029964</v>
      </c>
    </row>
    <row r="440" spans="1:9" ht="13">
      <c r="A440" s="131" t="s">
        <v>1445</v>
      </c>
      <c r="B440" s="53">
        <v>41929</v>
      </c>
      <c r="C440" s="52">
        <v>206</v>
      </c>
      <c r="D440" s="72" t="str">
        <f>IF(DATEDIF($B440,'Inst summary and ER calculation'!$T$6,"y")=1,"1-2 years","2-3 years")</f>
        <v>2-3 years</v>
      </c>
      <c r="E440" s="69">
        <f t="shared" si="21"/>
        <v>0.99726775956284153</v>
      </c>
      <c r="F440" s="69">
        <f>$C440*E440*_xlfn.XLOOKUP($D440,'Sample Size cal and results'!$B$23:$B$24,'Sample Size cal and results'!$D$23:$D$24)</f>
        <v>209.20482114540928</v>
      </c>
      <c r="G440" s="72" t="str">
        <f>IF(DATEDIF($B440,'Inst summary and ER calculation'!$U$6,"y")=2,"2-3 years","3-4 years")</f>
        <v>3-4 years</v>
      </c>
      <c r="H440" s="69">
        <f t="shared" si="22"/>
        <v>1</v>
      </c>
      <c r="I440" s="142">
        <f>$C440*H440*_xlfn.XLOOKUP($G440,'Sample Size cal and results'!$B$25:$B$26,'Sample Size cal and results'!$D$25:$D$26)</f>
        <v>204.99832098519317</v>
      </c>
    </row>
    <row r="441" spans="1:9" ht="13">
      <c r="A441" s="131" t="s">
        <v>1445</v>
      </c>
      <c r="B441" s="53">
        <v>41930</v>
      </c>
      <c r="C441" s="52">
        <v>225</v>
      </c>
      <c r="D441" s="72" t="str">
        <f>IF(DATEDIF($B441,'Inst summary and ER calculation'!$T$6,"y")=1,"1-2 years","2-3 years")</f>
        <v>2-3 years</v>
      </c>
      <c r="E441" s="69">
        <f t="shared" si="21"/>
        <v>0.99726775956284153</v>
      </c>
      <c r="F441" s="69">
        <f>$C441*E441*_xlfn.XLOOKUP($D441,'Sample Size cal and results'!$B$23:$B$24,'Sample Size cal and results'!$D$23:$D$24)</f>
        <v>228.50041144522856</v>
      </c>
      <c r="G441" s="72" t="str">
        <f>IF(DATEDIF($B441,'Inst summary and ER calculation'!$U$6,"y")=2,"2-3 years","3-4 years")</f>
        <v>3-4 years</v>
      </c>
      <c r="H441" s="69">
        <f t="shared" si="22"/>
        <v>1</v>
      </c>
      <c r="I441" s="142">
        <f>$C441*H441*_xlfn.XLOOKUP($G441,'Sample Size cal and results'!$B$25:$B$26,'Sample Size cal and results'!$D$25:$D$26)</f>
        <v>223.90593311489548</v>
      </c>
    </row>
    <row r="442" spans="1:9" ht="13">
      <c r="A442" s="131" t="s">
        <v>1445</v>
      </c>
      <c r="B442" s="53">
        <v>41931</v>
      </c>
      <c r="C442" s="52">
        <v>237</v>
      </c>
      <c r="D442" s="72" t="str">
        <f>IF(DATEDIF($B442,'Inst summary and ER calculation'!$T$6,"y")=1,"1-2 years","2-3 years")</f>
        <v>2-3 years</v>
      </c>
      <c r="E442" s="69">
        <f t="shared" si="21"/>
        <v>0.99726775956284153</v>
      </c>
      <c r="F442" s="69">
        <f>$C442*E442*_xlfn.XLOOKUP($D442,'Sample Size cal and results'!$B$23:$B$24,'Sample Size cal and results'!$D$23:$D$24)</f>
        <v>240.68710005564077</v>
      </c>
      <c r="G442" s="72" t="str">
        <f>IF(DATEDIF($B442,'Inst summary and ER calculation'!$U$6,"y")=2,"2-3 years","3-4 years")</f>
        <v>3-4 years</v>
      </c>
      <c r="H442" s="69">
        <f t="shared" si="22"/>
        <v>1</v>
      </c>
      <c r="I442" s="142">
        <f>$C442*H442*_xlfn.XLOOKUP($G442,'Sample Size cal and results'!$B$25:$B$26,'Sample Size cal and results'!$D$25:$D$26)</f>
        <v>235.84758288102324</v>
      </c>
    </row>
    <row r="443" spans="1:9" ht="13">
      <c r="A443" s="131" t="s">
        <v>1445</v>
      </c>
      <c r="B443" s="53">
        <v>41932</v>
      </c>
      <c r="C443" s="52">
        <v>346</v>
      </c>
      <c r="D443" s="72" t="str">
        <f>IF(DATEDIF($B443,'Inst summary and ER calculation'!$T$6,"y")=1,"1-2 years","2-3 years")</f>
        <v>2-3 years</v>
      </c>
      <c r="E443" s="69">
        <f t="shared" si="21"/>
        <v>0.99726775956284153</v>
      </c>
      <c r="F443" s="69">
        <f>$C443*E443*_xlfn.XLOOKUP($D443,'Sample Size cal and results'!$B$23:$B$24,'Sample Size cal and results'!$D$23:$D$24)</f>
        <v>351.38285493355147</v>
      </c>
      <c r="G443" s="72" t="str">
        <f>IF(DATEDIF($B443,'Inst summary and ER calculation'!$U$6,"y")=2,"2-3 years","3-4 years")</f>
        <v>3-4 years</v>
      </c>
      <c r="H443" s="69">
        <f t="shared" si="22"/>
        <v>1</v>
      </c>
      <c r="I443" s="142">
        <f>$C443*H443*_xlfn.XLOOKUP($G443,'Sample Size cal and results'!$B$25:$B$26,'Sample Size cal and results'!$D$25:$D$26)</f>
        <v>344.31756825668373</v>
      </c>
    </row>
    <row r="444" spans="1:9" ht="13">
      <c r="A444" s="131" t="s">
        <v>1445</v>
      </c>
      <c r="B444" s="53">
        <v>41933</v>
      </c>
      <c r="C444" s="52">
        <v>323</v>
      </c>
      <c r="D444" s="72" t="str">
        <f>IF(DATEDIF($B444,'Inst summary and ER calculation'!$T$6,"y")=1,"1-2 years","2-3 years")</f>
        <v>2-3 years</v>
      </c>
      <c r="E444" s="69">
        <f t="shared" si="21"/>
        <v>0.99726775956284153</v>
      </c>
      <c r="F444" s="69">
        <f>$C444*E444*_xlfn.XLOOKUP($D444,'Sample Size cal and results'!$B$23:$B$24,'Sample Size cal and results'!$D$23:$D$24)</f>
        <v>328.02503509692809</v>
      </c>
      <c r="G444" s="72" t="str">
        <f>IF(DATEDIF($B444,'Inst summary and ER calculation'!$U$6,"y")=2,"2-3 years","3-4 years")</f>
        <v>3-4 years</v>
      </c>
      <c r="H444" s="69">
        <f t="shared" si="22"/>
        <v>1</v>
      </c>
      <c r="I444" s="142">
        <f>$C444*H444*_xlfn.XLOOKUP($G444,'Sample Size cal and results'!$B$25:$B$26,'Sample Size cal and results'!$D$25:$D$26)</f>
        <v>321.42940620493886</v>
      </c>
    </row>
    <row r="445" spans="1:9" ht="13">
      <c r="A445" s="131" t="s">
        <v>1445</v>
      </c>
      <c r="B445" s="53">
        <v>41934</v>
      </c>
      <c r="C445" s="52">
        <v>287</v>
      </c>
      <c r="D445" s="72" t="str">
        <f>IF(DATEDIF($B445,'Inst summary and ER calculation'!$T$6,"y")=1,"1-2 years","2-3 years")</f>
        <v>2-3 years</v>
      </c>
      <c r="E445" s="69">
        <f t="shared" si="21"/>
        <v>0.99726775956284153</v>
      </c>
      <c r="F445" s="69">
        <f>$C445*E445*_xlfn.XLOOKUP($D445,'Sample Size cal and results'!$B$23:$B$24,'Sample Size cal and results'!$D$23:$D$24)</f>
        <v>291.46496926569154</v>
      </c>
      <c r="G445" s="72" t="str">
        <f>IF(DATEDIF($B445,'Inst summary and ER calculation'!$U$6,"y")=2,"2-3 years","3-4 years")</f>
        <v>3-4 years</v>
      </c>
      <c r="H445" s="69">
        <f t="shared" si="22"/>
        <v>1</v>
      </c>
      <c r="I445" s="142">
        <f>$C445*H445*_xlfn.XLOOKUP($G445,'Sample Size cal and results'!$B$25:$B$26,'Sample Size cal and results'!$D$25:$D$26)</f>
        <v>285.60445690655558</v>
      </c>
    </row>
    <row r="446" spans="1:9" ht="13">
      <c r="A446" s="131" t="s">
        <v>1445</v>
      </c>
      <c r="B446" s="53">
        <v>41935</v>
      </c>
      <c r="C446" s="52">
        <v>314</v>
      </c>
      <c r="D446" s="72" t="str">
        <f>IF(DATEDIF($B446,'Inst summary and ER calculation'!$T$6,"y")=1,"1-2 years","2-3 years")</f>
        <v>2-3 years</v>
      </c>
      <c r="E446" s="69">
        <f t="shared" si="21"/>
        <v>0.99726775956284153</v>
      </c>
      <c r="F446" s="69">
        <f>$C446*E446*_xlfn.XLOOKUP($D446,'Sample Size cal and results'!$B$23:$B$24,'Sample Size cal and results'!$D$23:$D$24)</f>
        <v>318.88501863911898</v>
      </c>
      <c r="G446" s="72" t="str">
        <f>IF(DATEDIF($B446,'Inst summary and ER calculation'!$U$6,"y")=2,"2-3 years","3-4 years")</f>
        <v>3-4 years</v>
      </c>
      <c r="H446" s="69">
        <f t="shared" si="22"/>
        <v>1</v>
      </c>
      <c r="I446" s="142">
        <f>$C446*H446*_xlfn.XLOOKUP($G446,'Sample Size cal and results'!$B$25:$B$26,'Sample Size cal and results'!$D$25:$D$26)</f>
        <v>312.473168880343</v>
      </c>
    </row>
    <row r="447" spans="1:9" ht="13">
      <c r="A447" s="131" t="s">
        <v>1445</v>
      </c>
      <c r="B447" s="53">
        <v>41936</v>
      </c>
      <c r="C447" s="52">
        <v>285</v>
      </c>
      <c r="D447" s="72" t="str">
        <f>IF(DATEDIF($B447,'Inst summary and ER calculation'!$T$6,"y")=1,"1-2 years","2-3 years")</f>
        <v>2-3 years</v>
      </c>
      <c r="E447" s="69">
        <f t="shared" si="21"/>
        <v>0.99726775956284153</v>
      </c>
      <c r="F447" s="69">
        <f>$C447*E447*_xlfn.XLOOKUP($D447,'Sample Size cal and results'!$B$23:$B$24,'Sample Size cal and results'!$D$23:$D$24)</f>
        <v>289.43385449728953</v>
      </c>
      <c r="G447" s="72" t="str">
        <f>IF(DATEDIF($B447,'Inst summary and ER calculation'!$U$6,"y")=2,"2-3 years","3-4 years")</f>
        <v>3-4 years</v>
      </c>
      <c r="H447" s="69">
        <f t="shared" si="22"/>
        <v>1</v>
      </c>
      <c r="I447" s="142">
        <f>$C447*H447*_xlfn.XLOOKUP($G447,'Sample Size cal and results'!$B$25:$B$26,'Sample Size cal and results'!$D$25:$D$26)</f>
        <v>283.61418194553426</v>
      </c>
    </row>
    <row r="448" spans="1:9" ht="13">
      <c r="A448" s="131" t="s">
        <v>1445</v>
      </c>
      <c r="B448" s="53">
        <v>41937</v>
      </c>
      <c r="C448" s="52">
        <v>360</v>
      </c>
      <c r="D448" s="72" t="str">
        <f>IF(DATEDIF($B448,'Inst summary and ER calculation'!$T$6,"y")=1,"1-2 years","2-3 years")</f>
        <v>2-3 years</v>
      </c>
      <c r="E448" s="69">
        <f t="shared" si="21"/>
        <v>0.99726775956284153</v>
      </c>
      <c r="F448" s="69">
        <f>$C448*E448*_xlfn.XLOOKUP($D448,'Sample Size cal and results'!$B$23:$B$24,'Sample Size cal and results'!$D$23:$D$24)</f>
        <v>365.60065831236568</v>
      </c>
      <c r="G448" s="72" t="str">
        <f>IF(DATEDIF($B448,'Inst summary and ER calculation'!$U$6,"y")=2,"2-3 years","3-4 years")</f>
        <v>3-4 years</v>
      </c>
      <c r="H448" s="69">
        <f t="shared" si="22"/>
        <v>1</v>
      </c>
      <c r="I448" s="142">
        <f>$C448*H448*_xlfn.XLOOKUP($G448,'Sample Size cal and results'!$B$25:$B$26,'Sample Size cal and results'!$D$25:$D$26)</f>
        <v>358.24949298383274</v>
      </c>
    </row>
    <row r="449" spans="1:9" ht="13">
      <c r="A449" s="131" t="s">
        <v>1445</v>
      </c>
      <c r="B449" s="53">
        <v>41938</v>
      </c>
      <c r="C449" s="52">
        <v>357</v>
      </c>
      <c r="D449" s="72" t="str">
        <f>IF(DATEDIF($B449,'Inst summary and ER calculation'!$T$6,"y")=1,"1-2 years","2-3 years")</f>
        <v>2-3 years</v>
      </c>
      <c r="E449" s="69">
        <f t="shared" si="21"/>
        <v>0.99726775956284153</v>
      </c>
      <c r="F449" s="69">
        <f>$C449*E449*_xlfn.XLOOKUP($D449,'Sample Size cal and results'!$B$23:$B$24,'Sample Size cal and results'!$D$23:$D$24)</f>
        <v>362.55398615976264</v>
      </c>
      <c r="G449" s="72" t="str">
        <f>IF(DATEDIF($B449,'Inst summary and ER calculation'!$U$6,"y")=2,"2-3 years","3-4 years")</f>
        <v>3-4 years</v>
      </c>
      <c r="H449" s="69">
        <f t="shared" si="22"/>
        <v>1</v>
      </c>
      <c r="I449" s="142">
        <f>$C449*H449*_xlfn.XLOOKUP($G449,'Sample Size cal and results'!$B$25:$B$26,'Sample Size cal and results'!$D$25:$D$26)</f>
        <v>355.2640805423008</v>
      </c>
    </row>
    <row r="450" spans="1:9" ht="13">
      <c r="A450" s="131" t="s">
        <v>1445</v>
      </c>
      <c r="B450" s="53">
        <v>41939</v>
      </c>
      <c r="C450" s="52">
        <v>393</v>
      </c>
      <c r="D450" s="72" t="str">
        <f>IF(DATEDIF($B450,'Inst summary and ER calculation'!$T$6,"y")=1,"1-2 years","2-3 years")</f>
        <v>2-3 years</v>
      </c>
      <c r="E450" s="69">
        <f t="shared" ref="E450:E513" si="23">MAX(MIN($T$6)-MAX($T$4,$B450,_xlfn.XLOOKUP($A450,$W$1:$W$36,$X$1:$X$36))+1,0)/366</f>
        <v>0.99726775956284153</v>
      </c>
      <c r="F450" s="69">
        <f>$C450*E450*_xlfn.XLOOKUP($D450,'Sample Size cal and results'!$B$23:$B$24,'Sample Size cal and results'!$D$23:$D$24)</f>
        <v>399.11405199099926</v>
      </c>
      <c r="G450" s="72" t="str">
        <f>IF(DATEDIF($B450,'Inst summary and ER calculation'!$U$6,"y")=2,"2-3 years","3-4 years")</f>
        <v>3-4 years</v>
      </c>
      <c r="H450" s="69">
        <f t="shared" ref="H450:H513" si="24">MAX(MIN($U$6)-MAX($U$4,$B450,_xlfn.XLOOKUP($A450,$W$1:$W$36,$X$1:$X$36))+1,0)/365</f>
        <v>1</v>
      </c>
      <c r="I450" s="142">
        <f>$C450*H450*_xlfn.XLOOKUP($G450,'Sample Size cal and results'!$B$25:$B$26,'Sample Size cal and results'!$D$25:$D$26)</f>
        <v>391.08902984068408</v>
      </c>
    </row>
    <row r="451" spans="1:9" ht="13">
      <c r="A451" s="131" t="s">
        <v>1445</v>
      </c>
      <c r="B451" s="53">
        <v>41940</v>
      </c>
      <c r="C451" s="52">
        <v>77</v>
      </c>
      <c r="D451" s="72" t="str">
        <f>IF(DATEDIF($B451,'Inst summary and ER calculation'!$T$6,"y")=1,"1-2 years","2-3 years")</f>
        <v>2-3 years</v>
      </c>
      <c r="E451" s="69">
        <f t="shared" si="23"/>
        <v>0.99726775956284153</v>
      </c>
      <c r="F451" s="69">
        <f>$C451*E451*_xlfn.XLOOKUP($D451,'Sample Size cal and results'!$B$23:$B$24,'Sample Size cal and results'!$D$23:$D$24)</f>
        <v>78.197918583478227</v>
      </c>
      <c r="G451" s="72" t="str">
        <f>IF(DATEDIF($B451,'Inst summary and ER calculation'!$U$6,"y")=2,"2-3 years","3-4 years")</f>
        <v>3-4 years</v>
      </c>
      <c r="H451" s="69">
        <f t="shared" si="24"/>
        <v>1</v>
      </c>
      <c r="I451" s="142">
        <f>$C451*H451*_xlfn.XLOOKUP($G451,'Sample Size cal and results'!$B$25:$B$26,'Sample Size cal and results'!$D$25:$D$26)</f>
        <v>76.625585999319782</v>
      </c>
    </row>
    <row r="452" spans="1:9" ht="13">
      <c r="A452" s="131" t="s">
        <v>1446</v>
      </c>
      <c r="B452" s="53">
        <v>41940</v>
      </c>
      <c r="C452" s="52">
        <v>594</v>
      </c>
      <c r="D452" s="72" t="str">
        <f>IF(DATEDIF($B452,'Inst summary and ER calculation'!$T$6,"y")=1,"1-2 years","2-3 years")</f>
        <v>2-3 years</v>
      </c>
      <c r="E452" s="69">
        <f t="shared" si="23"/>
        <v>0.99726775956284153</v>
      </c>
      <c r="F452" s="69">
        <f>$C452*E452*_xlfn.XLOOKUP($D452,'Sample Size cal and results'!$B$23:$B$24,'Sample Size cal and results'!$D$23:$D$24)</f>
        <v>603.24108621540336</v>
      </c>
      <c r="G452" s="72" t="str">
        <f>IF(DATEDIF($B452,'Inst summary and ER calculation'!$U$6,"y")=2,"2-3 years","3-4 years")</f>
        <v>3-4 years</v>
      </c>
      <c r="H452" s="69">
        <f t="shared" si="24"/>
        <v>1</v>
      </c>
      <c r="I452" s="142">
        <f>$C452*H452*_xlfn.XLOOKUP($G452,'Sample Size cal and results'!$B$25:$B$26,'Sample Size cal and results'!$D$25:$D$26)</f>
        <v>591.1116634233241</v>
      </c>
    </row>
    <row r="453" spans="1:9" ht="13">
      <c r="A453" s="131" t="s">
        <v>1446</v>
      </c>
      <c r="B453" s="53">
        <v>41941</v>
      </c>
      <c r="C453" s="52">
        <v>1000</v>
      </c>
      <c r="D453" s="72" t="str">
        <f>IF(DATEDIF($B453,'Inst summary and ER calculation'!$T$6,"y")=1,"1-2 years","2-3 years")</f>
        <v>2-3 years</v>
      </c>
      <c r="E453" s="69">
        <f t="shared" si="23"/>
        <v>0.99726775956284153</v>
      </c>
      <c r="F453" s="69">
        <f>$C453*E453*_xlfn.XLOOKUP($D453,'Sample Size cal and results'!$B$23:$B$24,'Sample Size cal and results'!$D$23:$D$24)</f>
        <v>1015.5573842010159</v>
      </c>
      <c r="G453" s="72" t="str">
        <f>IF(DATEDIF($B453,'Inst summary and ER calculation'!$U$6,"y")=2,"2-3 years","3-4 years")</f>
        <v>3-4 years</v>
      </c>
      <c r="H453" s="69">
        <f t="shared" si="24"/>
        <v>1</v>
      </c>
      <c r="I453" s="142">
        <f>$C453*H453*_xlfn.XLOOKUP($G453,'Sample Size cal and results'!$B$25:$B$26,'Sample Size cal and results'!$D$25:$D$26)</f>
        <v>995.13748051064658</v>
      </c>
    </row>
    <row r="454" spans="1:9" ht="13">
      <c r="A454" s="131" t="s">
        <v>1446</v>
      </c>
      <c r="B454" s="53">
        <v>41942</v>
      </c>
      <c r="C454" s="52">
        <v>1269</v>
      </c>
      <c r="D454" s="72" t="str">
        <f>IF(DATEDIF($B454,'Inst summary and ER calculation'!$T$6,"y")=1,"1-2 years","2-3 years")</f>
        <v>2-3 years</v>
      </c>
      <c r="E454" s="69">
        <f t="shared" si="23"/>
        <v>0.99726775956284153</v>
      </c>
      <c r="F454" s="69">
        <f>$C454*E454*_xlfn.XLOOKUP($D454,'Sample Size cal and results'!$B$23:$B$24,'Sample Size cal and results'!$D$23:$D$24)</f>
        <v>1288.7423205510893</v>
      </c>
      <c r="G454" s="72" t="str">
        <f>IF(DATEDIF($B454,'Inst summary and ER calculation'!$U$6,"y")=2,"2-3 years","3-4 years")</f>
        <v>3-4 years</v>
      </c>
      <c r="H454" s="69">
        <f t="shared" si="24"/>
        <v>1</v>
      </c>
      <c r="I454" s="142">
        <f>$C454*H454*_xlfn.XLOOKUP($G454,'Sample Size cal and results'!$B$25:$B$26,'Sample Size cal and results'!$D$25:$D$26)</f>
        <v>1262.8294627680104</v>
      </c>
    </row>
    <row r="455" spans="1:9" ht="13">
      <c r="A455" s="131" t="s">
        <v>1446</v>
      </c>
      <c r="B455" s="53">
        <v>41943</v>
      </c>
      <c r="C455" s="52">
        <v>1893</v>
      </c>
      <c r="D455" s="72" t="str">
        <f>IF(DATEDIF($B455,'Inst summary and ER calculation'!$T$6,"y")=1,"1-2 years","2-3 years")</f>
        <v>2-3 years</v>
      </c>
      <c r="E455" s="69">
        <f t="shared" si="23"/>
        <v>0.99726775956284153</v>
      </c>
      <c r="F455" s="69">
        <f>$C455*E455*_xlfn.XLOOKUP($D455,'Sample Size cal and results'!$B$23:$B$24,'Sample Size cal and results'!$D$23:$D$24)</f>
        <v>1922.450128292523</v>
      </c>
      <c r="G455" s="72" t="str">
        <f>IF(DATEDIF($B455,'Inst summary and ER calculation'!$U$6,"y")=2,"2-3 years","3-4 years")</f>
        <v>3-4 years</v>
      </c>
      <c r="H455" s="69">
        <f t="shared" si="24"/>
        <v>1</v>
      </c>
      <c r="I455" s="142">
        <f>$C455*H455*_xlfn.XLOOKUP($G455,'Sample Size cal and results'!$B$25:$B$26,'Sample Size cal and results'!$D$25:$D$26)</f>
        <v>1883.795250606654</v>
      </c>
    </row>
    <row r="456" spans="1:9" ht="13">
      <c r="A456" s="131" t="s">
        <v>1446</v>
      </c>
      <c r="B456" s="53">
        <v>41974</v>
      </c>
      <c r="C456" s="52">
        <v>2</v>
      </c>
      <c r="D456" s="72" t="str">
        <f>IF(DATEDIF($B456,'Inst summary and ER calculation'!$T$6,"y")=1,"1-2 years","2-3 years")</f>
        <v>2-3 years</v>
      </c>
      <c r="E456" s="69">
        <f t="shared" si="23"/>
        <v>0.99726775956284153</v>
      </c>
      <c r="F456" s="69">
        <f>$C456*E456*_xlfn.XLOOKUP($D456,'Sample Size cal and results'!$B$23:$B$24,'Sample Size cal and results'!$D$23:$D$24)</f>
        <v>2.0311147684020319</v>
      </c>
      <c r="G456" s="72" t="str">
        <f>IF(DATEDIF($B456,'Inst summary and ER calculation'!$U$6,"y")=2,"2-3 years","3-4 years")</f>
        <v>3-4 years</v>
      </c>
      <c r="H456" s="69">
        <f t="shared" si="24"/>
        <v>1</v>
      </c>
      <c r="I456" s="142">
        <f>$C456*H456*_xlfn.XLOOKUP($G456,'Sample Size cal and results'!$B$25:$B$26,'Sample Size cal and results'!$D$25:$D$26)</f>
        <v>1.9902749610212931</v>
      </c>
    </row>
    <row r="457" spans="1:9" ht="13">
      <c r="A457" s="131" t="s">
        <v>1446</v>
      </c>
      <c r="B457" s="53">
        <v>41975</v>
      </c>
      <c r="C457" s="52">
        <v>3</v>
      </c>
      <c r="D457" s="72" t="str">
        <f>IF(DATEDIF($B457,'Inst summary and ER calculation'!$T$6,"y")=1,"1-2 years","2-3 years")</f>
        <v>2-3 years</v>
      </c>
      <c r="E457" s="69">
        <f t="shared" si="23"/>
        <v>0.99726775956284153</v>
      </c>
      <c r="F457" s="69">
        <f>$C457*E457*_xlfn.XLOOKUP($D457,'Sample Size cal and results'!$B$23:$B$24,'Sample Size cal and results'!$D$23:$D$24)</f>
        <v>3.0466721526030476</v>
      </c>
      <c r="G457" s="72" t="str">
        <f>IF(DATEDIF($B457,'Inst summary and ER calculation'!$U$6,"y")=2,"2-3 years","3-4 years")</f>
        <v>3-4 years</v>
      </c>
      <c r="H457" s="69">
        <f t="shared" si="24"/>
        <v>1</v>
      </c>
      <c r="I457" s="142">
        <f>$C457*H457*_xlfn.XLOOKUP($G457,'Sample Size cal and results'!$B$25:$B$26,'Sample Size cal and results'!$D$25:$D$26)</f>
        <v>2.9854124415319396</v>
      </c>
    </row>
    <row r="458" spans="1:9" ht="13">
      <c r="A458" s="131" t="s">
        <v>1446</v>
      </c>
      <c r="B458" s="53">
        <v>41976</v>
      </c>
      <c r="C458" s="52">
        <v>1</v>
      </c>
      <c r="D458" s="72" t="str">
        <f>IF(DATEDIF($B458,'Inst summary and ER calculation'!$T$6,"y")=1,"1-2 years","2-3 years")</f>
        <v>2-3 years</v>
      </c>
      <c r="E458" s="69">
        <f t="shared" si="23"/>
        <v>0.99726775956284153</v>
      </c>
      <c r="F458" s="69">
        <f>$C458*E458*_xlfn.XLOOKUP($D458,'Sample Size cal and results'!$B$23:$B$24,'Sample Size cal and results'!$D$23:$D$24)</f>
        <v>1.0155573842010159</v>
      </c>
      <c r="G458" s="72" t="str">
        <f>IF(DATEDIF($B458,'Inst summary and ER calculation'!$U$6,"y")=2,"2-3 years","3-4 years")</f>
        <v>3-4 years</v>
      </c>
      <c r="H458" s="69">
        <f t="shared" si="24"/>
        <v>1</v>
      </c>
      <c r="I458" s="142">
        <f>$C458*H458*_xlfn.XLOOKUP($G458,'Sample Size cal and results'!$B$25:$B$26,'Sample Size cal and results'!$D$25:$D$26)</f>
        <v>0.99513748051064654</v>
      </c>
    </row>
    <row r="459" spans="1:9" ht="13">
      <c r="A459" s="131" t="s">
        <v>1446</v>
      </c>
      <c r="B459" s="53">
        <v>41977</v>
      </c>
      <c r="C459" s="52">
        <v>1</v>
      </c>
      <c r="D459" s="72" t="str">
        <f>IF(DATEDIF($B459,'Inst summary and ER calculation'!$T$6,"y")=1,"1-2 years","2-3 years")</f>
        <v>2-3 years</v>
      </c>
      <c r="E459" s="69">
        <f t="shared" si="23"/>
        <v>0.99726775956284153</v>
      </c>
      <c r="F459" s="69">
        <f>$C459*E459*_xlfn.XLOOKUP($D459,'Sample Size cal and results'!$B$23:$B$24,'Sample Size cal and results'!$D$23:$D$24)</f>
        <v>1.0155573842010159</v>
      </c>
      <c r="G459" s="72" t="str">
        <f>IF(DATEDIF($B459,'Inst summary and ER calculation'!$U$6,"y")=2,"2-3 years","3-4 years")</f>
        <v>3-4 years</v>
      </c>
      <c r="H459" s="69">
        <f t="shared" si="24"/>
        <v>1</v>
      </c>
      <c r="I459" s="142">
        <f>$C459*H459*_xlfn.XLOOKUP($G459,'Sample Size cal and results'!$B$25:$B$26,'Sample Size cal and results'!$D$25:$D$26)</f>
        <v>0.99513748051064654</v>
      </c>
    </row>
    <row r="460" spans="1:9" ht="13">
      <c r="A460" s="131" t="s">
        <v>1446</v>
      </c>
      <c r="B460" s="53">
        <v>41978</v>
      </c>
      <c r="C460" s="52">
        <v>5</v>
      </c>
      <c r="D460" s="72" t="str">
        <f>IF(DATEDIF($B460,'Inst summary and ER calculation'!$T$6,"y")=1,"1-2 years","2-3 years")</f>
        <v>2-3 years</v>
      </c>
      <c r="E460" s="69">
        <f t="shared" si="23"/>
        <v>0.99726775956284153</v>
      </c>
      <c r="F460" s="69">
        <f>$C460*E460*_xlfn.XLOOKUP($D460,'Sample Size cal and results'!$B$23:$B$24,'Sample Size cal and results'!$D$23:$D$24)</f>
        <v>5.077786921005079</v>
      </c>
      <c r="G460" s="72" t="str">
        <f>IF(DATEDIF($B460,'Inst summary and ER calculation'!$U$6,"y")=2,"2-3 years","3-4 years")</f>
        <v>3-4 years</v>
      </c>
      <c r="H460" s="69">
        <f t="shared" si="24"/>
        <v>1</v>
      </c>
      <c r="I460" s="142">
        <f>$C460*H460*_xlfn.XLOOKUP($G460,'Sample Size cal and results'!$B$25:$B$26,'Sample Size cal and results'!$D$25:$D$26)</f>
        <v>4.9756874025532323</v>
      </c>
    </row>
    <row r="461" spans="1:9" ht="13">
      <c r="A461" s="131" t="s">
        <v>1446</v>
      </c>
      <c r="B461" s="53">
        <v>41979</v>
      </c>
      <c r="C461" s="52">
        <v>1</v>
      </c>
      <c r="D461" s="72" t="str">
        <f>IF(DATEDIF($B461,'Inst summary and ER calculation'!$T$6,"y")=1,"1-2 years","2-3 years")</f>
        <v>2-3 years</v>
      </c>
      <c r="E461" s="69">
        <f t="shared" si="23"/>
        <v>0.99726775956284153</v>
      </c>
      <c r="F461" s="69">
        <f>$C461*E461*_xlfn.XLOOKUP($D461,'Sample Size cal and results'!$B$23:$B$24,'Sample Size cal and results'!$D$23:$D$24)</f>
        <v>1.0155573842010159</v>
      </c>
      <c r="G461" s="72" t="str">
        <f>IF(DATEDIF($B461,'Inst summary and ER calculation'!$U$6,"y")=2,"2-3 years","3-4 years")</f>
        <v>3-4 years</v>
      </c>
      <c r="H461" s="69">
        <f t="shared" si="24"/>
        <v>1</v>
      </c>
      <c r="I461" s="142">
        <f>$C461*H461*_xlfn.XLOOKUP($G461,'Sample Size cal and results'!$B$25:$B$26,'Sample Size cal and results'!$D$25:$D$26)</f>
        <v>0.99513748051064654</v>
      </c>
    </row>
    <row r="462" spans="1:9" ht="13">
      <c r="A462" s="131" t="s">
        <v>1446</v>
      </c>
      <c r="B462" s="53">
        <v>41980</v>
      </c>
      <c r="C462" s="52">
        <v>4</v>
      </c>
      <c r="D462" s="72" t="str">
        <f>IF(DATEDIF($B462,'Inst summary and ER calculation'!$T$6,"y")=1,"1-2 years","2-3 years")</f>
        <v>2-3 years</v>
      </c>
      <c r="E462" s="69">
        <f t="shared" si="23"/>
        <v>0.99726775956284153</v>
      </c>
      <c r="F462" s="69">
        <f>$C462*E462*_xlfn.XLOOKUP($D462,'Sample Size cal and results'!$B$23:$B$24,'Sample Size cal and results'!$D$23:$D$24)</f>
        <v>4.0622295368040637</v>
      </c>
      <c r="G462" s="72" t="str">
        <f>IF(DATEDIF($B462,'Inst summary and ER calculation'!$U$6,"y")=2,"2-3 years","3-4 years")</f>
        <v>3-4 years</v>
      </c>
      <c r="H462" s="69">
        <f t="shared" si="24"/>
        <v>1</v>
      </c>
      <c r="I462" s="142">
        <f>$C462*H462*_xlfn.XLOOKUP($G462,'Sample Size cal and results'!$B$25:$B$26,'Sample Size cal and results'!$D$25:$D$26)</f>
        <v>3.9805499220425862</v>
      </c>
    </row>
    <row r="463" spans="1:9" ht="13">
      <c r="A463" s="131" t="s">
        <v>1446</v>
      </c>
      <c r="B463" s="53">
        <v>41981</v>
      </c>
      <c r="C463" s="52">
        <v>1</v>
      </c>
      <c r="D463" s="72" t="str">
        <f>IF(DATEDIF($B463,'Inst summary and ER calculation'!$T$6,"y")=1,"1-2 years","2-3 years")</f>
        <v>2-3 years</v>
      </c>
      <c r="E463" s="69">
        <f t="shared" si="23"/>
        <v>0.99726775956284153</v>
      </c>
      <c r="F463" s="69">
        <f>$C463*E463*_xlfn.XLOOKUP($D463,'Sample Size cal and results'!$B$23:$B$24,'Sample Size cal and results'!$D$23:$D$24)</f>
        <v>1.0155573842010159</v>
      </c>
      <c r="G463" s="72" t="str">
        <f>IF(DATEDIF($B463,'Inst summary and ER calculation'!$U$6,"y")=2,"2-3 years","3-4 years")</f>
        <v>3-4 years</v>
      </c>
      <c r="H463" s="69">
        <f t="shared" si="24"/>
        <v>1</v>
      </c>
      <c r="I463" s="142">
        <f>$C463*H463*_xlfn.XLOOKUP($G463,'Sample Size cal and results'!$B$25:$B$26,'Sample Size cal and results'!$D$25:$D$26)</f>
        <v>0.99513748051064654</v>
      </c>
    </row>
    <row r="464" spans="1:9" ht="13">
      <c r="A464" s="131" t="s">
        <v>1446</v>
      </c>
      <c r="B464" s="53">
        <v>41982</v>
      </c>
      <c r="C464" s="52">
        <v>2</v>
      </c>
      <c r="D464" s="72" t="str">
        <f>IF(DATEDIF($B464,'Inst summary and ER calculation'!$T$6,"y")=1,"1-2 years","2-3 years")</f>
        <v>2-3 years</v>
      </c>
      <c r="E464" s="69">
        <f t="shared" si="23"/>
        <v>0.99726775956284153</v>
      </c>
      <c r="F464" s="69">
        <f>$C464*E464*_xlfn.XLOOKUP($D464,'Sample Size cal and results'!$B$23:$B$24,'Sample Size cal and results'!$D$23:$D$24)</f>
        <v>2.0311147684020319</v>
      </c>
      <c r="G464" s="72" t="str">
        <f>IF(DATEDIF($B464,'Inst summary and ER calculation'!$U$6,"y")=2,"2-3 years","3-4 years")</f>
        <v>3-4 years</v>
      </c>
      <c r="H464" s="69">
        <f t="shared" si="24"/>
        <v>1</v>
      </c>
      <c r="I464" s="142">
        <f>$C464*H464*_xlfn.XLOOKUP($G464,'Sample Size cal and results'!$B$25:$B$26,'Sample Size cal and results'!$D$25:$D$26)</f>
        <v>1.9902749610212931</v>
      </c>
    </row>
    <row r="465" spans="1:9" ht="13">
      <c r="A465" s="131" t="s">
        <v>1446</v>
      </c>
      <c r="B465" s="53">
        <v>41983</v>
      </c>
      <c r="C465" s="52">
        <v>7</v>
      </c>
      <c r="D465" s="72" t="str">
        <f>IF(DATEDIF($B465,'Inst summary and ER calculation'!$T$6,"y")=1,"1-2 years","2-3 years")</f>
        <v>2-3 years</v>
      </c>
      <c r="E465" s="69">
        <f t="shared" si="23"/>
        <v>0.99726775956284153</v>
      </c>
      <c r="F465" s="69">
        <f>$C465*E465*_xlfn.XLOOKUP($D465,'Sample Size cal and results'!$B$23:$B$24,'Sample Size cal and results'!$D$23:$D$24)</f>
        <v>7.1089016894071104</v>
      </c>
      <c r="G465" s="72" t="str">
        <f>IF(DATEDIF($B465,'Inst summary and ER calculation'!$U$6,"y")=2,"2-3 years","3-4 years")</f>
        <v>3-4 years</v>
      </c>
      <c r="H465" s="69">
        <f t="shared" si="24"/>
        <v>1</v>
      </c>
      <c r="I465" s="142">
        <f>$C465*H465*_xlfn.XLOOKUP($G465,'Sample Size cal and results'!$B$25:$B$26,'Sample Size cal and results'!$D$25:$D$26)</f>
        <v>6.9659623635745263</v>
      </c>
    </row>
    <row r="466" spans="1:9" ht="13">
      <c r="A466" s="131" t="s">
        <v>1446</v>
      </c>
      <c r="B466" s="53">
        <v>41987</v>
      </c>
      <c r="C466" s="52">
        <v>1</v>
      </c>
      <c r="D466" s="72" t="str">
        <f>IF(DATEDIF($B466,'Inst summary and ER calculation'!$T$6,"y")=1,"1-2 years","2-3 years")</f>
        <v>2-3 years</v>
      </c>
      <c r="E466" s="69">
        <f t="shared" si="23"/>
        <v>0.99726775956284153</v>
      </c>
      <c r="F466" s="69">
        <f>$C466*E466*_xlfn.XLOOKUP($D466,'Sample Size cal and results'!$B$23:$B$24,'Sample Size cal and results'!$D$23:$D$24)</f>
        <v>1.0155573842010159</v>
      </c>
      <c r="G466" s="72" t="str">
        <f>IF(DATEDIF($B466,'Inst summary and ER calculation'!$U$6,"y")=2,"2-3 years","3-4 years")</f>
        <v>3-4 years</v>
      </c>
      <c r="H466" s="69">
        <f t="shared" si="24"/>
        <v>1</v>
      </c>
      <c r="I466" s="142">
        <f>$C466*H466*_xlfn.XLOOKUP($G466,'Sample Size cal and results'!$B$25:$B$26,'Sample Size cal and results'!$D$25:$D$26)</f>
        <v>0.99513748051064654</v>
      </c>
    </row>
    <row r="467" spans="1:9" ht="13">
      <c r="A467" s="131" t="s">
        <v>1446</v>
      </c>
      <c r="B467" s="53">
        <v>41988</v>
      </c>
      <c r="C467" s="52">
        <v>4</v>
      </c>
      <c r="D467" s="72" t="str">
        <f>IF(DATEDIF($B467,'Inst summary and ER calculation'!$T$6,"y")=1,"1-2 years","2-3 years")</f>
        <v>2-3 years</v>
      </c>
      <c r="E467" s="69">
        <f t="shared" si="23"/>
        <v>0.99726775956284153</v>
      </c>
      <c r="F467" s="69">
        <f>$C467*E467*_xlfn.XLOOKUP($D467,'Sample Size cal and results'!$B$23:$B$24,'Sample Size cal and results'!$D$23:$D$24)</f>
        <v>4.0622295368040637</v>
      </c>
      <c r="G467" s="72" t="str">
        <f>IF(DATEDIF($B467,'Inst summary and ER calculation'!$U$6,"y")=2,"2-3 years","3-4 years")</f>
        <v>3-4 years</v>
      </c>
      <c r="H467" s="69">
        <f t="shared" si="24"/>
        <v>1</v>
      </c>
      <c r="I467" s="142">
        <f>$C467*H467*_xlfn.XLOOKUP($G467,'Sample Size cal and results'!$B$25:$B$26,'Sample Size cal and results'!$D$25:$D$26)</f>
        <v>3.9805499220425862</v>
      </c>
    </row>
    <row r="468" spans="1:9" ht="13">
      <c r="A468" s="131" t="s">
        <v>1446</v>
      </c>
      <c r="B468" s="53">
        <v>41989</v>
      </c>
      <c r="C468" s="52">
        <v>6</v>
      </c>
      <c r="D468" s="72" t="str">
        <f>IF(DATEDIF($B468,'Inst summary and ER calculation'!$T$6,"y")=1,"1-2 years","2-3 years")</f>
        <v>2-3 years</v>
      </c>
      <c r="E468" s="69">
        <f t="shared" si="23"/>
        <v>0.99726775956284153</v>
      </c>
      <c r="F468" s="69">
        <f>$C468*E468*_xlfn.XLOOKUP($D468,'Sample Size cal and results'!$B$23:$B$24,'Sample Size cal and results'!$D$23:$D$24)</f>
        <v>6.0933443052060952</v>
      </c>
      <c r="G468" s="72" t="str">
        <f>IF(DATEDIF($B468,'Inst summary and ER calculation'!$U$6,"y")=2,"2-3 years","3-4 years")</f>
        <v>3-4 years</v>
      </c>
      <c r="H468" s="69">
        <f t="shared" si="24"/>
        <v>1</v>
      </c>
      <c r="I468" s="142">
        <f>$C468*H468*_xlfn.XLOOKUP($G468,'Sample Size cal and results'!$B$25:$B$26,'Sample Size cal and results'!$D$25:$D$26)</f>
        <v>5.9708248830638793</v>
      </c>
    </row>
    <row r="469" spans="1:9" ht="13">
      <c r="A469" s="131" t="s">
        <v>1446</v>
      </c>
      <c r="B469" s="53">
        <v>41990</v>
      </c>
      <c r="C469" s="52">
        <v>3</v>
      </c>
      <c r="D469" s="72" t="str">
        <f>IF(DATEDIF($B469,'Inst summary and ER calculation'!$T$6,"y")=1,"1-2 years","2-3 years")</f>
        <v>2-3 years</v>
      </c>
      <c r="E469" s="69">
        <f t="shared" si="23"/>
        <v>0.99726775956284153</v>
      </c>
      <c r="F469" s="69">
        <f>$C469*E469*_xlfn.XLOOKUP($D469,'Sample Size cal and results'!$B$23:$B$24,'Sample Size cal and results'!$D$23:$D$24)</f>
        <v>3.0466721526030476</v>
      </c>
      <c r="G469" s="72" t="str">
        <f>IF(DATEDIF($B469,'Inst summary and ER calculation'!$U$6,"y")=2,"2-3 years","3-4 years")</f>
        <v>3-4 years</v>
      </c>
      <c r="H469" s="69">
        <f t="shared" si="24"/>
        <v>1</v>
      </c>
      <c r="I469" s="142">
        <f>$C469*H469*_xlfn.XLOOKUP($G469,'Sample Size cal and results'!$B$25:$B$26,'Sample Size cal and results'!$D$25:$D$26)</f>
        <v>2.9854124415319396</v>
      </c>
    </row>
    <row r="470" spans="1:9" ht="13">
      <c r="A470" s="131" t="s">
        <v>1446</v>
      </c>
      <c r="B470" s="53">
        <v>41991</v>
      </c>
      <c r="C470" s="52">
        <v>1</v>
      </c>
      <c r="D470" s="72" t="str">
        <f>IF(DATEDIF($B470,'Inst summary and ER calculation'!$T$6,"y")=1,"1-2 years","2-3 years")</f>
        <v>2-3 years</v>
      </c>
      <c r="E470" s="69">
        <f t="shared" si="23"/>
        <v>0.99726775956284153</v>
      </c>
      <c r="F470" s="69">
        <f>$C470*E470*_xlfn.XLOOKUP($D470,'Sample Size cal and results'!$B$23:$B$24,'Sample Size cal and results'!$D$23:$D$24)</f>
        <v>1.0155573842010159</v>
      </c>
      <c r="G470" s="72" t="str">
        <f>IF(DATEDIF($B470,'Inst summary and ER calculation'!$U$6,"y")=2,"2-3 years","3-4 years")</f>
        <v>3-4 years</v>
      </c>
      <c r="H470" s="69">
        <f t="shared" si="24"/>
        <v>1</v>
      </c>
      <c r="I470" s="142">
        <f>$C470*H470*_xlfn.XLOOKUP($G470,'Sample Size cal and results'!$B$25:$B$26,'Sample Size cal and results'!$D$25:$D$26)</f>
        <v>0.99513748051064654</v>
      </c>
    </row>
    <row r="471" spans="1:9" ht="13">
      <c r="A471" s="131" t="s">
        <v>1446</v>
      </c>
      <c r="B471" s="53">
        <v>41992</v>
      </c>
      <c r="C471" s="52">
        <v>1</v>
      </c>
      <c r="D471" s="72" t="str">
        <f>IF(DATEDIF($B471,'Inst summary and ER calculation'!$T$6,"y")=1,"1-2 years","2-3 years")</f>
        <v>2-3 years</v>
      </c>
      <c r="E471" s="69">
        <f t="shared" si="23"/>
        <v>0.99726775956284153</v>
      </c>
      <c r="F471" s="69">
        <f>$C471*E471*_xlfn.XLOOKUP($D471,'Sample Size cal and results'!$B$23:$B$24,'Sample Size cal and results'!$D$23:$D$24)</f>
        <v>1.0155573842010159</v>
      </c>
      <c r="G471" s="72" t="str">
        <f>IF(DATEDIF($B471,'Inst summary and ER calculation'!$U$6,"y")=2,"2-3 years","3-4 years")</f>
        <v>3-4 years</v>
      </c>
      <c r="H471" s="69">
        <f t="shared" si="24"/>
        <v>1</v>
      </c>
      <c r="I471" s="142">
        <f>$C471*H471*_xlfn.XLOOKUP($G471,'Sample Size cal and results'!$B$25:$B$26,'Sample Size cal and results'!$D$25:$D$26)</f>
        <v>0.99513748051064654</v>
      </c>
    </row>
    <row r="472" spans="1:9" ht="13">
      <c r="A472" s="131" t="s">
        <v>1446</v>
      </c>
      <c r="B472" s="53">
        <v>41993</v>
      </c>
      <c r="C472" s="52">
        <v>3</v>
      </c>
      <c r="D472" s="72" t="str">
        <f>IF(DATEDIF($B472,'Inst summary and ER calculation'!$T$6,"y")=1,"1-2 years","2-3 years")</f>
        <v>2-3 years</v>
      </c>
      <c r="E472" s="69">
        <f t="shared" si="23"/>
        <v>0.99726775956284153</v>
      </c>
      <c r="F472" s="69">
        <f>$C472*E472*_xlfn.XLOOKUP($D472,'Sample Size cal and results'!$B$23:$B$24,'Sample Size cal and results'!$D$23:$D$24)</f>
        <v>3.0466721526030476</v>
      </c>
      <c r="G472" s="72" t="str">
        <f>IF(DATEDIF($B472,'Inst summary and ER calculation'!$U$6,"y")=2,"2-3 years","3-4 years")</f>
        <v>3-4 years</v>
      </c>
      <c r="H472" s="69">
        <f t="shared" si="24"/>
        <v>1</v>
      </c>
      <c r="I472" s="142">
        <f>$C472*H472*_xlfn.XLOOKUP($G472,'Sample Size cal and results'!$B$25:$B$26,'Sample Size cal and results'!$D$25:$D$26)</f>
        <v>2.9854124415319396</v>
      </c>
    </row>
    <row r="473" spans="1:9" ht="13">
      <c r="A473" s="131" t="s">
        <v>1446</v>
      </c>
      <c r="B473" s="53">
        <v>41994</v>
      </c>
      <c r="C473" s="52">
        <v>1</v>
      </c>
      <c r="D473" s="72" t="str">
        <f>IF(DATEDIF($B473,'Inst summary and ER calculation'!$T$6,"y")=1,"1-2 years","2-3 years")</f>
        <v>2-3 years</v>
      </c>
      <c r="E473" s="69">
        <f t="shared" si="23"/>
        <v>0.99726775956284153</v>
      </c>
      <c r="F473" s="69">
        <f>$C473*E473*_xlfn.XLOOKUP($D473,'Sample Size cal and results'!$B$23:$B$24,'Sample Size cal and results'!$D$23:$D$24)</f>
        <v>1.0155573842010159</v>
      </c>
      <c r="G473" s="72" t="str">
        <f>IF(DATEDIF($B473,'Inst summary and ER calculation'!$U$6,"y")=2,"2-3 years","3-4 years")</f>
        <v>3-4 years</v>
      </c>
      <c r="H473" s="69">
        <f t="shared" si="24"/>
        <v>1</v>
      </c>
      <c r="I473" s="142">
        <f>$C473*H473*_xlfn.XLOOKUP($G473,'Sample Size cal and results'!$B$25:$B$26,'Sample Size cal and results'!$D$25:$D$26)</f>
        <v>0.99513748051064654</v>
      </c>
    </row>
    <row r="474" spans="1:9" ht="13">
      <c r="A474" s="131" t="s">
        <v>1446</v>
      </c>
      <c r="B474" s="53">
        <v>41995</v>
      </c>
      <c r="C474" s="52">
        <v>1</v>
      </c>
      <c r="D474" s="72" t="str">
        <f>IF(DATEDIF($B474,'Inst summary and ER calculation'!$T$6,"y")=1,"1-2 years","2-3 years")</f>
        <v>2-3 years</v>
      </c>
      <c r="E474" s="69">
        <f t="shared" si="23"/>
        <v>0.99726775956284153</v>
      </c>
      <c r="F474" s="69">
        <f>$C474*E474*_xlfn.XLOOKUP($D474,'Sample Size cal and results'!$B$23:$B$24,'Sample Size cal and results'!$D$23:$D$24)</f>
        <v>1.0155573842010159</v>
      </c>
      <c r="G474" s="72" t="str">
        <f>IF(DATEDIF($B474,'Inst summary and ER calculation'!$U$6,"y")=2,"2-3 years","3-4 years")</f>
        <v>3-4 years</v>
      </c>
      <c r="H474" s="69">
        <f t="shared" si="24"/>
        <v>1</v>
      </c>
      <c r="I474" s="142">
        <f>$C474*H474*_xlfn.XLOOKUP($G474,'Sample Size cal and results'!$B$25:$B$26,'Sample Size cal and results'!$D$25:$D$26)</f>
        <v>0.99513748051064654</v>
      </c>
    </row>
    <row r="475" spans="1:9" ht="13">
      <c r="A475" s="131" t="s">
        <v>1446</v>
      </c>
      <c r="B475" s="53">
        <v>41996</v>
      </c>
      <c r="C475" s="52">
        <v>1</v>
      </c>
      <c r="D475" s="72" t="str">
        <f>IF(DATEDIF($B475,'Inst summary and ER calculation'!$T$6,"y")=1,"1-2 years","2-3 years")</f>
        <v>2-3 years</v>
      </c>
      <c r="E475" s="69">
        <f t="shared" si="23"/>
        <v>0.99726775956284153</v>
      </c>
      <c r="F475" s="69">
        <f>$C475*E475*_xlfn.XLOOKUP($D475,'Sample Size cal and results'!$B$23:$B$24,'Sample Size cal and results'!$D$23:$D$24)</f>
        <v>1.0155573842010159</v>
      </c>
      <c r="G475" s="72" t="str">
        <f>IF(DATEDIF($B475,'Inst summary and ER calculation'!$U$6,"y")=2,"2-3 years","3-4 years")</f>
        <v>3-4 years</v>
      </c>
      <c r="H475" s="69">
        <f t="shared" si="24"/>
        <v>1</v>
      </c>
      <c r="I475" s="142">
        <f>$C475*H475*_xlfn.XLOOKUP($G475,'Sample Size cal and results'!$B$25:$B$26,'Sample Size cal and results'!$D$25:$D$26)</f>
        <v>0.99513748051064654</v>
      </c>
    </row>
    <row r="476" spans="1:9" ht="13">
      <c r="A476" s="131" t="s">
        <v>1446</v>
      </c>
      <c r="B476" s="53">
        <v>41998</v>
      </c>
      <c r="C476" s="52">
        <v>4</v>
      </c>
      <c r="D476" s="72" t="str">
        <f>IF(DATEDIF($B476,'Inst summary and ER calculation'!$T$6,"y")=1,"1-2 years","2-3 years")</f>
        <v>2-3 years</v>
      </c>
      <c r="E476" s="69">
        <f t="shared" si="23"/>
        <v>0.99726775956284153</v>
      </c>
      <c r="F476" s="69">
        <f>$C476*E476*_xlfn.XLOOKUP($D476,'Sample Size cal and results'!$B$23:$B$24,'Sample Size cal and results'!$D$23:$D$24)</f>
        <v>4.0622295368040637</v>
      </c>
      <c r="G476" s="72" t="str">
        <f>IF(DATEDIF($B476,'Inst summary and ER calculation'!$U$6,"y")=2,"2-3 years","3-4 years")</f>
        <v>3-4 years</v>
      </c>
      <c r="H476" s="69">
        <f t="shared" si="24"/>
        <v>1</v>
      </c>
      <c r="I476" s="142">
        <f>$C476*H476*_xlfn.XLOOKUP($G476,'Sample Size cal and results'!$B$25:$B$26,'Sample Size cal and results'!$D$25:$D$26)</f>
        <v>3.9805499220425862</v>
      </c>
    </row>
    <row r="477" spans="1:9" ht="13">
      <c r="A477" s="131" t="s">
        <v>1446</v>
      </c>
      <c r="B477" s="53">
        <v>42000</v>
      </c>
      <c r="C477" s="52">
        <v>3</v>
      </c>
      <c r="D477" s="72" t="str">
        <f>IF(DATEDIF($B477,'Inst summary and ER calculation'!$T$6,"y")=1,"1-2 years","2-3 years")</f>
        <v>2-3 years</v>
      </c>
      <c r="E477" s="69">
        <f t="shared" si="23"/>
        <v>0.99726775956284153</v>
      </c>
      <c r="F477" s="69">
        <f>$C477*E477*_xlfn.XLOOKUP($D477,'Sample Size cal and results'!$B$23:$B$24,'Sample Size cal and results'!$D$23:$D$24)</f>
        <v>3.0466721526030476</v>
      </c>
      <c r="G477" s="72" t="str">
        <f>IF(DATEDIF($B477,'Inst summary and ER calculation'!$U$6,"y")=2,"2-3 years","3-4 years")</f>
        <v>3-4 years</v>
      </c>
      <c r="H477" s="69">
        <f t="shared" si="24"/>
        <v>1</v>
      </c>
      <c r="I477" s="142">
        <f>$C477*H477*_xlfn.XLOOKUP($G477,'Sample Size cal and results'!$B$25:$B$26,'Sample Size cal and results'!$D$25:$D$26)</f>
        <v>2.9854124415319396</v>
      </c>
    </row>
    <row r="478" spans="1:9" ht="13">
      <c r="A478" s="131" t="s">
        <v>1446</v>
      </c>
      <c r="B478" s="53">
        <v>42001</v>
      </c>
      <c r="C478" s="52">
        <v>7</v>
      </c>
      <c r="D478" s="72" t="str">
        <f>IF(DATEDIF($B478,'Inst summary and ER calculation'!$T$6,"y")=1,"1-2 years","2-3 years")</f>
        <v>2-3 years</v>
      </c>
      <c r="E478" s="69">
        <f t="shared" si="23"/>
        <v>0.99726775956284153</v>
      </c>
      <c r="F478" s="69">
        <f>$C478*E478*_xlfn.XLOOKUP($D478,'Sample Size cal and results'!$B$23:$B$24,'Sample Size cal and results'!$D$23:$D$24)</f>
        <v>7.1089016894071104</v>
      </c>
      <c r="G478" s="72" t="str">
        <f>IF(DATEDIF($B478,'Inst summary and ER calculation'!$U$6,"y")=2,"2-3 years","3-4 years")</f>
        <v>3-4 years</v>
      </c>
      <c r="H478" s="69">
        <f t="shared" si="24"/>
        <v>1</v>
      </c>
      <c r="I478" s="142">
        <f>$C478*H478*_xlfn.XLOOKUP($G478,'Sample Size cal and results'!$B$25:$B$26,'Sample Size cal and results'!$D$25:$D$26)</f>
        <v>6.9659623635745263</v>
      </c>
    </row>
    <row r="479" spans="1:9" ht="13">
      <c r="A479" s="131" t="s">
        <v>1446</v>
      </c>
      <c r="B479" s="53">
        <v>42002</v>
      </c>
      <c r="C479" s="52">
        <v>5</v>
      </c>
      <c r="D479" s="72" t="str">
        <f>IF(DATEDIF($B479,'Inst summary and ER calculation'!$T$6,"y")=1,"1-2 years","2-3 years")</f>
        <v>2-3 years</v>
      </c>
      <c r="E479" s="69">
        <f t="shared" si="23"/>
        <v>0.99726775956284153</v>
      </c>
      <c r="F479" s="69">
        <f>$C479*E479*_xlfn.XLOOKUP($D479,'Sample Size cal and results'!$B$23:$B$24,'Sample Size cal and results'!$D$23:$D$24)</f>
        <v>5.077786921005079</v>
      </c>
      <c r="G479" s="72" t="str">
        <f>IF(DATEDIF($B479,'Inst summary and ER calculation'!$U$6,"y")=2,"2-3 years","3-4 years")</f>
        <v>3-4 years</v>
      </c>
      <c r="H479" s="69">
        <f t="shared" si="24"/>
        <v>1</v>
      </c>
      <c r="I479" s="142">
        <f>$C479*H479*_xlfn.XLOOKUP($G479,'Sample Size cal and results'!$B$25:$B$26,'Sample Size cal and results'!$D$25:$D$26)</f>
        <v>4.9756874025532323</v>
      </c>
    </row>
    <row r="480" spans="1:9" ht="13">
      <c r="A480" s="131" t="s">
        <v>1446</v>
      </c>
      <c r="B480" s="53">
        <v>42003</v>
      </c>
      <c r="C480" s="52">
        <v>5</v>
      </c>
      <c r="D480" s="72" t="str">
        <f>IF(DATEDIF($B480,'Inst summary and ER calculation'!$T$6,"y")=1,"1-2 years","2-3 years")</f>
        <v>2-3 years</v>
      </c>
      <c r="E480" s="69">
        <f t="shared" si="23"/>
        <v>0.99726775956284153</v>
      </c>
      <c r="F480" s="69">
        <f>$C480*E480*_xlfn.XLOOKUP($D480,'Sample Size cal and results'!$B$23:$B$24,'Sample Size cal and results'!$D$23:$D$24)</f>
        <v>5.077786921005079</v>
      </c>
      <c r="G480" s="72" t="str">
        <f>IF(DATEDIF($B480,'Inst summary and ER calculation'!$U$6,"y")=2,"2-3 years","3-4 years")</f>
        <v>3-4 years</v>
      </c>
      <c r="H480" s="69">
        <f t="shared" si="24"/>
        <v>1</v>
      </c>
      <c r="I480" s="142">
        <f>$C480*H480*_xlfn.XLOOKUP($G480,'Sample Size cal and results'!$B$25:$B$26,'Sample Size cal and results'!$D$25:$D$26)</f>
        <v>4.9756874025532323</v>
      </c>
    </row>
    <row r="481" spans="1:9" ht="13">
      <c r="A481" s="131" t="s">
        <v>1446</v>
      </c>
      <c r="B481" s="53">
        <v>42004</v>
      </c>
      <c r="C481" s="52">
        <v>1</v>
      </c>
      <c r="D481" s="72" t="str">
        <f>IF(DATEDIF($B481,'Inst summary and ER calculation'!$T$6,"y")=1,"1-2 years","2-3 years")</f>
        <v>2-3 years</v>
      </c>
      <c r="E481" s="69">
        <f t="shared" si="23"/>
        <v>0.99726775956284153</v>
      </c>
      <c r="F481" s="69">
        <f>$C481*E481*_xlfn.XLOOKUP($D481,'Sample Size cal and results'!$B$23:$B$24,'Sample Size cal and results'!$D$23:$D$24)</f>
        <v>1.0155573842010159</v>
      </c>
      <c r="G481" s="72" t="str">
        <f>IF(DATEDIF($B481,'Inst summary and ER calculation'!$U$6,"y")=2,"2-3 years","3-4 years")</f>
        <v>3-4 years</v>
      </c>
      <c r="H481" s="69">
        <f t="shared" si="24"/>
        <v>1</v>
      </c>
      <c r="I481" s="142">
        <f>$C481*H481*_xlfn.XLOOKUP($G481,'Sample Size cal and results'!$B$25:$B$26,'Sample Size cal and results'!$D$25:$D$26)</f>
        <v>0.99513748051064654</v>
      </c>
    </row>
    <row r="482" spans="1:9" ht="13">
      <c r="A482" s="131" t="s">
        <v>1446</v>
      </c>
      <c r="B482" s="53">
        <v>42005</v>
      </c>
      <c r="C482" s="52">
        <v>17</v>
      </c>
      <c r="D482" s="72" t="str">
        <f>IF(DATEDIF($B482,'Inst summary and ER calculation'!$T$6,"y")=1,"1-2 years","2-3 years")</f>
        <v>2-3 years</v>
      </c>
      <c r="E482" s="69">
        <f t="shared" si="23"/>
        <v>0.99726775956284153</v>
      </c>
      <c r="F482" s="69">
        <f>$C482*E482*_xlfn.XLOOKUP($D482,'Sample Size cal and results'!$B$23:$B$24,'Sample Size cal and results'!$D$23:$D$24)</f>
        <v>17.264475531417268</v>
      </c>
      <c r="G482" s="72" t="str">
        <f>IF(DATEDIF($B482,'Inst summary and ER calculation'!$U$6,"y")=2,"2-3 years","3-4 years")</f>
        <v>3-4 years</v>
      </c>
      <c r="H482" s="69">
        <f t="shared" si="24"/>
        <v>1</v>
      </c>
      <c r="I482" s="142">
        <f>$C482*H482*_xlfn.XLOOKUP($G482,'Sample Size cal and results'!$B$25:$B$26,'Sample Size cal and results'!$D$25:$D$26)</f>
        <v>16.917337168680991</v>
      </c>
    </row>
    <row r="483" spans="1:9" ht="13">
      <c r="A483" s="131" t="s">
        <v>1446</v>
      </c>
      <c r="B483" s="53">
        <v>42006</v>
      </c>
      <c r="C483" s="52">
        <v>16</v>
      </c>
      <c r="D483" s="72" t="str">
        <f>IF(DATEDIF($B483,'Inst summary and ER calculation'!$T$6,"y")=1,"1-2 years","2-3 years")</f>
        <v>2-3 years</v>
      </c>
      <c r="E483" s="69">
        <f t="shared" si="23"/>
        <v>0.99726775956284153</v>
      </c>
      <c r="F483" s="69">
        <f>$C483*E483*_xlfn.XLOOKUP($D483,'Sample Size cal and results'!$B$23:$B$24,'Sample Size cal and results'!$D$23:$D$24)</f>
        <v>16.248918147216255</v>
      </c>
      <c r="G483" s="72" t="str">
        <f>IF(DATEDIF($B483,'Inst summary and ER calculation'!$U$6,"y")=2,"2-3 years","3-4 years")</f>
        <v>3-4 years</v>
      </c>
      <c r="H483" s="69">
        <f t="shared" si="24"/>
        <v>1</v>
      </c>
      <c r="I483" s="142">
        <f>$C483*H483*_xlfn.XLOOKUP($G483,'Sample Size cal and results'!$B$25:$B$26,'Sample Size cal and results'!$D$25:$D$26)</f>
        <v>15.922199688170345</v>
      </c>
    </row>
    <row r="484" spans="1:9" ht="13">
      <c r="A484" s="131" t="s">
        <v>1446</v>
      </c>
      <c r="B484" s="53">
        <v>42007</v>
      </c>
      <c r="C484" s="52">
        <v>16</v>
      </c>
      <c r="D484" s="72" t="str">
        <f>IF(DATEDIF($B484,'Inst summary and ER calculation'!$T$6,"y")=1,"1-2 years","2-3 years")</f>
        <v>2-3 years</v>
      </c>
      <c r="E484" s="69">
        <f t="shared" si="23"/>
        <v>0.99726775956284153</v>
      </c>
      <c r="F484" s="69">
        <f>$C484*E484*_xlfn.XLOOKUP($D484,'Sample Size cal and results'!$B$23:$B$24,'Sample Size cal and results'!$D$23:$D$24)</f>
        <v>16.248918147216255</v>
      </c>
      <c r="G484" s="72" t="str">
        <f>IF(DATEDIF($B484,'Inst summary and ER calculation'!$U$6,"y")=2,"2-3 years","3-4 years")</f>
        <v>3-4 years</v>
      </c>
      <c r="H484" s="69">
        <f t="shared" si="24"/>
        <v>1</v>
      </c>
      <c r="I484" s="142">
        <f>$C484*H484*_xlfn.XLOOKUP($G484,'Sample Size cal and results'!$B$25:$B$26,'Sample Size cal and results'!$D$25:$D$26)</f>
        <v>15.922199688170345</v>
      </c>
    </row>
    <row r="485" spans="1:9" ht="13">
      <c r="A485" s="131" t="s">
        <v>1446</v>
      </c>
      <c r="B485" s="53">
        <v>42008</v>
      </c>
      <c r="C485" s="52">
        <v>15</v>
      </c>
      <c r="D485" s="72" t="str">
        <f>IF(DATEDIF($B485,'Inst summary and ER calculation'!$T$6,"y")=1,"1-2 years","2-3 years")</f>
        <v>2-3 years</v>
      </c>
      <c r="E485" s="69">
        <f t="shared" si="23"/>
        <v>0.99726775956284153</v>
      </c>
      <c r="F485" s="69">
        <f>$C485*E485*_xlfn.XLOOKUP($D485,'Sample Size cal and results'!$B$23:$B$24,'Sample Size cal and results'!$D$23:$D$24)</f>
        <v>15.233360763015238</v>
      </c>
      <c r="G485" s="72" t="str">
        <f>IF(DATEDIF($B485,'Inst summary and ER calculation'!$U$6,"y")=2,"2-3 years","3-4 years")</f>
        <v>3-4 years</v>
      </c>
      <c r="H485" s="69">
        <f t="shared" si="24"/>
        <v>1</v>
      </c>
      <c r="I485" s="142">
        <f>$C485*H485*_xlfn.XLOOKUP($G485,'Sample Size cal and results'!$B$25:$B$26,'Sample Size cal and results'!$D$25:$D$26)</f>
        <v>14.927062207659699</v>
      </c>
    </row>
    <row r="486" spans="1:9" ht="13">
      <c r="A486" s="131" t="s">
        <v>1446</v>
      </c>
      <c r="B486" s="53">
        <v>42009</v>
      </c>
      <c r="C486" s="52">
        <v>16</v>
      </c>
      <c r="D486" s="72" t="str">
        <f>IF(DATEDIF($B486,'Inst summary and ER calculation'!$T$6,"y")=1,"1-2 years","2-3 years")</f>
        <v>2-3 years</v>
      </c>
      <c r="E486" s="69">
        <f t="shared" si="23"/>
        <v>0.99726775956284153</v>
      </c>
      <c r="F486" s="69">
        <f>$C486*E486*_xlfn.XLOOKUP($D486,'Sample Size cal and results'!$B$23:$B$24,'Sample Size cal and results'!$D$23:$D$24)</f>
        <v>16.248918147216255</v>
      </c>
      <c r="G486" s="72" t="str">
        <f>IF(DATEDIF($B486,'Inst summary and ER calculation'!$U$6,"y")=2,"2-3 years","3-4 years")</f>
        <v>3-4 years</v>
      </c>
      <c r="H486" s="69">
        <f t="shared" si="24"/>
        <v>1</v>
      </c>
      <c r="I486" s="142">
        <f>$C486*H486*_xlfn.XLOOKUP($G486,'Sample Size cal and results'!$B$25:$B$26,'Sample Size cal and results'!$D$25:$D$26)</f>
        <v>15.922199688170345</v>
      </c>
    </row>
    <row r="487" spans="1:9" ht="13">
      <c r="A487" s="131" t="s">
        <v>1446</v>
      </c>
      <c r="B487" s="53">
        <v>42010</v>
      </c>
      <c r="C487" s="52">
        <v>17</v>
      </c>
      <c r="D487" s="72" t="str">
        <f>IF(DATEDIF($B487,'Inst summary and ER calculation'!$T$6,"y")=1,"1-2 years","2-3 years")</f>
        <v>2-3 years</v>
      </c>
      <c r="E487" s="69">
        <f t="shared" si="23"/>
        <v>0.99726775956284153</v>
      </c>
      <c r="F487" s="69">
        <f>$C487*E487*_xlfn.XLOOKUP($D487,'Sample Size cal and results'!$B$23:$B$24,'Sample Size cal and results'!$D$23:$D$24)</f>
        <v>17.264475531417268</v>
      </c>
      <c r="G487" s="72" t="str">
        <f>IF(DATEDIF($B487,'Inst summary and ER calculation'!$U$6,"y")=2,"2-3 years","3-4 years")</f>
        <v>3-4 years</v>
      </c>
      <c r="H487" s="69">
        <f t="shared" si="24"/>
        <v>1</v>
      </c>
      <c r="I487" s="142">
        <f>$C487*H487*_xlfn.XLOOKUP($G487,'Sample Size cal and results'!$B$25:$B$26,'Sample Size cal and results'!$D$25:$D$26)</f>
        <v>16.917337168680991</v>
      </c>
    </row>
    <row r="488" spans="1:9" ht="13">
      <c r="A488" s="131" t="s">
        <v>1446</v>
      </c>
      <c r="B488" s="53">
        <v>42011</v>
      </c>
      <c r="C488" s="52">
        <v>20</v>
      </c>
      <c r="D488" s="72" t="str">
        <f>IF(DATEDIF($B488,'Inst summary and ER calculation'!$T$6,"y")=1,"1-2 years","2-3 years")</f>
        <v>2-3 years</v>
      </c>
      <c r="E488" s="69">
        <f t="shared" si="23"/>
        <v>0.99726775956284153</v>
      </c>
      <c r="F488" s="69">
        <f>$C488*E488*_xlfn.XLOOKUP($D488,'Sample Size cal and results'!$B$23:$B$24,'Sample Size cal and results'!$D$23:$D$24)</f>
        <v>20.311147684020316</v>
      </c>
      <c r="G488" s="72" t="str">
        <f>IF(DATEDIF($B488,'Inst summary and ER calculation'!$U$6,"y")=2,"2-3 years","3-4 years")</f>
        <v>3-4 years</v>
      </c>
      <c r="H488" s="69">
        <f t="shared" si="24"/>
        <v>1</v>
      </c>
      <c r="I488" s="142">
        <f>$C488*H488*_xlfn.XLOOKUP($G488,'Sample Size cal and results'!$B$25:$B$26,'Sample Size cal and results'!$D$25:$D$26)</f>
        <v>19.902749610212929</v>
      </c>
    </row>
    <row r="489" spans="1:9" ht="13">
      <c r="A489" s="131" t="s">
        <v>1446</v>
      </c>
      <c r="B489" s="53">
        <v>42012</v>
      </c>
      <c r="C489" s="52">
        <v>19</v>
      </c>
      <c r="D489" s="72" t="str">
        <f>IF(DATEDIF($B489,'Inst summary and ER calculation'!$T$6,"y")=1,"1-2 years","2-3 years")</f>
        <v>2-3 years</v>
      </c>
      <c r="E489" s="69">
        <f t="shared" si="23"/>
        <v>0.99726775956284153</v>
      </c>
      <c r="F489" s="69">
        <f>$C489*E489*_xlfn.XLOOKUP($D489,'Sample Size cal and results'!$B$23:$B$24,'Sample Size cal and results'!$D$23:$D$24)</f>
        <v>19.295590299819299</v>
      </c>
      <c r="G489" s="72" t="str">
        <f>IF(DATEDIF($B489,'Inst summary and ER calculation'!$U$6,"y")=2,"2-3 years","3-4 years")</f>
        <v>3-4 years</v>
      </c>
      <c r="H489" s="69">
        <f t="shared" si="24"/>
        <v>1</v>
      </c>
      <c r="I489" s="142">
        <f>$C489*H489*_xlfn.XLOOKUP($G489,'Sample Size cal and results'!$B$25:$B$26,'Sample Size cal and results'!$D$25:$D$26)</f>
        <v>18.907612129702283</v>
      </c>
    </row>
    <row r="490" spans="1:9" ht="13">
      <c r="A490" s="131" t="s">
        <v>1446</v>
      </c>
      <c r="B490" s="53">
        <v>42013</v>
      </c>
      <c r="C490" s="52">
        <v>21</v>
      </c>
      <c r="D490" s="72" t="str">
        <f>IF(DATEDIF($B490,'Inst summary and ER calculation'!$T$6,"y")=1,"1-2 years","2-3 years")</f>
        <v>2-3 years</v>
      </c>
      <c r="E490" s="69">
        <f t="shared" si="23"/>
        <v>0.99726775956284153</v>
      </c>
      <c r="F490" s="69">
        <f>$C490*E490*_xlfn.XLOOKUP($D490,'Sample Size cal and results'!$B$23:$B$24,'Sample Size cal and results'!$D$23:$D$24)</f>
        <v>21.326705068221333</v>
      </c>
      <c r="G490" s="72" t="str">
        <f>IF(DATEDIF($B490,'Inst summary and ER calculation'!$U$6,"y")=2,"2-3 years","3-4 years")</f>
        <v>3-4 years</v>
      </c>
      <c r="H490" s="69">
        <f t="shared" si="24"/>
        <v>1</v>
      </c>
      <c r="I490" s="142">
        <f>$C490*H490*_xlfn.XLOOKUP($G490,'Sample Size cal and results'!$B$25:$B$26,'Sample Size cal and results'!$D$25:$D$26)</f>
        <v>20.897887090723579</v>
      </c>
    </row>
    <row r="491" spans="1:9" ht="13">
      <c r="A491" s="131" t="s">
        <v>1446</v>
      </c>
      <c r="B491" s="53">
        <v>42014</v>
      </c>
      <c r="C491" s="52">
        <v>27</v>
      </c>
      <c r="D491" s="72" t="str">
        <f>IF(DATEDIF($B491,'Inst summary and ER calculation'!$T$6,"y")=1,"1-2 years","2-3 years")</f>
        <v>2-3 years</v>
      </c>
      <c r="E491" s="69">
        <f t="shared" si="23"/>
        <v>0.99726775956284153</v>
      </c>
      <c r="F491" s="69">
        <f>$C491*E491*_xlfn.XLOOKUP($D491,'Sample Size cal and results'!$B$23:$B$24,'Sample Size cal and results'!$D$23:$D$24)</f>
        <v>27.420049373427428</v>
      </c>
      <c r="G491" s="72" t="str">
        <f>IF(DATEDIF($B491,'Inst summary and ER calculation'!$U$6,"y")=2,"2-3 years","3-4 years")</f>
        <v>3-4 years</v>
      </c>
      <c r="H491" s="69">
        <f t="shared" si="24"/>
        <v>1</v>
      </c>
      <c r="I491" s="142">
        <f>$C491*H491*_xlfn.XLOOKUP($G491,'Sample Size cal and results'!$B$25:$B$26,'Sample Size cal and results'!$D$25:$D$26)</f>
        <v>26.868711973787455</v>
      </c>
    </row>
    <row r="492" spans="1:9" ht="13">
      <c r="A492" s="131" t="s">
        <v>1446</v>
      </c>
      <c r="B492" s="53">
        <v>42015</v>
      </c>
      <c r="C492" s="52">
        <v>23</v>
      </c>
      <c r="D492" s="72" t="str">
        <f>IF(DATEDIF($B492,'Inst summary and ER calculation'!$T$6,"y")=1,"1-2 years","2-3 years")</f>
        <v>2-3 years</v>
      </c>
      <c r="E492" s="69">
        <f t="shared" si="23"/>
        <v>0.99726775956284153</v>
      </c>
      <c r="F492" s="69">
        <f>$C492*E492*_xlfn.XLOOKUP($D492,'Sample Size cal and results'!$B$23:$B$24,'Sample Size cal and results'!$D$23:$D$24)</f>
        <v>23.357819836623367</v>
      </c>
      <c r="G492" s="72" t="str">
        <f>IF(DATEDIF($B492,'Inst summary and ER calculation'!$U$6,"y")=2,"2-3 years","3-4 years")</f>
        <v>3-4 years</v>
      </c>
      <c r="H492" s="69">
        <f t="shared" si="24"/>
        <v>1</v>
      </c>
      <c r="I492" s="142">
        <f>$C492*H492*_xlfn.XLOOKUP($G492,'Sample Size cal and results'!$B$25:$B$26,'Sample Size cal and results'!$D$25:$D$26)</f>
        <v>22.888162051744871</v>
      </c>
    </row>
    <row r="493" spans="1:9" ht="13">
      <c r="A493" s="131" t="s">
        <v>1446</v>
      </c>
      <c r="B493" s="53">
        <v>42016</v>
      </c>
      <c r="C493" s="52">
        <v>25</v>
      </c>
      <c r="D493" s="72" t="str">
        <f>IF(DATEDIF($B493,'Inst summary and ER calculation'!$T$6,"y")=1,"1-2 years","2-3 years")</f>
        <v>2-3 years</v>
      </c>
      <c r="E493" s="69">
        <f t="shared" si="23"/>
        <v>0.99726775956284153</v>
      </c>
      <c r="F493" s="69">
        <f>$C493*E493*_xlfn.XLOOKUP($D493,'Sample Size cal and results'!$B$23:$B$24,'Sample Size cal and results'!$D$23:$D$24)</f>
        <v>25.388934605025398</v>
      </c>
      <c r="G493" s="72" t="str">
        <f>IF(DATEDIF($B493,'Inst summary and ER calculation'!$U$6,"y")=2,"2-3 years","3-4 years")</f>
        <v>3-4 years</v>
      </c>
      <c r="H493" s="69">
        <f t="shared" si="24"/>
        <v>1</v>
      </c>
      <c r="I493" s="142">
        <f>$C493*H493*_xlfn.XLOOKUP($G493,'Sample Size cal and results'!$B$25:$B$26,'Sample Size cal and results'!$D$25:$D$26)</f>
        <v>24.878437012766163</v>
      </c>
    </row>
    <row r="494" spans="1:9" ht="13">
      <c r="A494" s="131" t="s">
        <v>1446</v>
      </c>
      <c r="B494" s="53">
        <v>42017</v>
      </c>
      <c r="C494" s="52">
        <v>31</v>
      </c>
      <c r="D494" s="72" t="str">
        <f>IF(DATEDIF($B494,'Inst summary and ER calculation'!$T$6,"y")=1,"1-2 years","2-3 years")</f>
        <v>2-3 years</v>
      </c>
      <c r="E494" s="69">
        <f t="shared" si="23"/>
        <v>0.99726775956284153</v>
      </c>
      <c r="F494" s="69">
        <f>$C494*E494*_xlfn.XLOOKUP($D494,'Sample Size cal and results'!$B$23:$B$24,'Sample Size cal and results'!$D$23:$D$24)</f>
        <v>31.482278910231493</v>
      </c>
      <c r="G494" s="72" t="str">
        <f>IF(DATEDIF($B494,'Inst summary and ER calculation'!$U$6,"y")=2,"2-3 years","3-4 years")</f>
        <v>3-4 years</v>
      </c>
      <c r="H494" s="69">
        <f t="shared" si="24"/>
        <v>1</v>
      </c>
      <c r="I494" s="142">
        <f>$C494*H494*_xlfn.XLOOKUP($G494,'Sample Size cal and results'!$B$25:$B$26,'Sample Size cal and results'!$D$25:$D$26)</f>
        <v>30.849261895830043</v>
      </c>
    </row>
    <row r="495" spans="1:9" ht="13">
      <c r="A495" s="131" t="s">
        <v>1446</v>
      </c>
      <c r="B495" s="53">
        <v>42018</v>
      </c>
      <c r="C495" s="52">
        <v>18</v>
      </c>
      <c r="D495" s="72" t="str">
        <f>IF(DATEDIF($B495,'Inst summary and ER calculation'!$T$6,"y")=1,"1-2 years","2-3 years")</f>
        <v>2-3 years</v>
      </c>
      <c r="E495" s="69">
        <f t="shared" si="23"/>
        <v>0.99726775956284153</v>
      </c>
      <c r="F495" s="69">
        <f>$C495*E495*_xlfn.XLOOKUP($D495,'Sample Size cal and results'!$B$23:$B$24,'Sample Size cal and results'!$D$23:$D$24)</f>
        <v>18.280032915618285</v>
      </c>
      <c r="G495" s="72" t="str">
        <f>IF(DATEDIF($B495,'Inst summary and ER calculation'!$U$6,"y")=2,"2-3 years","3-4 years")</f>
        <v>3-4 years</v>
      </c>
      <c r="H495" s="69">
        <f t="shared" si="24"/>
        <v>1</v>
      </c>
      <c r="I495" s="142">
        <f>$C495*H495*_xlfn.XLOOKUP($G495,'Sample Size cal and results'!$B$25:$B$26,'Sample Size cal and results'!$D$25:$D$26)</f>
        <v>17.912474649191637</v>
      </c>
    </row>
    <row r="496" spans="1:9" ht="13">
      <c r="A496" s="131" t="s">
        <v>1446</v>
      </c>
      <c r="B496" s="53">
        <v>42019</v>
      </c>
      <c r="C496" s="52">
        <v>284</v>
      </c>
      <c r="D496" s="72" t="str">
        <f>IF(DATEDIF($B496,'Inst summary and ER calculation'!$T$6,"y")=1,"1-2 years","2-3 years")</f>
        <v>2-3 years</v>
      </c>
      <c r="E496" s="69">
        <f t="shared" si="23"/>
        <v>0.99726775956284153</v>
      </c>
      <c r="F496" s="69">
        <f>$C496*E496*_xlfn.XLOOKUP($D496,'Sample Size cal and results'!$B$23:$B$24,'Sample Size cal and results'!$D$23:$D$24)</f>
        <v>288.41829711308856</v>
      </c>
      <c r="G496" s="72" t="str">
        <f>IF(DATEDIF($B496,'Inst summary and ER calculation'!$U$6,"y")=2,"2-3 years","3-4 years")</f>
        <v>3-4 years</v>
      </c>
      <c r="H496" s="69">
        <f t="shared" si="24"/>
        <v>1</v>
      </c>
      <c r="I496" s="142">
        <f>$C496*H496*_xlfn.XLOOKUP($G496,'Sample Size cal and results'!$B$25:$B$26,'Sample Size cal and results'!$D$25:$D$26)</f>
        <v>282.61904446502359</v>
      </c>
    </row>
    <row r="497" spans="1:9" ht="13">
      <c r="A497" s="131" t="s">
        <v>1446</v>
      </c>
      <c r="B497" s="53">
        <v>42020</v>
      </c>
      <c r="C497" s="52">
        <v>34</v>
      </c>
      <c r="D497" s="72" t="str">
        <f>IF(DATEDIF($B497,'Inst summary and ER calculation'!$T$6,"y")=1,"1-2 years","2-3 years")</f>
        <v>2-3 years</v>
      </c>
      <c r="E497" s="69">
        <f t="shared" si="23"/>
        <v>0.99726775956284153</v>
      </c>
      <c r="F497" s="69">
        <f>$C497*E497*_xlfn.XLOOKUP($D497,'Sample Size cal and results'!$B$23:$B$24,'Sample Size cal and results'!$D$23:$D$24)</f>
        <v>34.528951062834537</v>
      </c>
      <c r="G497" s="72" t="str">
        <f>IF(DATEDIF($B497,'Inst summary and ER calculation'!$U$6,"y")=2,"2-3 years","3-4 years")</f>
        <v>3-4 years</v>
      </c>
      <c r="H497" s="69">
        <f t="shared" si="24"/>
        <v>1</v>
      </c>
      <c r="I497" s="142">
        <f>$C497*H497*_xlfn.XLOOKUP($G497,'Sample Size cal and results'!$B$25:$B$26,'Sample Size cal and results'!$D$25:$D$26)</f>
        <v>33.834674337361982</v>
      </c>
    </row>
    <row r="498" spans="1:9" ht="13">
      <c r="A498" s="131" t="s">
        <v>1446</v>
      </c>
      <c r="B498" s="53">
        <v>42021</v>
      </c>
      <c r="C498" s="52">
        <v>42</v>
      </c>
      <c r="D498" s="72" t="str">
        <f>IF(DATEDIF($B498,'Inst summary and ER calculation'!$T$6,"y")=1,"1-2 years","2-3 years")</f>
        <v>2-3 years</v>
      </c>
      <c r="E498" s="69">
        <f t="shared" si="23"/>
        <v>0.99726775956284153</v>
      </c>
      <c r="F498" s="69">
        <f>$C498*E498*_xlfn.XLOOKUP($D498,'Sample Size cal and results'!$B$23:$B$24,'Sample Size cal and results'!$D$23:$D$24)</f>
        <v>42.653410136442666</v>
      </c>
      <c r="G498" s="72" t="str">
        <f>IF(DATEDIF($B498,'Inst summary and ER calculation'!$U$6,"y")=2,"2-3 years","3-4 years")</f>
        <v>3-4 years</v>
      </c>
      <c r="H498" s="69">
        <f t="shared" si="24"/>
        <v>1</v>
      </c>
      <c r="I498" s="142">
        <f>$C498*H498*_xlfn.XLOOKUP($G498,'Sample Size cal and results'!$B$25:$B$26,'Sample Size cal and results'!$D$25:$D$26)</f>
        <v>41.795774181447158</v>
      </c>
    </row>
    <row r="499" spans="1:9" ht="13">
      <c r="A499" s="131" t="s">
        <v>1446</v>
      </c>
      <c r="B499" s="53">
        <v>42022</v>
      </c>
      <c r="C499" s="52">
        <v>39</v>
      </c>
      <c r="D499" s="72" t="str">
        <f>IF(DATEDIF($B499,'Inst summary and ER calculation'!$T$6,"y")=1,"1-2 years","2-3 years")</f>
        <v>2-3 years</v>
      </c>
      <c r="E499" s="69">
        <f t="shared" si="23"/>
        <v>0.99726775956284153</v>
      </c>
      <c r="F499" s="69">
        <f>$C499*E499*_xlfn.XLOOKUP($D499,'Sample Size cal and results'!$B$23:$B$24,'Sample Size cal and results'!$D$23:$D$24)</f>
        <v>39.606737983839622</v>
      </c>
      <c r="G499" s="72" t="str">
        <f>IF(DATEDIF($B499,'Inst summary and ER calculation'!$U$6,"y")=2,"2-3 years","3-4 years")</f>
        <v>3-4 years</v>
      </c>
      <c r="H499" s="69">
        <f t="shared" si="24"/>
        <v>1</v>
      </c>
      <c r="I499" s="142">
        <f>$C499*H499*_xlfn.XLOOKUP($G499,'Sample Size cal and results'!$B$25:$B$26,'Sample Size cal and results'!$D$25:$D$26)</f>
        <v>38.810361739915216</v>
      </c>
    </row>
    <row r="500" spans="1:9" ht="13">
      <c r="A500" s="131" t="s">
        <v>1446</v>
      </c>
      <c r="B500" s="53">
        <v>42023</v>
      </c>
      <c r="C500" s="52">
        <v>39</v>
      </c>
      <c r="D500" s="72" t="str">
        <f>IF(DATEDIF($B500,'Inst summary and ER calculation'!$T$6,"y")=1,"1-2 years","2-3 years")</f>
        <v>2-3 years</v>
      </c>
      <c r="E500" s="69">
        <f t="shared" si="23"/>
        <v>0.99726775956284153</v>
      </c>
      <c r="F500" s="69">
        <f>$C500*E500*_xlfn.XLOOKUP($D500,'Sample Size cal and results'!$B$23:$B$24,'Sample Size cal and results'!$D$23:$D$24)</f>
        <v>39.606737983839622</v>
      </c>
      <c r="G500" s="72" t="str">
        <f>IF(DATEDIF($B500,'Inst summary and ER calculation'!$U$6,"y")=2,"2-3 years","3-4 years")</f>
        <v>3-4 years</v>
      </c>
      <c r="H500" s="69">
        <f t="shared" si="24"/>
        <v>1</v>
      </c>
      <c r="I500" s="142">
        <f>$C500*H500*_xlfn.XLOOKUP($G500,'Sample Size cal and results'!$B$25:$B$26,'Sample Size cal and results'!$D$25:$D$26)</f>
        <v>38.810361739915216</v>
      </c>
    </row>
    <row r="501" spans="1:9" ht="13">
      <c r="A501" s="131" t="s">
        <v>1446</v>
      </c>
      <c r="B501" s="53">
        <v>42024</v>
      </c>
      <c r="C501" s="52">
        <v>49</v>
      </c>
      <c r="D501" s="72" t="str">
        <f>IF(DATEDIF($B501,'Inst summary and ER calculation'!$T$6,"y")=1,"1-2 years","2-3 years")</f>
        <v>2-3 years</v>
      </c>
      <c r="E501" s="69">
        <f t="shared" si="23"/>
        <v>0.99726775956284153</v>
      </c>
      <c r="F501" s="69">
        <f>$C501*E501*_xlfn.XLOOKUP($D501,'Sample Size cal and results'!$B$23:$B$24,'Sample Size cal and results'!$D$23:$D$24)</f>
        <v>49.762311825849778</v>
      </c>
      <c r="G501" s="72" t="str">
        <f>IF(DATEDIF($B501,'Inst summary and ER calculation'!$U$6,"y")=2,"2-3 years","3-4 years")</f>
        <v>3-4 years</v>
      </c>
      <c r="H501" s="69">
        <f t="shared" si="24"/>
        <v>1</v>
      </c>
      <c r="I501" s="142">
        <f>$C501*H501*_xlfn.XLOOKUP($G501,'Sample Size cal and results'!$B$25:$B$26,'Sample Size cal and results'!$D$25:$D$26)</f>
        <v>48.761736545021684</v>
      </c>
    </row>
    <row r="502" spans="1:9" ht="13">
      <c r="A502" s="131" t="s">
        <v>1446</v>
      </c>
      <c r="B502" s="53">
        <v>42025</v>
      </c>
      <c r="C502" s="52">
        <v>45</v>
      </c>
      <c r="D502" s="72" t="str">
        <f>IF(DATEDIF($B502,'Inst summary and ER calculation'!$T$6,"y")=1,"1-2 years","2-3 years")</f>
        <v>2-3 years</v>
      </c>
      <c r="E502" s="69">
        <f t="shared" si="23"/>
        <v>0.99726775956284153</v>
      </c>
      <c r="F502" s="69">
        <f>$C502*E502*_xlfn.XLOOKUP($D502,'Sample Size cal and results'!$B$23:$B$24,'Sample Size cal and results'!$D$23:$D$24)</f>
        <v>45.70008228904571</v>
      </c>
      <c r="G502" s="72" t="str">
        <f>IF(DATEDIF($B502,'Inst summary and ER calculation'!$U$6,"y")=2,"2-3 years","3-4 years")</f>
        <v>3-4 years</v>
      </c>
      <c r="H502" s="69">
        <f t="shared" si="24"/>
        <v>1</v>
      </c>
      <c r="I502" s="142">
        <f>$C502*H502*_xlfn.XLOOKUP($G502,'Sample Size cal and results'!$B$25:$B$26,'Sample Size cal and results'!$D$25:$D$26)</f>
        <v>44.781186622979092</v>
      </c>
    </row>
    <row r="503" spans="1:9" ht="13">
      <c r="A503" s="131" t="s">
        <v>1446</v>
      </c>
      <c r="B503" s="53">
        <v>42026</v>
      </c>
      <c r="C503" s="52">
        <v>48</v>
      </c>
      <c r="D503" s="72" t="str">
        <f>IF(DATEDIF($B503,'Inst summary and ER calculation'!$T$6,"y")=1,"1-2 years","2-3 years")</f>
        <v>2-3 years</v>
      </c>
      <c r="E503" s="69">
        <f t="shared" si="23"/>
        <v>0.99726775956284153</v>
      </c>
      <c r="F503" s="69">
        <f>$C503*E503*_xlfn.XLOOKUP($D503,'Sample Size cal and results'!$B$23:$B$24,'Sample Size cal and results'!$D$23:$D$24)</f>
        <v>48.746754441648761</v>
      </c>
      <c r="G503" s="72" t="str">
        <f>IF(DATEDIF($B503,'Inst summary and ER calculation'!$U$6,"y")=2,"2-3 years","3-4 years")</f>
        <v>3-4 years</v>
      </c>
      <c r="H503" s="69">
        <f t="shared" si="24"/>
        <v>1</v>
      </c>
      <c r="I503" s="142">
        <f>$C503*H503*_xlfn.XLOOKUP($G503,'Sample Size cal and results'!$B$25:$B$26,'Sample Size cal and results'!$D$25:$D$26)</f>
        <v>47.766599064511034</v>
      </c>
    </row>
    <row r="504" spans="1:9" ht="13">
      <c r="A504" s="131" t="s">
        <v>1446</v>
      </c>
      <c r="B504" s="53">
        <v>42027</v>
      </c>
      <c r="C504" s="52">
        <v>56</v>
      </c>
      <c r="D504" s="72" t="str">
        <f>IF(DATEDIF($B504,'Inst summary and ER calculation'!$T$6,"y")=1,"1-2 years","2-3 years")</f>
        <v>2-3 years</v>
      </c>
      <c r="E504" s="69">
        <f t="shared" si="23"/>
        <v>0.99726775956284153</v>
      </c>
      <c r="F504" s="69">
        <f>$C504*E504*_xlfn.XLOOKUP($D504,'Sample Size cal and results'!$B$23:$B$24,'Sample Size cal and results'!$D$23:$D$24)</f>
        <v>56.871213515256883</v>
      </c>
      <c r="G504" s="72" t="str">
        <f>IF(DATEDIF($B504,'Inst summary and ER calculation'!$U$6,"y")=2,"2-3 years","3-4 years")</f>
        <v>3-4 years</v>
      </c>
      <c r="H504" s="69">
        <f t="shared" si="24"/>
        <v>1</v>
      </c>
      <c r="I504" s="142">
        <f>$C504*H504*_xlfn.XLOOKUP($G504,'Sample Size cal and results'!$B$25:$B$26,'Sample Size cal and results'!$D$25:$D$26)</f>
        <v>55.72769890859621</v>
      </c>
    </row>
    <row r="505" spans="1:9" ht="13">
      <c r="A505" s="131" t="s">
        <v>1446</v>
      </c>
      <c r="B505" s="53">
        <v>42028</v>
      </c>
      <c r="C505" s="52">
        <v>64</v>
      </c>
      <c r="D505" s="72" t="str">
        <f>IF(DATEDIF($B505,'Inst summary and ER calculation'!$T$6,"y")=1,"1-2 years","2-3 years")</f>
        <v>2-3 years</v>
      </c>
      <c r="E505" s="69">
        <f t="shared" si="23"/>
        <v>0.99726775956284153</v>
      </c>
      <c r="F505" s="69">
        <f>$C505*E505*_xlfn.XLOOKUP($D505,'Sample Size cal and results'!$B$23:$B$24,'Sample Size cal and results'!$D$23:$D$24)</f>
        <v>64.99567258886502</v>
      </c>
      <c r="G505" s="72" t="str">
        <f>IF(DATEDIF($B505,'Inst summary and ER calculation'!$U$6,"y")=2,"2-3 years","3-4 years")</f>
        <v>3-4 years</v>
      </c>
      <c r="H505" s="69">
        <f t="shared" si="24"/>
        <v>1</v>
      </c>
      <c r="I505" s="142">
        <f>$C505*H505*_xlfn.XLOOKUP($G505,'Sample Size cal and results'!$B$25:$B$26,'Sample Size cal and results'!$D$25:$D$26)</f>
        <v>63.688798752681379</v>
      </c>
    </row>
    <row r="506" spans="1:9" ht="13">
      <c r="A506" s="131" t="s">
        <v>1446</v>
      </c>
      <c r="B506" s="53">
        <v>42029</v>
      </c>
      <c r="C506" s="52">
        <v>72</v>
      </c>
      <c r="D506" s="72" t="str">
        <f>IF(DATEDIF($B506,'Inst summary and ER calculation'!$T$6,"y")=1,"1-2 years","2-3 years")</f>
        <v>2-3 years</v>
      </c>
      <c r="E506" s="69">
        <f t="shared" si="23"/>
        <v>0.99726775956284153</v>
      </c>
      <c r="F506" s="69">
        <f>$C506*E506*_xlfn.XLOOKUP($D506,'Sample Size cal and results'!$B$23:$B$24,'Sample Size cal and results'!$D$23:$D$24)</f>
        <v>73.120131662473142</v>
      </c>
      <c r="G506" s="72" t="str">
        <f>IF(DATEDIF($B506,'Inst summary and ER calculation'!$U$6,"y")=2,"2-3 years","3-4 years")</f>
        <v>3-4 years</v>
      </c>
      <c r="H506" s="69">
        <f t="shared" si="24"/>
        <v>1</v>
      </c>
      <c r="I506" s="142">
        <f>$C506*H506*_xlfn.XLOOKUP($G506,'Sample Size cal and results'!$B$25:$B$26,'Sample Size cal and results'!$D$25:$D$26)</f>
        <v>71.649898596766548</v>
      </c>
    </row>
    <row r="507" spans="1:9" ht="13">
      <c r="A507" s="131" t="s">
        <v>1446</v>
      </c>
      <c r="B507" s="53">
        <v>42030</v>
      </c>
      <c r="C507" s="52">
        <v>52</v>
      </c>
      <c r="D507" s="72" t="str">
        <f>IF(DATEDIF($B507,'Inst summary and ER calculation'!$T$6,"y")=1,"1-2 years","2-3 years")</f>
        <v>2-3 years</v>
      </c>
      <c r="E507" s="69">
        <f t="shared" si="23"/>
        <v>0.99726775956284153</v>
      </c>
      <c r="F507" s="69">
        <f>$C507*E507*_xlfn.XLOOKUP($D507,'Sample Size cal and results'!$B$23:$B$24,'Sample Size cal and results'!$D$23:$D$24)</f>
        <v>52.808983978452829</v>
      </c>
      <c r="G507" s="72" t="str">
        <f>IF(DATEDIF($B507,'Inst summary and ER calculation'!$U$6,"y")=2,"2-3 years","3-4 years")</f>
        <v>3-4 years</v>
      </c>
      <c r="H507" s="69">
        <f t="shared" si="24"/>
        <v>1</v>
      </c>
      <c r="I507" s="142">
        <f>$C507*H507*_xlfn.XLOOKUP($G507,'Sample Size cal and results'!$B$25:$B$26,'Sample Size cal and results'!$D$25:$D$26)</f>
        <v>51.747148986553618</v>
      </c>
    </row>
    <row r="508" spans="1:9" ht="13">
      <c r="A508" s="131" t="s">
        <v>1446</v>
      </c>
      <c r="B508" s="53">
        <v>42031</v>
      </c>
      <c r="C508" s="52">
        <v>55</v>
      </c>
      <c r="D508" s="72" t="str">
        <f>IF(DATEDIF($B508,'Inst summary and ER calculation'!$T$6,"y")=1,"1-2 years","2-3 years")</f>
        <v>2-3 years</v>
      </c>
      <c r="E508" s="69">
        <f t="shared" si="23"/>
        <v>0.99726775956284153</v>
      </c>
      <c r="F508" s="69">
        <f>$C508*E508*_xlfn.XLOOKUP($D508,'Sample Size cal and results'!$B$23:$B$24,'Sample Size cal and results'!$D$23:$D$24)</f>
        <v>55.855656131055873</v>
      </c>
      <c r="G508" s="72" t="str">
        <f>IF(DATEDIF($B508,'Inst summary and ER calculation'!$U$6,"y")=2,"2-3 years","3-4 years")</f>
        <v>3-4 years</v>
      </c>
      <c r="H508" s="69">
        <f t="shared" si="24"/>
        <v>1</v>
      </c>
      <c r="I508" s="142">
        <f>$C508*H508*_xlfn.XLOOKUP($G508,'Sample Size cal and results'!$B$25:$B$26,'Sample Size cal and results'!$D$25:$D$26)</f>
        <v>54.73256142808556</v>
      </c>
    </row>
    <row r="509" spans="1:9" ht="13">
      <c r="A509" s="131" t="s">
        <v>1446</v>
      </c>
      <c r="B509" s="53">
        <v>42032</v>
      </c>
      <c r="C509" s="52">
        <v>47</v>
      </c>
      <c r="D509" s="72" t="str">
        <f>IF(DATEDIF($B509,'Inst summary and ER calculation'!$T$6,"y")=1,"1-2 years","2-3 years")</f>
        <v>2-3 years</v>
      </c>
      <c r="E509" s="69">
        <f t="shared" si="23"/>
        <v>0.99726775956284153</v>
      </c>
      <c r="F509" s="69">
        <f>$C509*E509*_xlfn.XLOOKUP($D509,'Sample Size cal and results'!$B$23:$B$24,'Sample Size cal and results'!$D$23:$D$24)</f>
        <v>47.731197057447744</v>
      </c>
      <c r="G509" s="72" t="str">
        <f>IF(DATEDIF($B509,'Inst summary and ER calculation'!$U$6,"y")=2,"2-3 years","3-4 years")</f>
        <v>3-4 years</v>
      </c>
      <c r="H509" s="69">
        <f t="shared" si="24"/>
        <v>1</v>
      </c>
      <c r="I509" s="142">
        <f>$C509*H509*_xlfn.XLOOKUP($G509,'Sample Size cal and results'!$B$25:$B$26,'Sample Size cal and results'!$D$25:$D$26)</f>
        <v>46.771461584000384</v>
      </c>
    </row>
    <row r="510" spans="1:9" ht="13">
      <c r="A510" s="131" t="s">
        <v>1446</v>
      </c>
      <c r="B510" s="53">
        <v>42033</v>
      </c>
      <c r="C510" s="52">
        <v>39</v>
      </c>
      <c r="D510" s="72" t="str">
        <f>IF(DATEDIF($B510,'Inst summary and ER calculation'!$T$6,"y")=1,"1-2 years","2-3 years")</f>
        <v>2-3 years</v>
      </c>
      <c r="E510" s="69">
        <f t="shared" si="23"/>
        <v>0.99726775956284153</v>
      </c>
      <c r="F510" s="69">
        <f>$C510*E510*_xlfn.XLOOKUP($D510,'Sample Size cal and results'!$B$23:$B$24,'Sample Size cal and results'!$D$23:$D$24)</f>
        <v>39.606737983839622</v>
      </c>
      <c r="G510" s="72" t="str">
        <f>IF(DATEDIF($B510,'Inst summary and ER calculation'!$U$6,"y")=2,"2-3 years","3-4 years")</f>
        <v>3-4 years</v>
      </c>
      <c r="H510" s="69">
        <f t="shared" si="24"/>
        <v>1</v>
      </c>
      <c r="I510" s="142">
        <f>$C510*H510*_xlfn.XLOOKUP($G510,'Sample Size cal and results'!$B$25:$B$26,'Sample Size cal and results'!$D$25:$D$26)</f>
        <v>38.810361739915216</v>
      </c>
    </row>
    <row r="511" spans="1:9" ht="13">
      <c r="A511" s="131" t="s">
        <v>1446</v>
      </c>
      <c r="B511" s="53">
        <v>42034</v>
      </c>
      <c r="C511" s="52">
        <v>38</v>
      </c>
      <c r="D511" s="72" t="str">
        <f>IF(DATEDIF($B511,'Inst summary and ER calculation'!$T$6,"y")=1,"1-2 years","2-3 years")</f>
        <v>2-3 years</v>
      </c>
      <c r="E511" s="69">
        <f t="shared" si="23"/>
        <v>0.99726775956284153</v>
      </c>
      <c r="F511" s="69">
        <f>$C511*E511*_xlfn.XLOOKUP($D511,'Sample Size cal and results'!$B$23:$B$24,'Sample Size cal and results'!$D$23:$D$24)</f>
        <v>38.591180599638598</v>
      </c>
      <c r="G511" s="72" t="str">
        <f>IF(DATEDIF($B511,'Inst summary and ER calculation'!$U$6,"y")=2,"2-3 years","3-4 years")</f>
        <v>3-4 years</v>
      </c>
      <c r="H511" s="69">
        <f t="shared" si="24"/>
        <v>1</v>
      </c>
      <c r="I511" s="142">
        <f>$C511*H511*_xlfn.XLOOKUP($G511,'Sample Size cal and results'!$B$25:$B$26,'Sample Size cal and results'!$D$25:$D$26)</f>
        <v>37.815224259404566</v>
      </c>
    </row>
    <row r="512" spans="1:9" ht="13">
      <c r="A512" s="131" t="s">
        <v>1446</v>
      </c>
      <c r="B512" s="53">
        <v>42035</v>
      </c>
      <c r="C512" s="52">
        <v>30</v>
      </c>
      <c r="D512" s="72" t="str">
        <f>IF(DATEDIF($B512,'Inst summary and ER calculation'!$T$6,"y")=1,"1-2 years","2-3 years")</f>
        <v>2-3 years</v>
      </c>
      <c r="E512" s="69">
        <f t="shared" si="23"/>
        <v>0.99726775956284153</v>
      </c>
      <c r="F512" s="69">
        <f>$C512*E512*_xlfn.XLOOKUP($D512,'Sample Size cal and results'!$B$23:$B$24,'Sample Size cal and results'!$D$23:$D$24)</f>
        <v>30.466721526030476</v>
      </c>
      <c r="G512" s="72" t="str">
        <f>IF(DATEDIF($B512,'Inst summary and ER calculation'!$U$6,"y")=2,"2-3 years","3-4 years")</f>
        <v>3-4 years</v>
      </c>
      <c r="H512" s="69">
        <f t="shared" si="24"/>
        <v>1</v>
      </c>
      <c r="I512" s="142">
        <f>$C512*H512*_xlfn.XLOOKUP($G512,'Sample Size cal and results'!$B$25:$B$26,'Sample Size cal and results'!$D$25:$D$26)</f>
        <v>29.854124415319397</v>
      </c>
    </row>
    <row r="513" spans="1:9" ht="13">
      <c r="A513" s="131" t="s">
        <v>1446</v>
      </c>
      <c r="B513" s="53">
        <v>42036</v>
      </c>
      <c r="C513" s="52">
        <v>27</v>
      </c>
      <c r="D513" s="72" t="str">
        <f>IF(DATEDIF($B513,'Inst summary and ER calculation'!$T$6,"y")=1,"1-2 years","2-3 years")</f>
        <v>2-3 years</v>
      </c>
      <c r="E513" s="69">
        <f t="shared" si="23"/>
        <v>0.99726775956284153</v>
      </c>
      <c r="F513" s="69">
        <f>$C513*E513*_xlfn.XLOOKUP($D513,'Sample Size cal and results'!$B$23:$B$24,'Sample Size cal and results'!$D$23:$D$24)</f>
        <v>27.420049373427428</v>
      </c>
      <c r="G513" s="72" t="str">
        <f>IF(DATEDIF($B513,'Inst summary and ER calculation'!$U$6,"y")=2,"2-3 years","3-4 years")</f>
        <v>3-4 years</v>
      </c>
      <c r="H513" s="69">
        <f t="shared" si="24"/>
        <v>1</v>
      </c>
      <c r="I513" s="142">
        <f>$C513*H513*_xlfn.XLOOKUP($G513,'Sample Size cal and results'!$B$25:$B$26,'Sample Size cal and results'!$D$25:$D$26)</f>
        <v>26.868711973787455</v>
      </c>
    </row>
    <row r="514" spans="1:9" ht="13">
      <c r="A514" s="131" t="s">
        <v>1446</v>
      </c>
      <c r="B514" s="53">
        <v>42037</v>
      </c>
      <c r="C514" s="52">
        <v>53</v>
      </c>
      <c r="D514" s="72" t="str">
        <f>IF(DATEDIF($B514,'Inst summary and ER calculation'!$T$6,"y")=1,"1-2 years","2-3 years")</f>
        <v>2-3 years</v>
      </c>
      <c r="E514" s="69">
        <f t="shared" ref="E514:E540" si="25">MAX(MIN($T$6)-MAX($T$4,$B514,_xlfn.XLOOKUP($A514,$W$1:$W$36,$X$1:$X$36))+1,0)/366</f>
        <v>0.99726775956284153</v>
      </c>
      <c r="F514" s="69">
        <f>$C514*E514*_xlfn.XLOOKUP($D514,'Sample Size cal and results'!$B$23:$B$24,'Sample Size cal and results'!$D$23:$D$24)</f>
        <v>53.824541362653839</v>
      </c>
      <c r="G514" s="72" t="str">
        <f>IF(DATEDIF($B514,'Inst summary and ER calculation'!$U$6,"y")=2,"2-3 years","3-4 years")</f>
        <v>3-4 years</v>
      </c>
      <c r="H514" s="69">
        <f t="shared" ref="H514:H540" si="26">MAX(MIN($U$6)-MAX($U$4,$B514,_xlfn.XLOOKUP($A514,$W$1:$W$36,$X$1:$X$36))+1,0)/365</f>
        <v>1</v>
      </c>
      <c r="I514" s="142">
        <f>$C514*H514*_xlfn.XLOOKUP($G514,'Sample Size cal and results'!$B$25:$B$26,'Sample Size cal and results'!$D$25:$D$26)</f>
        <v>52.742286467064268</v>
      </c>
    </row>
    <row r="515" spans="1:9" ht="13">
      <c r="A515" s="131" t="s">
        <v>1446</v>
      </c>
      <c r="B515" s="53">
        <v>42038</v>
      </c>
      <c r="C515" s="52">
        <v>51</v>
      </c>
      <c r="D515" s="72" t="str">
        <f>IF(DATEDIF($B515,'Inst summary and ER calculation'!$T$6,"y")=1,"1-2 years","2-3 years")</f>
        <v>2-3 years</v>
      </c>
      <c r="E515" s="69">
        <f t="shared" si="25"/>
        <v>0.99726775956284153</v>
      </c>
      <c r="F515" s="69">
        <f>$C515*E515*_xlfn.XLOOKUP($D515,'Sample Size cal and results'!$B$23:$B$24,'Sample Size cal and results'!$D$23:$D$24)</f>
        <v>51.793426594251805</v>
      </c>
      <c r="G515" s="72" t="str">
        <f>IF(DATEDIF($B515,'Inst summary and ER calculation'!$U$6,"y")=2,"2-3 years","3-4 years")</f>
        <v>3-4 years</v>
      </c>
      <c r="H515" s="69">
        <f t="shared" si="26"/>
        <v>1</v>
      </c>
      <c r="I515" s="142">
        <f>$C515*H515*_xlfn.XLOOKUP($G515,'Sample Size cal and results'!$B$25:$B$26,'Sample Size cal and results'!$D$25:$D$26)</f>
        <v>50.752011506042976</v>
      </c>
    </row>
    <row r="516" spans="1:9" ht="13">
      <c r="A516" s="131" t="s">
        <v>1446</v>
      </c>
      <c r="B516" s="53">
        <v>42039</v>
      </c>
      <c r="C516" s="52">
        <v>50</v>
      </c>
      <c r="D516" s="72" t="str">
        <f>IF(DATEDIF($B516,'Inst summary and ER calculation'!$T$6,"y")=1,"1-2 years","2-3 years")</f>
        <v>2-3 years</v>
      </c>
      <c r="E516" s="69">
        <f t="shared" si="25"/>
        <v>0.99726775956284153</v>
      </c>
      <c r="F516" s="69">
        <f>$C516*E516*_xlfn.XLOOKUP($D516,'Sample Size cal and results'!$B$23:$B$24,'Sample Size cal and results'!$D$23:$D$24)</f>
        <v>50.777869210050795</v>
      </c>
      <c r="G516" s="72" t="str">
        <f>IF(DATEDIF($B516,'Inst summary and ER calculation'!$U$6,"y")=2,"2-3 years","3-4 years")</f>
        <v>3-4 years</v>
      </c>
      <c r="H516" s="69">
        <f t="shared" si="26"/>
        <v>1</v>
      </c>
      <c r="I516" s="142">
        <f>$C516*H516*_xlfn.XLOOKUP($G516,'Sample Size cal and results'!$B$25:$B$26,'Sample Size cal and results'!$D$25:$D$26)</f>
        <v>49.756874025532326</v>
      </c>
    </row>
    <row r="517" spans="1:9" ht="13">
      <c r="A517" s="131" t="s">
        <v>1446</v>
      </c>
      <c r="B517" s="53">
        <v>42040</v>
      </c>
      <c r="C517" s="52">
        <v>49</v>
      </c>
      <c r="D517" s="72" t="str">
        <f>IF(DATEDIF($B517,'Inst summary and ER calculation'!$T$6,"y")=1,"1-2 years","2-3 years")</f>
        <v>2-3 years</v>
      </c>
      <c r="E517" s="69">
        <f t="shared" si="25"/>
        <v>0.99726775956284153</v>
      </c>
      <c r="F517" s="69">
        <f>$C517*E517*_xlfn.XLOOKUP($D517,'Sample Size cal and results'!$B$23:$B$24,'Sample Size cal and results'!$D$23:$D$24)</f>
        <v>49.762311825849778</v>
      </c>
      <c r="G517" s="72" t="str">
        <f>IF(DATEDIF($B517,'Inst summary and ER calculation'!$U$6,"y")=2,"2-3 years","3-4 years")</f>
        <v>3-4 years</v>
      </c>
      <c r="H517" s="69">
        <f t="shared" si="26"/>
        <v>1</v>
      </c>
      <c r="I517" s="142">
        <f>$C517*H517*_xlfn.XLOOKUP($G517,'Sample Size cal and results'!$B$25:$B$26,'Sample Size cal and results'!$D$25:$D$26)</f>
        <v>48.761736545021684</v>
      </c>
    </row>
    <row r="518" spans="1:9" ht="13">
      <c r="A518" s="131" t="s">
        <v>1446</v>
      </c>
      <c r="B518" s="53">
        <v>42041</v>
      </c>
      <c r="C518" s="52">
        <v>49</v>
      </c>
      <c r="D518" s="72" t="str">
        <f>IF(DATEDIF($B518,'Inst summary and ER calculation'!$T$6,"y")=1,"1-2 years","2-3 years")</f>
        <v>2-3 years</v>
      </c>
      <c r="E518" s="69">
        <f t="shared" si="25"/>
        <v>0.99726775956284153</v>
      </c>
      <c r="F518" s="69">
        <f>$C518*E518*_xlfn.XLOOKUP($D518,'Sample Size cal and results'!$B$23:$B$24,'Sample Size cal and results'!$D$23:$D$24)</f>
        <v>49.762311825849778</v>
      </c>
      <c r="G518" s="72" t="str">
        <f>IF(DATEDIF($B518,'Inst summary and ER calculation'!$U$6,"y")=2,"2-3 years","3-4 years")</f>
        <v>3-4 years</v>
      </c>
      <c r="H518" s="69">
        <f t="shared" si="26"/>
        <v>1</v>
      </c>
      <c r="I518" s="142">
        <f>$C518*H518*_xlfn.XLOOKUP($G518,'Sample Size cal and results'!$B$25:$B$26,'Sample Size cal and results'!$D$25:$D$26)</f>
        <v>48.761736545021684</v>
      </c>
    </row>
    <row r="519" spans="1:9" ht="13">
      <c r="A519" s="131" t="s">
        <v>1446</v>
      </c>
      <c r="B519" s="53">
        <v>42042</v>
      </c>
      <c r="C519" s="52">
        <v>58</v>
      </c>
      <c r="D519" s="72" t="str">
        <f>IF(DATEDIF($B519,'Inst summary and ER calculation'!$T$6,"y")=1,"1-2 years","2-3 years")</f>
        <v>2-3 years</v>
      </c>
      <c r="E519" s="69">
        <f t="shared" si="25"/>
        <v>0.99726775956284153</v>
      </c>
      <c r="F519" s="69">
        <f>$C519*E519*_xlfn.XLOOKUP($D519,'Sample Size cal and results'!$B$23:$B$24,'Sample Size cal and results'!$D$23:$D$24)</f>
        <v>58.902328283658917</v>
      </c>
      <c r="G519" s="72" t="str">
        <f>IF(DATEDIF($B519,'Inst summary and ER calculation'!$U$6,"y")=2,"2-3 years","3-4 years")</f>
        <v>3-4 years</v>
      </c>
      <c r="H519" s="69">
        <f t="shared" si="26"/>
        <v>1</v>
      </c>
      <c r="I519" s="142">
        <f>$C519*H519*_xlfn.XLOOKUP($G519,'Sample Size cal and results'!$B$25:$B$26,'Sample Size cal and results'!$D$25:$D$26)</f>
        <v>57.717973869617502</v>
      </c>
    </row>
    <row r="520" spans="1:9" ht="13">
      <c r="A520" s="131" t="s">
        <v>1446</v>
      </c>
      <c r="B520" s="53">
        <v>42043</v>
      </c>
      <c r="C520" s="52">
        <v>59</v>
      </c>
      <c r="D520" s="72" t="str">
        <f>IF(DATEDIF($B520,'Inst summary and ER calculation'!$T$6,"y")=1,"1-2 years","2-3 years")</f>
        <v>2-3 years</v>
      </c>
      <c r="E520" s="69">
        <f t="shared" si="25"/>
        <v>0.99726775956284153</v>
      </c>
      <c r="F520" s="69">
        <f>$C520*E520*_xlfn.XLOOKUP($D520,'Sample Size cal and results'!$B$23:$B$24,'Sample Size cal and results'!$D$23:$D$24)</f>
        <v>59.917885667859935</v>
      </c>
      <c r="G520" s="72" t="str">
        <f>IF(DATEDIF($B520,'Inst summary and ER calculation'!$U$6,"y")=2,"2-3 years","3-4 years")</f>
        <v>3-4 years</v>
      </c>
      <c r="H520" s="69">
        <f t="shared" si="26"/>
        <v>1</v>
      </c>
      <c r="I520" s="142">
        <f>$C520*H520*_xlfn.XLOOKUP($G520,'Sample Size cal and results'!$B$25:$B$26,'Sample Size cal and results'!$D$25:$D$26)</f>
        <v>58.713111350128145</v>
      </c>
    </row>
    <row r="521" spans="1:9" ht="13">
      <c r="A521" s="131" t="s">
        <v>1446</v>
      </c>
      <c r="B521" s="53">
        <v>42044</v>
      </c>
      <c r="C521" s="52">
        <v>54</v>
      </c>
      <c r="D521" s="72" t="str">
        <f>IF(DATEDIF($B521,'Inst summary and ER calculation'!$T$6,"y")=1,"1-2 years","2-3 years")</f>
        <v>2-3 years</v>
      </c>
      <c r="E521" s="69">
        <f t="shared" si="25"/>
        <v>0.99726775956284153</v>
      </c>
      <c r="F521" s="69">
        <f>$C521*E521*_xlfn.XLOOKUP($D521,'Sample Size cal and results'!$B$23:$B$24,'Sample Size cal and results'!$D$23:$D$24)</f>
        <v>54.840098746854856</v>
      </c>
      <c r="G521" s="72" t="str">
        <f>IF(DATEDIF($B521,'Inst summary and ER calculation'!$U$6,"y")=2,"2-3 years","3-4 years")</f>
        <v>3-4 years</v>
      </c>
      <c r="H521" s="69">
        <f t="shared" si="26"/>
        <v>1</v>
      </c>
      <c r="I521" s="142">
        <f>$C521*H521*_xlfn.XLOOKUP($G521,'Sample Size cal and results'!$B$25:$B$26,'Sample Size cal and results'!$D$25:$D$26)</f>
        <v>53.737423947574911</v>
      </c>
    </row>
    <row r="522" spans="1:9" ht="13">
      <c r="A522" s="131" t="s">
        <v>1446</v>
      </c>
      <c r="B522" s="53">
        <v>42045</v>
      </c>
      <c r="C522" s="52">
        <v>64</v>
      </c>
      <c r="D522" s="72" t="str">
        <f>IF(DATEDIF($B522,'Inst summary and ER calculation'!$T$6,"y")=1,"1-2 years","2-3 years")</f>
        <v>2-3 years</v>
      </c>
      <c r="E522" s="69">
        <f t="shared" si="25"/>
        <v>0.99726775956284153</v>
      </c>
      <c r="F522" s="69">
        <f>$C522*E522*_xlfn.XLOOKUP($D522,'Sample Size cal and results'!$B$23:$B$24,'Sample Size cal and results'!$D$23:$D$24)</f>
        <v>64.99567258886502</v>
      </c>
      <c r="G522" s="72" t="str">
        <f>IF(DATEDIF($B522,'Inst summary and ER calculation'!$U$6,"y")=2,"2-3 years","3-4 years")</f>
        <v>3-4 years</v>
      </c>
      <c r="H522" s="69">
        <f t="shared" si="26"/>
        <v>1</v>
      </c>
      <c r="I522" s="142">
        <f>$C522*H522*_xlfn.XLOOKUP($G522,'Sample Size cal and results'!$B$25:$B$26,'Sample Size cal and results'!$D$25:$D$26)</f>
        <v>63.688798752681379</v>
      </c>
    </row>
    <row r="523" spans="1:9" ht="13">
      <c r="A523" s="131" t="s">
        <v>1446</v>
      </c>
      <c r="B523" s="53">
        <v>42046</v>
      </c>
      <c r="C523" s="52">
        <v>59</v>
      </c>
      <c r="D523" s="72" t="str">
        <f>IF(DATEDIF($B523,'Inst summary and ER calculation'!$T$6,"y")=1,"1-2 years","2-3 years")</f>
        <v>2-3 years</v>
      </c>
      <c r="E523" s="69">
        <f t="shared" si="25"/>
        <v>0.99726775956284153</v>
      </c>
      <c r="F523" s="69">
        <f>$C523*E523*_xlfn.XLOOKUP($D523,'Sample Size cal and results'!$B$23:$B$24,'Sample Size cal and results'!$D$23:$D$24)</f>
        <v>59.917885667859935</v>
      </c>
      <c r="G523" s="72" t="str">
        <f>IF(DATEDIF($B523,'Inst summary and ER calculation'!$U$6,"y")=2,"2-3 years","3-4 years")</f>
        <v>3-4 years</v>
      </c>
      <c r="H523" s="69">
        <f t="shared" si="26"/>
        <v>1</v>
      </c>
      <c r="I523" s="142">
        <f>$C523*H523*_xlfn.XLOOKUP($G523,'Sample Size cal and results'!$B$25:$B$26,'Sample Size cal and results'!$D$25:$D$26)</f>
        <v>58.713111350128145</v>
      </c>
    </row>
    <row r="524" spans="1:9" ht="13">
      <c r="A524" s="131" t="s">
        <v>1446</v>
      </c>
      <c r="B524" s="53">
        <v>42047</v>
      </c>
      <c r="C524" s="52">
        <v>59</v>
      </c>
      <c r="D524" s="72" t="str">
        <f>IF(DATEDIF($B524,'Inst summary and ER calculation'!$T$6,"y")=1,"1-2 years","2-3 years")</f>
        <v>2-3 years</v>
      </c>
      <c r="E524" s="69">
        <f t="shared" si="25"/>
        <v>0.99726775956284153</v>
      </c>
      <c r="F524" s="69">
        <f>$C524*E524*_xlfn.XLOOKUP($D524,'Sample Size cal and results'!$B$23:$B$24,'Sample Size cal and results'!$D$23:$D$24)</f>
        <v>59.917885667859935</v>
      </c>
      <c r="G524" s="72" t="str">
        <f>IF(DATEDIF($B524,'Inst summary and ER calculation'!$U$6,"y")=2,"2-3 years","3-4 years")</f>
        <v>3-4 years</v>
      </c>
      <c r="H524" s="69">
        <f t="shared" si="26"/>
        <v>1</v>
      </c>
      <c r="I524" s="142">
        <f>$C524*H524*_xlfn.XLOOKUP($G524,'Sample Size cal and results'!$B$25:$B$26,'Sample Size cal and results'!$D$25:$D$26)</f>
        <v>58.713111350128145</v>
      </c>
    </row>
    <row r="525" spans="1:9" ht="13">
      <c r="A525" s="131" t="s">
        <v>1446</v>
      </c>
      <c r="B525" s="53">
        <v>42048</v>
      </c>
      <c r="C525" s="52">
        <v>79</v>
      </c>
      <c r="D525" s="72" t="str">
        <f>IF(DATEDIF($B525,'Inst summary and ER calculation'!$T$6,"y")=1,"1-2 years","2-3 years")</f>
        <v>2-3 years</v>
      </c>
      <c r="E525" s="69">
        <f t="shared" si="25"/>
        <v>0.99726775956284153</v>
      </c>
      <c r="F525" s="69">
        <f>$C525*E525*_xlfn.XLOOKUP($D525,'Sample Size cal and results'!$B$23:$B$24,'Sample Size cal and results'!$D$23:$D$24)</f>
        <v>80.229033351880247</v>
      </c>
      <c r="G525" s="72" t="str">
        <f>IF(DATEDIF($B525,'Inst summary and ER calculation'!$U$6,"y")=2,"2-3 years","3-4 years")</f>
        <v>3-4 years</v>
      </c>
      <c r="H525" s="69">
        <f t="shared" si="26"/>
        <v>1</v>
      </c>
      <c r="I525" s="142">
        <f>$C525*H525*_xlfn.XLOOKUP($G525,'Sample Size cal and results'!$B$25:$B$26,'Sample Size cal and results'!$D$25:$D$26)</f>
        <v>78.615860960341081</v>
      </c>
    </row>
    <row r="526" spans="1:9" ht="13">
      <c r="A526" s="131" t="s">
        <v>1446</v>
      </c>
      <c r="B526" s="53">
        <v>42049</v>
      </c>
      <c r="C526" s="52">
        <v>64</v>
      </c>
      <c r="D526" s="72" t="str">
        <f>IF(DATEDIF($B526,'Inst summary and ER calculation'!$T$6,"y")=1,"1-2 years","2-3 years")</f>
        <v>2-3 years</v>
      </c>
      <c r="E526" s="69">
        <f t="shared" si="25"/>
        <v>0.99726775956284153</v>
      </c>
      <c r="F526" s="69">
        <f>$C526*E526*_xlfn.XLOOKUP($D526,'Sample Size cal and results'!$B$23:$B$24,'Sample Size cal and results'!$D$23:$D$24)</f>
        <v>64.99567258886502</v>
      </c>
      <c r="G526" s="72" t="str">
        <f>IF(DATEDIF($B526,'Inst summary and ER calculation'!$U$6,"y")=2,"2-3 years","3-4 years")</f>
        <v>3-4 years</v>
      </c>
      <c r="H526" s="69">
        <f t="shared" si="26"/>
        <v>1</v>
      </c>
      <c r="I526" s="142">
        <f>$C526*H526*_xlfn.XLOOKUP($G526,'Sample Size cal and results'!$B$25:$B$26,'Sample Size cal and results'!$D$25:$D$26)</f>
        <v>63.688798752681379</v>
      </c>
    </row>
    <row r="527" spans="1:9" ht="13">
      <c r="A527" s="131" t="s">
        <v>1446</v>
      </c>
      <c r="B527" s="53">
        <v>42050</v>
      </c>
      <c r="C527" s="52">
        <v>221</v>
      </c>
      <c r="D527" s="72" t="str">
        <f>IF(DATEDIF($B527,'Inst summary and ER calculation'!$T$6,"y")=1,"1-2 years","2-3 years")</f>
        <v>2-3 years</v>
      </c>
      <c r="E527" s="69">
        <f t="shared" si="25"/>
        <v>0.99726775956284153</v>
      </c>
      <c r="F527" s="69">
        <f>$C527*E527*_xlfn.XLOOKUP($D527,'Sample Size cal and results'!$B$23:$B$24,'Sample Size cal and results'!$D$23:$D$24)</f>
        <v>224.43818190842453</v>
      </c>
      <c r="G527" s="72" t="str">
        <f>IF(DATEDIF($B527,'Inst summary and ER calculation'!$U$6,"y")=2,"2-3 years","3-4 years")</f>
        <v>3-4 years</v>
      </c>
      <c r="H527" s="69">
        <f t="shared" si="26"/>
        <v>1</v>
      </c>
      <c r="I527" s="142">
        <f>$C527*H527*_xlfn.XLOOKUP($G527,'Sample Size cal and results'!$B$25:$B$26,'Sample Size cal and results'!$D$25:$D$26)</f>
        <v>219.92538319285288</v>
      </c>
    </row>
    <row r="528" spans="1:9" ht="13">
      <c r="A528" s="131" t="s">
        <v>1446</v>
      </c>
      <c r="B528" s="53">
        <v>42051</v>
      </c>
      <c r="C528" s="52">
        <v>69</v>
      </c>
      <c r="D528" s="72" t="str">
        <f>IF(DATEDIF($B528,'Inst summary and ER calculation'!$T$6,"y")=1,"1-2 years","2-3 years")</f>
        <v>2-3 years</v>
      </c>
      <c r="E528" s="69">
        <f t="shared" si="25"/>
        <v>0.99726775956284153</v>
      </c>
      <c r="F528" s="69">
        <f>$C528*E528*_xlfn.XLOOKUP($D528,'Sample Size cal and results'!$B$23:$B$24,'Sample Size cal and results'!$D$23:$D$24)</f>
        <v>70.073459509870091</v>
      </c>
      <c r="G528" s="72" t="str">
        <f>IF(DATEDIF($B528,'Inst summary and ER calculation'!$U$6,"y")=2,"2-3 years","3-4 years")</f>
        <v>3-4 years</v>
      </c>
      <c r="H528" s="69">
        <f t="shared" si="26"/>
        <v>1</v>
      </c>
      <c r="I528" s="142">
        <f>$C528*H528*_xlfn.XLOOKUP($G528,'Sample Size cal and results'!$B$25:$B$26,'Sample Size cal and results'!$D$25:$D$26)</f>
        <v>68.664486155234613</v>
      </c>
    </row>
    <row r="529" spans="1:9" ht="13">
      <c r="A529" s="131" t="s">
        <v>1446</v>
      </c>
      <c r="B529" s="53">
        <v>42052</v>
      </c>
      <c r="C529" s="52">
        <v>71</v>
      </c>
      <c r="D529" s="72" t="str">
        <f>IF(DATEDIF($B529,'Inst summary and ER calculation'!$T$6,"y")=1,"1-2 years","2-3 years")</f>
        <v>2-3 years</v>
      </c>
      <c r="E529" s="69">
        <f t="shared" si="25"/>
        <v>0.99726775956284153</v>
      </c>
      <c r="F529" s="69">
        <f>$C529*E529*_xlfn.XLOOKUP($D529,'Sample Size cal and results'!$B$23:$B$24,'Sample Size cal and results'!$D$23:$D$24)</f>
        <v>72.104574278272139</v>
      </c>
      <c r="G529" s="72" t="str">
        <f>IF(DATEDIF($B529,'Inst summary and ER calculation'!$U$6,"y")=2,"2-3 years","3-4 years")</f>
        <v>3-4 years</v>
      </c>
      <c r="H529" s="69">
        <f t="shared" si="26"/>
        <v>1</v>
      </c>
      <c r="I529" s="142">
        <f>$C529*H529*_xlfn.XLOOKUP($G529,'Sample Size cal and results'!$B$25:$B$26,'Sample Size cal and results'!$D$25:$D$26)</f>
        <v>70.654761116255898</v>
      </c>
    </row>
    <row r="530" spans="1:9" ht="13">
      <c r="A530" s="131" t="s">
        <v>1446</v>
      </c>
      <c r="B530" s="53">
        <v>42053</v>
      </c>
      <c r="C530" s="52">
        <v>75</v>
      </c>
      <c r="D530" s="72" t="str">
        <f>IF(DATEDIF($B530,'Inst summary and ER calculation'!$T$6,"y")=1,"1-2 years","2-3 years")</f>
        <v>2-3 years</v>
      </c>
      <c r="E530" s="69">
        <f t="shared" si="25"/>
        <v>0.99726775956284153</v>
      </c>
      <c r="F530" s="69">
        <f>$C530*E530*_xlfn.XLOOKUP($D530,'Sample Size cal and results'!$B$23:$B$24,'Sample Size cal and results'!$D$23:$D$24)</f>
        <v>76.166803815076179</v>
      </c>
      <c r="G530" s="72" t="str">
        <f>IF(DATEDIF($B530,'Inst summary and ER calculation'!$U$6,"y")=2,"2-3 years","3-4 years")</f>
        <v>3-4 years</v>
      </c>
      <c r="H530" s="69">
        <f t="shared" si="26"/>
        <v>1</v>
      </c>
      <c r="I530" s="142">
        <f>$C530*H530*_xlfn.XLOOKUP($G530,'Sample Size cal and results'!$B$25:$B$26,'Sample Size cal and results'!$D$25:$D$26)</f>
        <v>74.635311038298497</v>
      </c>
    </row>
    <row r="531" spans="1:9" ht="13">
      <c r="A531" s="131" t="s">
        <v>1446</v>
      </c>
      <c r="B531" s="53">
        <v>42054</v>
      </c>
      <c r="C531" s="52">
        <v>72</v>
      </c>
      <c r="D531" s="72" t="str">
        <f>IF(DATEDIF($B531,'Inst summary and ER calculation'!$T$6,"y")=1,"1-2 years","2-3 years")</f>
        <v>2-3 years</v>
      </c>
      <c r="E531" s="69">
        <f t="shared" si="25"/>
        <v>0.99726775956284153</v>
      </c>
      <c r="F531" s="69">
        <f>$C531*E531*_xlfn.XLOOKUP($D531,'Sample Size cal and results'!$B$23:$B$24,'Sample Size cal and results'!$D$23:$D$24)</f>
        <v>73.120131662473142</v>
      </c>
      <c r="G531" s="72" t="str">
        <f>IF(DATEDIF($B531,'Inst summary and ER calculation'!$U$6,"y")=2,"2-3 years","3-4 years")</f>
        <v>3-4 years</v>
      </c>
      <c r="H531" s="69">
        <f t="shared" si="26"/>
        <v>1</v>
      </c>
      <c r="I531" s="142">
        <f>$C531*H531*_xlfn.XLOOKUP($G531,'Sample Size cal and results'!$B$25:$B$26,'Sample Size cal and results'!$D$25:$D$26)</f>
        <v>71.649898596766548</v>
      </c>
    </row>
    <row r="532" spans="1:9" ht="13">
      <c r="A532" s="131" t="s">
        <v>1446</v>
      </c>
      <c r="B532" s="53">
        <v>42055</v>
      </c>
      <c r="C532" s="52">
        <v>81</v>
      </c>
      <c r="D532" s="72" t="str">
        <f>IF(DATEDIF($B532,'Inst summary and ER calculation'!$T$6,"y")=1,"1-2 years","2-3 years")</f>
        <v>2-3 years</v>
      </c>
      <c r="E532" s="69">
        <f t="shared" si="25"/>
        <v>0.99726775956284153</v>
      </c>
      <c r="F532" s="69">
        <f>$C532*E532*_xlfn.XLOOKUP($D532,'Sample Size cal and results'!$B$23:$B$24,'Sample Size cal and results'!$D$23:$D$24)</f>
        <v>82.260148120282281</v>
      </c>
      <c r="G532" s="72" t="str">
        <f>IF(DATEDIF($B532,'Inst summary and ER calculation'!$U$6,"y")=2,"2-3 years","3-4 years")</f>
        <v>3-4 years</v>
      </c>
      <c r="H532" s="69">
        <f t="shared" si="26"/>
        <v>1</v>
      </c>
      <c r="I532" s="142">
        <f>$C532*H532*_xlfn.XLOOKUP($G532,'Sample Size cal and results'!$B$25:$B$26,'Sample Size cal and results'!$D$25:$D$26)</f>
        <v>80.606135921362366</v>
      </c>
    </row>
    <row r="533" spans="1:9" ht="13">
      <c r="A533" s="131" t="s">
        <v>1446</v>
      </c>
      <c r="B533" s="53">
        <v>42056</v>
      </c>
      <c r="C533" s="52">
        <v>65</v>
      </c>
      <c r="D533" s="72" t="str">
        <f>IF(DATEDIF($B533,'Inst summary and ER calculation'!$T$6,"y")=1,"1-2 years","2-3 years")</f>
        <v>2-3 years</v>
      </c>
      <c r="E533" s="69">
        <f t="shared" si="25"/>
        <v>0.99726775956284153</v>
      </c>
      <c r="F533" s="69">
        <f>$C533*E533*_xlfn.XLOOKUP($D533,'Sample Size cal and results'!$B$23:$B$24,'Sample Size cal and results'!$D$23:$D$24)</f>
        <v>66.011229973066023</v>
      </c>
      <c r="G533" s="72" t="str">
        <f>IF(DATEDIF($B533,'Inst summary and ER calculation'!$U$6,"y")=2,"2-3 years","3-4 years")</f>
        <v>3-4 years</v>
      </c>
      <c r="H533" s="69">
        <f t="shared" si="26"/>
        <v>1</v>
      </c>
      <c r="I533" s="142">
        <f>$C533*H533*_xlfn.XLOOKUP($G533,'Sample Size cal and results'!$B$25:$B$26,'Sample Size cal and results'!$D$25:$D$26)</f>
        <v>64.683936233192028</v>
      </c>
    </row>
    <row r="534" spans="1:9" ht="13">
      <c r="A534" s="131" t="s">
        <v>1446</v>
      </c>
      <c r="B534" s="53">
        <v>42057</v>
      </c>
      <c r="C534" s="52">
        <v>84</v>
      </c>
      <c r="D534" s="72" t="str">
        <f>IF(DATEDIF($B534,'Inst summary and ER calculation'!$T$6,"y")=1,"1-2 years","2-3 years")</f>
        <v>2-3 years</v>
      </c>
      <c r="E534" s="69">
        <f t="shared" si="25"/>
        <v>0.99726775956284153</v>
      </c>
      <c r="F534" s="69">
        <f>$C534*E534*_xlfn.XLOOKUP($D534,'Sample Size cal and results'!$B$23:$B$24,'Sample Size cal and results'!$D$23:$D$24)</f>
        <v>85.306820272885332</v>
      </c>
      <c r="G534" s="72" t="str">
        <f>IF(DATEDIF($B534,'Inst summary and ER calculation'!$U$6,"y")=2,"2-3 years","3-4 years")</f>
        <v>3-4 years</v>
      </c>
      <c r="H534" s="69">
        <f t="shared" si="26"/>
        <v>1</v>
      </c>
      <c r="I534" s="142">
        <f>$C534*H534*_xlfn.XLOOKUP($G534,'Sample Size cal and results'!$B$25:$B$26,'Sample Size cal and results'!$D$25:$D$26)</f>
        <v>83.591548362894315</v>
      </c>
    </row>
    <row r="535" spans="1:9" ht="13">
      <c r="A535" s="131" t="s">
        <v>1446</v>
      </c>
      <c r="B535" s="53">
        <v>42058</v>
      </c>
      <c r="C535" s="52">
        <v>81</v>
      </c>
      <c r="D535" s="72" t="str">
        <f>IF(DATEDIF($B535,'Inst summary and ER calculation'!$T$6,"y")=1,"1-2 years","2-3 years")</f>
        <v>2-3 years</v>
      </c>
      <c r="E535" s="69">
        <f t="shared" si="25"/>
        <v>0.99726775956284153</v>
      </c>
      <c r="F535" s="69">
        <f>$C535*E535*_xlfn.XLOOKUP($D535,'Sample Size cal and results'!$B$23:$B$24,'Sample Size cal and results'!$D$23:$D$24)</f>
        <v>82.260148120282281</v>
      </c>
      <c r="G535" s="72" t="str">
        <f>IF(DATEDIF($B535,'Inst summary and ER calculation'!$U$6,"y")=2,"2-3 years","3-4 years")</f>
        <v>3-4 years</v>
      </c>
      <c r="H535" s="69">
        <f t="shared" si="26"/>
        <v>1</v>
      </c>
      <c r="I535" s="142">
        <f>$C535*H535*_xlfn.XLOOKUP($G535,'Sample Size cal and results'!$B$25:$B$26,'Sample Size cal and results'!$D$25:$D$26)</f>
        <v>80.606135921362366</v>
      </c>
    </row>
    <row r="536" spans="1:9" ht="13">
      <c r="A536" s="131" t="s">
        <v>1446</v>
      </c>
      <c r="B536" s="53">
        <v>42059</v>
      </c>
      <c r="C536" s="52">
        <v>91</v>
      </c>
      <c r="D536" s="72" t="str">
        <f>IF(DATEDIF($B536,'Inst summary and ER calculation'!$T$6,"y")=1,"1-2 years","2-3 years")</f>
        <v>2-3 years</v>
      </c>
      <c r="E536" s="69">
        <f t="shared" si="25"/>
        <v>0.99726775956284153</v>
      </c>
      <c r="F536" s="69">
        <f>$C536*E536*_xlfn.XLOOKUP($D536,'Sample Size cal and results'!$B$23:$B$24,'Sample Size cal and results'!$D$23:$D$24)</f>
        <v>92.415721962292437</v>
      </c>
      <c r="G536" s="72" t="str">
        <f>IF(DATEDIF($B536,'Inst summary and ER calculation'!$U$6,"y")=2,"2-3 years","3-4 years")</f>
        <v>3-4 years</v>
      </c>
      <c r="H536" s="69">
        <f t="shared" si="26"/>
        <v>1</v>
      </c>
      <c r="I536" s="142">
        <f>$C536*H536*_xlfn.XLOOKUP($G536,'Sample Size cal and results'!$B$25:$B$26,'Sample Size cal and results'!$D$25:$D$26)</f>
        <v>90.557510726468834</v>
      </c>
    </row>
    <row r="537" spans="1:9" ht="13">
      <c r="A537" s="131" t="s">
        <v>1446</v>
      </c>
      <c r="B537" s="53">
        <v>42060</v>
      </c>
      <c r="C537" s="52">
        <v>92</v>
      </c>
      <c r="D537" s="72" t="str">
        <f>IF(DATEDIF($B537,'Inst summary and ER calculation'!$T$6,"y")=1,"1-2 years","2-3 years")</f>
        <v>2-3 years</v>
      </c>
      <c r="E537" s="69">
        <f t="shared" si="25"/>
        <v>0.99726775956284153</v>
      </c>
      <c r="F537" s="69">
        <f>$C537*E537*_xlfn.XLOOKUP($D537,'Sample Size cal and results'!$B$23:$B$24,'Sample Size cal and results'!$D$23:$D$24)</f>
        <v>93.431279346493469</v>
      </c>
      <c r="G537" s="72" t="str">
        <f>IF(DATEDIF($B537,'Inst summary and ER calculation'!$U$6,"y")=2,"2-3 years","3-4 years")</f>
        <v>3-4 years</v>
      </c>
      <c r="H537" s="69">
        <f t="shared" si="26"/>
        <v>1</v>
      </c>
      <c r="I537" s="142">
        <f>$C537*H537*_xlfn.XLOOKUP($G537,'Sample Size cal and results'!$B$25:$B$26,'Sample Size cal and results'!$D$25:$D$26)</f>
        <v>91.552648206979484</v>
      </c>
    </row>
    <row r="538" spans="1:9" ht="13">
      <c r="A538" s="131" t="s">
        <v>1446</v>
      </c>
      <c r="B538" s="53">
        <v>42061</v>
      </c>
      <c r="C538" s="52">
        <v>80</v>
      </c>
      <c r="D538" s="72" t="str">
        <f>IF(DATEDIF($B538,'Inst summary and ER calculation'!$T$6,"y")=1,"1-2 years","2-3 years")</f>
        <v>2-3 years</v>
      </c>
      <c r="E538" s="69">
        <f t="shared" si="25"/>
        <v>0.99726775956284153</v>
      </c>
      <c r="F538" s="69">
        <f>$C538*E538*_xlfn.XLOOKUP($D538,'Sample Size cal and results'!$B$23:$B$24,'Sample Size cal and results'!$D$23:$D$24)</f>
        <v>81.244590736081264</v>
      </c>
      <c r="G538" s="72" t="str">
        <f>IF(DATEDIF($B538,'Inst summary and ER calculation'!$U$6,"y")=2,"2-3 years","3-4 years")</f>
        <v>3-4 years</v>
      </c>
      <c r="H538" s="69">
        <f t="shared" si="26"/>
        <v>1</v>
      </c>
      <c r="I538" s="142">
        <f>$C538*H538*_xlfn.XLOOKUP($G538,'Sample Size cal and results'!$B$25:$B$26,'Sample Size cal and results'!$D$25:$D$26)</f>
        <v>79.610998440851716</v>
      </c>
    </row>
    <row r="539" spans="1:9" ht="13">
      <c r="A539" s="131" t="s">
        <v>1446</v>
      </c>
      <c r="B539" s="53">
        <v>42062</v>
      </c>
      <c r="C539" s="52">
        <v>100</v>
      </c>
      <c r="D539" s="72" t="str">
        <f>IF(DATEDIF($B539,'Inst summary and ER calculation'!$T$6,"y")=1,"1-2 years","2-3 years")</f>
        <v>2-3 years</v>
      </c>
      <c r="E539" s="69">
        <f t="shared" si="25"/>
        <v>0.99726775956284153</v>
      </c>
      <c r="F539" s="69">
        <f>$C539*E539*_xlfn.XLOOKUP($D539,'Sample Size cal and results'!$B$23:$B$24,'Sample Size cal and results'!$D$23:$D$24)</f>
        <v>101.55573842010159</v>
      </c>
      <c r="G539" s="72" t="str">
        <f>IF(DATEDIF($B539,'Inst summary and ER calculation'!$U$6,"y")=2,"2-3 years","3-4 years")</f>
        <v>3-4 years</v>
      </c>
      <c r="H539" s="69">
        <f t="shared" si="26"/>
        <v>1</v>
      </c>
      <c r="I539" s="142">
        <f>$C539*H539*_xlfn.XLOOKUP($G539,'Sample Size cal and results'!$B$25:$B$26,'Sample Size cal and results'!$D$25:$D$26)</f>
        <v>99.513748051064653</v>
      </c>
    </row>
    <row r="540" spans="1:9" ht="13">
      <c r="A540" s="131" t="s">
        <v>1446</v>
      </c>
      <c r="B540" s="53">
        <v>42063</v>
      </c>
      <c r="C540" s="52">
        <v>555</v>
      </c>
      <c r="D540" s="72" t="str">
        <f>IF(DATEDIF($B540,'Inst summary and ER calculation'!$T$6,"y")=1,"1-2 years","2-3 years")</f>
        <v>2-3 years</v>
      </c>
      <c r="E540" s="69">
        <f t="shared" si="25"/>
        <v>0.99726775956284153</v>
      </c>
      <c r="F540" s="69">
        <f>$C540*E540*_xlfn.XLOOKUP($D540,'Sample Size cal and results'!$B$23:$B$24,'Sample Size cal and results'!$D$23:$D$24)</f>
        <v>563.63434823156376</v>
      </c>
      <c r="G540" s="72" t="str">
        <f>IF(DATEDIF($B540,'Inst summary and ER calculation'!$U$6,"y")=2,"2-3 years","3-4 years")</f>
        <v>3-4 years</v>
      </c>
      <c r="H540" s="69">
        <f t="shared" si="26"/>
        <v>1</v>
      </c>
      <c r="I540" s="142">
        <f>$C540*H540*_xlfn.XLOOKUP($G540,'Sample Size cal and results'!$B$25:$B$26,'Sample Size cal and results'!$D$25:$D$26)</f>
        <v>552.30130168340884</v>
      </c>
    </row>
    <row r="541" spans="1:9" ht="13">
      <c r="A541" s="131" t="s">
        <v>1447</v>
      </c>
      <c r="B541" s="53">
        <v>41852</v>
      </c>
      <c r="C541" s="52">
        <v>133</v>
      </c>
      <c r="D541" s="72" t="str">
        <f>IF(DATEDIF($B541,'Inst summary and ER calculation'!$T$6,"y")=1,"1-2 years","2-3 years")</f>
        <v>2-3 years</v>
      </c>
      <c r="E541" s="69">
        <f t="shared" ref="E541:E604" si="27">MAX(MIN($T$6)-MAX($T$5,$B541,_xlfn.XLOOKUP($A541,$W$1:$W$36,$X$1:$X$36))+1,0)/365</f>
        <v>0.58082191780821912</v>
      </c>
      <c r="F541" s="69">
        <f>$C541*E541*_xlfn.XLOOKUP($D541,'Sample Size cal and results'!$B$23:$B$24,'Sample Size cal and results'!$D$23:$D$24)</f>
        <v>78.666046896641433</v>
      </c>
      <c r="G541" s="72" t="str">
        <f>IF(DATEDIF($B541,'Inst summary and ER calculation'!$U$6,"y")=2,"2-3 years","3-4 years")</f>
        <v>3-4 years</v>
      </c>
      <c r="H541" s="69">
        <f t="shared" ref="H541:H604" si="28">MAX(MIN($U$6)-MAX($U$5,$B541,_xlfn.XLOOKUP($A541,$W$1:$W$36,$X$1:$X$36))+1,0)/365</f>
        <v>1</v>
      </c>
      <c r="I541" s="142">
        <f>$C541*H541*_xlfn.XLOOKUP($G541,'Sample Size cal and results'!$B$25:$B$26,'Sample Size cal and results'!$D$25:$D$26)</f>
        <v>132.35328490791599</v>
      </c>
    </row>
    <row r="542" spans="1:9" ht="13">
      <c r="A542" s="131" t="s">
        <v>1447</v>
      </c>
      <c r="B542" s="53">
        <v>41853</v>
      </c>
      <c r="C542" s="52">
        <v>186</v>
      </c>
      <c r="D542" s="72" t="str">
        <f>IF(DATEDIF($B542,'Inst summary and ER calculation'!$T$6,"y")=1,"1-2 years","2-3 years")</f>
        <v>2-3 years</v>
      </c>
      <c r="E542" s="69">
        <f t="shared" si="27"/>
        <v>0.58082191780821912</v>
      </c>
      <c r="F542" s="69">
        <f>$C542*E542*_xlfn.XLOOKUP($D542,'Sample Size cal and results'!$B$23:$B$24,'Sample Size cal and results'!$D$23:$D$24)</f>
        <v>110.01417084793462</v>
      </c>
      <c r="G542" s="72" t="str">
        <f>IF(DATEDIF($B542,'Inst summary and ER calculation'!$U$6,"y")=2,"2-3 years","3-4 years")</f>
        <v>3-4 years</v>
      </c>
      <c r="H542" s="69">
        <f t="shared" si="28"/>
        <v>1</v>
      </c>
      <c r="I542" s="142">
        <f>$C542*H542*_xlfn.XLOOKUP($G542,'Sample Size cal and results'!$B$25:$B$26,'Sample Size cal and results'!$D$25:$D$26)</f>
        <v>185.09557137498027</v>
      </c>
    </row>
    <row r="543" spans="1:9" ht="13">
      <c r="A543" s="131" t="s">
        <v>1447</v>
      </c>
      <c r="B543" s="53">
        <v>41854</v>
      </c>
      <c r="C543" s="52">
        <v>219</v>
      </c>
      <c r="D543" s="72" t="str">
        <f>IF(DATEDIF($B543,'Inst summary and ER calculation'!$T$6,"y")=1,"1-2 years","2-3 years")</f>
        <v>2-3 years</v>
      </c>
      <c r="E543" s="69">
        <f t="shared" si="27"/>
        <v>0.58082191780821912</v>
      </c>
      <c r="F543" s="69">
        <f>$C543*E543*_xlfn.XLOOKUP($D543,'Sample Size cal and results'!$B$23:$B$24,'Sample Size cal and results'!$D$23:$D$24)</f>
        <v>129.53281406289076</v>
      </c>
      <c r="G543" s="72" t="str">
        <f>IF(DATEDIF($B543,'Inst summary and ER calculation'!$U$6,"y")=2,"2-3 years","3-4 years")</f>
        <v>3-4 years</v>
      </c>
      <c r="H543" s="69">
        <f t="shared" si="28"/>
        <v>1</v>
      </c>
      <c r="I543" s="142">
        <f>$C543*H543*_xlfn.XLOOKUP($G543,'Sample Size cal and results'!$B$25:$B$26,'Sample Size cal and results'!$D$25:$D$26)</f>
        <v>217.93510823183161</v>
      </c>
    </row>
    <row r="544" spans="1:9" ht="13">
      <c r="A544" s="131" t="s">
        <v>1447</v>
      </c>
      <c r="B544" s="53">
        <v>41855</v>
      </c>
      <c r="C544" s="52">
        <v>129</v>
      </c>
      <c r="D544" s="72" t="str">
        <f>IF(DATEDIF($B544,'Inst summary and ER calculation'!$T$6,"y")=1,"1-2 years","2-3 years")</f>
        <v>2-3 years</v>
      </c>
      <c r="E544" s="69">
        <f t="shared" si="27"/>
        <v>0.58082191780821912</v>
      </c>
      <c r="F544" s="69">
        <f>$C544*E544*_xlfn.XLOOKUP($D544,'Sample Size cal and results'!$B$23:$B$24,'Sample Size cal and results'!$D$23:$D$24)</f>
        <v>76.300150749374012</v>
      </c>
      <c r="G544" s="72" t="str">
        <f>IF(DATEDIF($B544,'Inst summary and ER calculation'!$U$6,"y")=2,"2-3 years","3-4 years")</f>
        <v>3-4 years</v>
      </c>
      <c r="H544" s="69">
        <f t="shared" si="28"/>
        <v>1</v>
      </c>
      <c r="I544" s="142">
        <f>$C544*H544*_xlfn.XLOOKUP($G544,'Sample Size cal and results'!$B$25:$B$26,'Sample Size cal and results'!$D$25:$D$26)</f>
        <v>128.37273498587339</v>
      </c>
    </row>
    <row r="545" spans="1:9" ht="13">
      <c r="A545" s="131" t="s">
        <v>1447</v>
      </c>
      <c r="B545" s="53">
        <v>41856</v>
      </c>
      <c r="C545" s="52">
        <v>201</v>
      </c>
      <c r="D545" s="72" t="str">
        <f>IF(DATEDIF($B545,'Inst summary and ER calculation'!$T$6,"y")=1,"1-2 years","2-3 years")</f>
        <v>2-3 years</v>
      </c>
      <c r="E545" s="69">
        <f t="shared" si="27"/>
        <v>0.58082191780821912</v>
      </c>
      <c r="F545" s="69">
        <f>$C545*E545*_xlfn.XLOOKUP($D545,'Sample Size cal and results'!$B$23:$B$24,'Sample Size cal and results'!$D$23:$D$24)</f>
        <v>118.88628140018741</v>
      </c>
      <c r="G545" s="72" t="str">
        <f>IF(DATEDIF($B545,'Inst summary and ER calculation'!$U$6,"y")=2,"2-3 years","3-4 years")</f>
        <v>3-4 years</v>
      </c>
      <c r="H545" s="69">
        <f t="shared" si="28"/>
        <v>1</v>
      </c>
      <c r="I545" s="142">
        <f>$C545*H545*_xlfn.XLOOKUP($G545,'Sample Size cal and results'!$B$25:$B$26,'Sample Size cal and results'!$D$25:$D$26)</f>
        <v>200.02263358263997</v>
      </c>
    </row>
    <row r="546" spans="1:9" ht="13">
      <c r="A546" s="131" t="s">
        <v>1447</v>
      </c>
      <c r="B546" s="53">
        <v>41857</v>
      </c>
      <c r="C546" s="52">
        <v>167</v>
      </c>
      <c r="D546" s="72" t="str">
        <f>IF(DATEDIF($B546,'Inst summary and ER calculation'!$T$6,"y")=1,"1-2 years","2-3 years")</f>
        <v>2-3 years</v>
      </c>
      <c r="E546" s="69">
        <f t="shared" si="27"/>
        <v>0.58082191780821912</v>
      </c>
      <c r="F546" s="69">
        <f>$C546*E546*_xlfn.XLOOKUP($D546,'Sample Size cal and results'!$B$23:$B$24,'Sample Size cal and results'!$D$23:$D$24)</f>
        <v>98.776164148414423</v>
      </c>
      <c r="G546" s="72" t="str">
        <f>IF(DATEDIF($B546,'Inst summary and ER calculation'!$U$6,"y")=2,"2-3 years","3-4 years")</f>
        <v>3-4 years</v>
      </c>
      <c r="H546" s="69">
        <f t="shared" si="28"/>
        <v>1</v>
      </c>
      <c r="I546" s="142">
        <f>$C546*H546*_xlfn.XLOOKUP($G546,'Sample Size cal and results'!$B$25:$B$26,'Sample Size cal and results'!$D$25:$D$26)</f>
        <v>166.18795924527797</v>
      </c>
    </row>
    <row r="547" spans="1:9" ht="13">
      <c r="A547" s="131" t="s">
        <v>1447</v>
      </c>
      <c r="B547" s="53">
        <v>41858</v>
      </c>
      <c r="C547" s="52">
        <v>217</v>
      </c>
      <c r="D547" s="72" t="str">
        <f>IF(DATEDIF($B547,'Inst summary and ER calculation'!$T$6,"y")=1,"1-2 years","2-3 years")</f>
        <v>2-3 years</v>
      </c>
      <c r="E547" s="69">
        <f t="shared" si="27"/>
        <v>0.58082191780821912</v>
      </c>
      <c r="F547" s="69">
        <f>$C547*E547*_xlfn.XLOOKUP($D547,'Sample Size cal and results'!$B$23:$B$24,'Sample Size cal and results'!$D$23:$D$24)</f>
        <v>128.34986598925704</v>
      </c>
      <c r="G547" s="72" t="str">
        <f>IF(DATEDIF($B547,'Inst summary and ER calculation'!$U$6,"y")=2,"2-3 years","3-4 years")</f>
        <v>3-4 years</v>
      </c>
      <c r="H547" s="69">
        <f t="shared" si="28"/>
        <v>1</v>
      </c>
      <c r="I547" s="142">
        <f>$C547*H547*_xlfn.XLOOKUP($G547,'Sample Size cal and results'!$B$25:$B$26,'Sample Size cal and results'!$D$25:$D$26)</f>
        <v>215.94483327081031</v>
      </c>
    </row>
    <row r="548" spans="1:9" ht="13">
      <c r="A548" s="131" t="s">
        <v>1447</v>
      </c>
      <c r="B548" s="53">
        <v>41859</v>
      </c>
      <c r="C548" s="52">
        <v>204</v>
      </c>
      <c r="D548" s="72" t="str">
        <f>IF(DATEDIF($B548,'Inst summary and ER calculation'!$T$6,"y")=1,"1-2 years","2-3 years")</f>
        <v>2-3 years</v>
      </c>
      <c r="E548" s="69">
        <f t="shared" si="27"/>
        <v>0.58082191780821912</v>
      </c>
      <c r="F548" s="69">
        <f>$C548*E548*_xlfn.XLOOKUP($D548,'Sample Size cal and results'!$B$23:$B$24,'Sample Size cal and results'!$D$23:$D$24)</f>
        <v>120.66070351063797</v>
      </c>
      <c r="G548" s="72" t="str">
        <f>IF(DATEDIF($B548,'Inst summary and ER calculation'!$U$6,"y")=2,"2-3 years","3-4 years")</f>
        <v>3-4 years</v>
      </c>
      <c r="H548" s="69">
        <f t="shared" si="28"/>
        <v>1</v>
      </c>
      <c r="I548" s="142">
        <f>$C548*H548*_xlfn.XLOOKUP($G548,'Sample Size cal and results'!$B$25:$B$26,'Sample Size cal and results'!$D$25:$D$26)</f>
        <v>203.0080460241719</v>
      </c>
    </row>
    <row r="549" spans="1:9" ht="13">
      <c r="A549" s="131" t="s">
        <v>1447</v>
      </c>
      <c r="B549" s="53">
        <v>41860</v>
      </c>
      <c r="C549" s="52">
        <v>212</v>
      </c>
      <c r="D549" s="72" t="str">
        <f>IF(DATEDIF($B549,'Inst summary and ER calculation'!$T$6,"y")=1,"1-2 years","2-3 years")</f>
        <v>2-3 years</v>
      </c>
      <c r="E549" s="69">
        <f t="shared" si="27"/>
        <v>0.58082191780821912</v>
      </c>
      <c r="F549" s="69">
        <f>$C549*E549*_xlfn.XLOOKUP($D549,'Sample Size cal and results'!$B$23:$B$24,'Sample Size cal and results'!$D$23:$D$24)</f>
        <v>125.3924958051728</v>
      </c>
      <c r="G549" s="72" t="str">
        <f>IF(DATEDIF($B549,'Inst summary and ER calculation'!$U$6,"y")=2,"2-3 years","3-4 years")</f>
        <v>3-4 years</v>
      </c>
      <c r="H549" s="69">
        <f t="shared" si="28"/>
        <v>1</v>
      </c>
      <c r="I549" s="142">
        <f>$C549*H549*_xlfn.XLOOKUP($G549,'Sample Size cal and results'!$B$25:$B$26,'Sample Size cal and results'!$D$25:$D$26)</f>
        <v>210.96914586825707</v>
      </c>
    </row>
    <row r="550" spans="1:9" ht="13">
      <c r="A550" s="131" t="s">
        <v>1447</v>
      </c>
      <c r="B550" s="53">
        <v>41861</v>
      </c>
      <c r="C550" s="52">
        <v>260</v>
      </c>
      <c r="D550" s="72" t="str">
        <f>IF(DATEDIF($B550,'Inst summary and ER calculation'!$T$6,"y")=1,"1-2 years","2-3 years")</f>
        <v>2-3 years</v>
      </c>
      <c r="E550" s="69">
        <f t="shared" si="27"/>
        <v>0.58082191780821912</v>
      </c>
      <c r="F550" s="69">
        <f>$C550*E550*_xlfn.XLOOKUP($D550,'Sample Size cal and results'!$B$23:$B$24,'Sample Size cal and results'!$D$23:$D$24)</f>
        <v>153.78324957238175</v>
      </c>
      <c r="G550" s="72" t="str">
        <f>IF(DATEDIF($B550,'Inst summary and ER calculation'!$U$6,"y")=2,"2-3 years","3-4 years")</f>
        <v>3-4 years</v>
      </c>
      <c r="H550" s="69">
        <f t="shared" si="28"/>
        <v>1</v>
      </c>
      <c r="I550" s="142">
        <f>$C550*H550*_xlfn.XLOOKUP($G550,'Sample Size cal and results'!$B$25:$B$26,'Sample Size cal and results'!$D$25:$D$26)</f>
        <v>258.73574493276811</v>
      </c>
    </row>
    <row r="551" spans="1:9" ht="13">
      <c r="A551" s="131" t="s">
        <v>1447</v>
      </c>
      <c r="B551" s="53">
        <v>41862</v>
      </c>
      <c r="C551" s="52">
        <v>245</v>
      </c>
      <c r="D551" s="72" t="str">
        <f>IF(DATEDIF($B551,'Inst summary and ER calculation'!$T$6,"y")=1,"1-2 years","2-3 years")</f>
        <v>2-3 years</v>
      </c>
      <c r="E551" s="69">
        <f t="shared" si="27"/>
        <v>0.58082191780821912</v>
      </c>
      <c r="F551" s="69">
        <f>$C551*E551*_xlfn.XLOOKUP($D551,'Sample Size cal and results'!$B$23:$B$24,'Sample Size cal and results'!$D$23:$D$24)</f>
        <v>144.91113902012896</v>
      </c>
      <c r="G551" s="72" t="str">
        <f>IF(DATEDIF($B551,'Inst summary and ER calculation'!$U$6,"y")=2,"2-3 years","3-4 years")</f>
        <v>3-4 years</v>
      </c>
      <c r="H551" s="69">
        <f t="shared" si="28"/>
        <v>1</v>
      </c>
      <c r="I551" s="142">
        <f>$C551*H551*_xlfn.XLOOKUP($G551,'Sample Size cal and results'!$B$25:$B$26,'Sample Size cal and results'!$D$25:$D$26)</f>
        <v>243.80868272510841</v>
      </c>
    </row>
    <row r="552" spans="1:9" ht="13">
      <c r="A552" s="131" t="s">
        <v>1447</v>
      </c>
      <c r="B552" s="53">
        <v>41863</v>
      </c>
      <c r="C552" s="52">
        <v>335</v>
      </c>
      <c r="D552" s="72" t="str">
        <f>IF(DATEDIF($B552,'Inst summary and ER calculation'!$T$6,"y")=1,"1-2 years","2-3 years")</f>
        <v>2-3 years</v>
      </c>
      <c r="E552" s="69">
        <f t="shared" si="27"/>
        <v>0.58082191780821912</v>
      </c>
      <c r="F552" s="69">
        <f>$C552*E552*_xlfn.XLOOKUP($D552,'Sample Size cal and results'!$B$23:$B$24,'Sample Size cal and results'!$D$23:$D$24)</f>
        <v>198.14380233364568</v>
      </c>
      <c r="G552" s="72" t="str">
        <f>IF(DATEDIF($B552,'Inst summary and ER calculation'!$U$6,"y")=2,"2-3 years","3-4 years")</f>
        <v>3-4 years</v>
      </c>
      <c r="H552" s="69">
        <f t="shared" si="28"/>
        <v>1</v>
      </c>
      <c r="I552" s="142">
        <f>$C552*H552*_xlfn.XLOOKUP($G552,'Sample Size cal and results'!$B$25:$B$26,'Sample Size cal and results'!$D$25:$D$26)</f>
        <v>333.3710559710666</v>
      </c>
    </row>
    <row r="553" spans="1:9" ht="13">
      <c r="A553" s="131" t="s">
        <v>1447</v>
      </c>
      <c r="B553" s="53">
        <v>41864</v>
      </c>
      <c r="C553" s="52">
        <v>246</v>
      </c>
      <c r="D553" s="72" t="str">
        <f>IF(DATEDIF($B553,'Inst summary and ER calculation'!$T$6,"y")=1,"1-2 years","2-3 years")</f>
        <v>2-3 years</v>
      </c>
      <c r="E553" s="69">
        <f t="shared" si="27"/>
        <v>0.58082191780821912</v>
      </c>
      <c r="F553" s="69">
        <f>$C553*E553*_xlfn.XLOOKUP($D553,'Sample Size cal and results'!$B$23:$B$24,'Sample Size cal and results'!$D$23:$D$24)</f>
        <v>145.50261305694579</v>
      </c>
      <c r="G553" s="72" t="str">
        <f>IF(DATEDIF($B553,'Inst summary and ER calculation'!$U$6,"y")=2,"2-3 years","3-4 years")</f>
        <v>3-4 years</v>
      </c>
      <c r="H553" s="69">
        <f t="shared" si="28"/>
        <v>1</v>
      </c>
      <c r="I553" s="142">
        <f>$C553*H553*_xlfn.XLOOKUP($G553,'Sample Size cal and results'!$B$25:$B$26,'Sample Size cal and results'!$D$25:$D$26)</f>
        <v>244.80382020561905</v>
      </c>
    </row>
    <row r="554" spans="1:9" ht="13">
      <c r="A554" s="131" t="s">
        <v>1447</v>
      </c>
      <c r="B554" s="53">
        <v>41865</v>
      </c>
      <c r="C554" s="52">
        <v>250</v>
      </c>
      <c r="D554" s="72" t="str">
        <f>IF(DATEDIF($B554,'Inst summary and ER calculation'!$T$6,"y")=1,"1-2 years","2-3 years")</f>
        <v>2-3 years</v>
      </c>
      <c r="E554" s="69">
        <f t="shared" si="27"/>
        <v>0.58082191780821912</v>
      </c>
      <c r="F554" s="69">
        <f>$C554*E554*_xlfn.XLOOKUP($D554,'Sample Size cal and results'!$B$23:$B$24,'Sample Size cal and results'!$D$23:$D$24)</f>
        <v>147.86850920421321</v>
      </c>
      <c r="G554" s="72" t="str">
        <f>IF(DATEDIF($B554,'Inst summary and ER calculation'!$U$6,"y")=2,"2-3 years","3-4 years")</f>
        <v>3-4 years</v>
      </c>
      <c r="H554" s="69">
        <f t="shared" si="28"/>
        <v>1</v>
      </c>
      <c r="I554" s="142">
        <f>$C554*H554*_xlfn.XLOOKUP($G554,'Sample Size cal and results'!$B$25:$B$26,'Sample Size cal and results'!$D$25:$D$26)</f>
        <v>248.78437012766165</v>
      </c>
    </row>
    <row r="555" spans="1:9" ht="13">
      <c r="A555" s="131" t="s">
        <v>1447</v>
      </c>
      <c r="B555" s="53">
        <v>41866</v>
      </c>
      <c r="C555" s="52">
        <v>421</v>
      </c>
      <c r="D555" s="72" t="str">
        <f>IF(DATEDIF($B555,'Inst summary and ER calculation'!$T$6,"y")=1,"1-2 years","2-3 years")</f>
        <v>2-3 years</v>
      </c>
      <c r="E555" s="69">
        <f t="shared" si="27"/>
        <v>0.58082191780821912</v>
      </c>
      <c r="F555" s="69">
        <f>$C555*E555*_xlfn.XLOOKUP($D555,'Sample Size cal and results'!$B$23:$B$24,'Sample Size cal and results'!$D$23:$D$24)</f>
        <v>249.01056949989504</v>
      </c>
      <c r="G555" s="72" t="str">
        <f>IF(DATEDIF($B555,'Inst summary and ER calculation'!$U$6,"y")=2,"2-3 years","3-4 years")</f>
        <v>3-4 years</v>
      </c>
      <c r="H555" s="69">
        <f t="shared" si="28"/>
        <v>1</v>
      </c>
      <c r="I555" s="142">
        <f>$C555*H555*_xlfn.XLOOKUP($G555,'Sample Size cal and results'!$B$25:$B$26,'Sample Size cal and results'!$D$25:$D$26)</f>
        <v>418.95287929498221</v>
      </c>
    </row>
    <row r="556" spans="1:9" ht="13">
      <c r="A556" s="131" t="s">
        <v>1448</v>
      </c>
      <c r="B556" s="53">
        <v>41866</v>
      </c>
      <c r="C556" s="52">
        <v>894</v>
      </c>
      <c r="D556" s="72" t="str">
        <f>IF(DATEDIF($B556,'Inst summary and ER calculation'!$T$6,"y")=1,"1-2 years","2-3 years")</f>
        <v>2-3 years</v>
      </c>
      <c r="E556" s="69">
        <f t="shared" si="27"/>
        <v>0.58082191780821912</v>
      </c>
      <c r="F556" s="69">
        <f>$C556*E556*_xlfn.XLOOKUP($D556,'Sample Size cal and results'!$B$23:$B$24,'Sample Size cal and results'!$D$23:$D$24)</f>
        <v>528.77778891426635</v>
      </c>
      <c r="G556" s="72" t="str">
        <f>IF(DATEDIF($B556,'Inst summary and ER calculation'!$U$6,"y")=2,"2-3 years","3-4 years")</f>
        <v>3-4 years</v>
      </c>
      <c r="H556" s="69">
        <f t="shared" si="28"/>
        <v>1</v>
      </c>
      <c r="I556" s="142">
        <f>$C556*H556*_xlfn.XLOOKUP($G556,'Sample Size cal and results'!$B$25:$B$26,'Sample Size cal and results'!$D$25:$D$26)</f>
        <v>889.65290757651803</v>
      </c>
    </row>
    <row r="557" spans="1:9" ht="13">
      <c r="A557" s="131" t="s">
        <v>1448</v>
      </c>
      <c r="B557" s="53">
        <v>41867</v>
      </c>
      <c r="C557" s="52">
        <v>350</v>
      </c>
      <c r="D557" s="72" t="str">
        <f>IF(DATEDIF($B557,'Inst summary and ER calculation'!$T$6,"y")=1,"1-2 years","2-3 years")</f>
        <v>2-3 years</v>
      </c>
      <c r="E557" s="69">
        <f t="shared" si="27"/>
        <v>0.58082191780821912</v>
      </c>
      <c r="F557" s="69">
        <f>$C557*E557*_xlfn.XLOOKUP($D557,'Sample Size cal and results'!$B$23:$B$24,'Sample Size cal and results'!$D$23:$D$24)</f>
        <v>207.0159128858985</v>
      </c>
      <c r="G557" s="72" t="str">
        <f>IF(DATEDIF($B557,'Inst summary and ER calculation'!$U$6,"y")=2,"2-3 years","3-4 years")</f>
        <v>3-4 years</v>
      </c>
      <c r="H557" s="69">
        <f t="shared" si="28"/>
        <v>1</v>
      </c>
      <c r="I557" s="142">
        <f>$C557*H557*_xlfn.XLOOKUP($G557,'Sample Size cal and results'!$B$25:$B$26,'Sample Size cal and results'!$D$25:$D$26)</f>
        <v>348.29811817872627</v>
      </c>
    </row>
    <row r="558" spans="1:9" ht="13">
      <c r="A558" s="131" t="s">
        <v>1448</v>
      </c>
      <c r="B558" s="53">
        <v>41868</v>
      </c>
      <c r="C558" s="52">
        <v>288</v>
      </c>
      <c r="D558" s="72" t="str">
        <f>IF(DATEDIF($B558,'Inst summary and ER calculation'!$T$6,"y")=1,"1-2 years","2-3 years")</f>
        <v>2-3 years</v>
      </c>
      <c r="E558" s="69">
        <f t="shared" si="27"/>
        <v>0.58082191780821912</v>
      </c>
      <c r="F558" s="69">
        <f>$C558*E558*_xlfn.XLOOKUP($D558,'Sample Size cal and results'!$B$23:$B$24,'Sample Size cal and results'!$D$23:$D$24)</f>
        <v>170.34452260325361</v>
      </c>
      <c r="G558" s="72" t="str">
        <f>IF(DATEDIF($B558,'Inst summary and ER calculation'!$U$6,"y")=2,"2-3 years","3-4 years")</f>
        <v>3-4 years</v>
      </c>
      <c r="H558" s="69">
        <f t="shared" si="28"/>
        <v>1</v>
      </c>
      <c r="I558" s="142">
        <f>$C558*H558*_xlfn.XLOOKUP($G558,'Sample Size cal and results'!$B$25:$B$26,'Sample Size cal and results'!$D$25:$D$26)</f>
        <v>286.59959438706619</v>
      </c>
    </row>
    <row r="559" spans="1:9" ht="13">
      <c r="A559" s="131" t="s">
        <v>1448</v>
      </c>
      <c r="B559" s="53">
        <v>41869</v>
      </c>
      <c r="C559" s="52">
        <v>295</v>
      </c>
      <c r="D559" s="72" t="str">
        <f>IF(DATEDIF($B559,'Inst summary and ER calculation'!$T$6,"y")=1,"1-2 years","2-3 years")</f>
        <v>2-3 years</v>
      </c>
      <c r="E559" s="69">
        <f t="shared" si="27"/>
        <v>0.58082191780821912</v>
      </c>
      <c r="F559" s="69">
        <f>$C559*E559*_xlfn.XLOOKUP($D559,'Sample Size cal and results'!$B$23:$B$24,'Sample Size cal and results'!$D$23:$D$24)</f>
        <v>174.48484086097159</v>
      </c>
      <c r="G559" s="72" t="str">
        <f>IF(DATEDIF($B559,'Inst summary and ER calculation'!$U$6,"y")=2,"2-3 years","3-4 years")</f>
        <v>3-4 years</v>
      </c>
      <c r="H559" s="69">
        <f t="shared" si="28"/>
        <v>1</v>
      </c>
      <c r="I559" s="142">
        <f>$C559*H559*_xlfn.XLOOKUP($G559,'Sample Size cal and results'!$B$25:$B$26,'Sample Size cal and results'!$D$25:$D$26)</f>
        <v>293.56555675064072</v>
      </c>
    </row>
    <row r="560" spans="1:9" ht="13">
      <c r="A560" s="131" t="s">
        <v>1448</v>
      </c>
      <c r="B560" s="53">
        <v>41870</v>
      </c>
      <c r="C560" s="52">
        <v>268</v>
      </c>
      <c r="D560" s="72" t="str">
        <f>IF(DATEDIF($B560,'Inst summary and ER calculation'!$T$6,"y")=1,"1-2 years","2-3 years")</f>
        <v>2-3 years</v>
      </c>
      <c r="E560" s="69">
        <f t="shared" si="27"/>
        <v>0.58082191780821912</v>
      </c>
      <c r="F560" s="69">
        <f>$C560*E560*_xlfn.XLOOKUP($D560,'Sample Size cal and results'!$B$23:$B$24,'Sample Size cal and results'!$D$23:$D$24)</f>
        <v>158.51504186691656</v>
      </c>
      <c r="G560" s="72" t="str">
        <f>IF(DATEDIF($B560,'Inst summary and ER calculation'!$U$6,"y")=2,"2-3 years","3-4 years")</f>
        <v>3-4 years</v>
      </c>
      <c r="H560" s="69">
        <f t="shared" si="28"/>
        <v>1</v>
      </c>
      <c r="I560" s="142">
        <f>$C560*H560*_xlfn.XLOOKUP($G560,'Sample Size cal and results'!$B$25:$B$26,'Sample Size cal and results'!$D$25:$D$26)</f>
        <v>266.69684477685325</v>
      </c>
    </row>
    <row r="561" spans="1:9" ht="13">
      <c r="A561" s="131" t="s">
        <v>1448</v>
      </c>
      <c r="B561" s="53">
        <v>41871</v>
      </c>
      <c r="C561" s="52">
        <v>297</v>
      </c>
      <c r="D561" s="72" t="str">
        <f>IF(DATEDIF($B561,'Inst summary and ER calculation'!$T$6,"y")=1,"1-2 years","2-3 years")</f>
        <v>2-3 years</v>
      </c>
      <c r="E561" s="69">
        <f t="shared" si="27"/>
        <v>0.58082191780821912</v>
      </c>
      <c r="F561" s="69">
        <f>$C561*E561*_xlfn.XLOOKUP($D561,'Sample Size cal and results'!$B$23:$B$24,'Sample Size cal and results'!$D$23:$D$24)</f>
        <v>175.66778893460531</v>
      </c>
      <c r="G561" s="72" t="str">
        <f>IF(DATEDIF($B561,'Inst summary and ER calculation'!$U$6,"y")=2,"2-3 years","3-4 years")</f>
        <v>3-4 years</v>
      </c>
      <c r="H561" s="69">
        <f t="shared" si="28"/>
        <v>1</v>
      </c>
      <c r="I561" s="142">
        <f>$C561*H561*_xlfn.XLOOKUP($G561,'Sample Size cal and results'!$B$25:$B$26,'Sample Size cal and results'!$D$25:$D$26)</f>
        <v>295.55583171166205</v>
      </c>
    </row>
    <row r="562" spans="1:9" ht="13">
      <c r="A562" s="131" t="s">
        <v>1448</v>
      </c>
      <c r="B562" s="53">
        <v>41872</v>
      </c>
      <c r="C562" s="52">
        <v>410</v>
      </c>
      <c r="D562" s="72" t="str">
        <f>IF(DATEDIF($B562,'Inst summary and ER calculation'!$T$6,"y")=1,"1-2 years","2-3 years")</f>
        <v>2-3 years</v>
      </c>
      <c r="E562" s="69">
        <f t="shared" si="27"/>
        <v>0.58082191780821912</v>
      </c>
      <c r="F562" s="69">
        <f>$C562*E562*_xlfn.XLOOKUP($D562,'Sample Size cal and results'!$B$23:$B$24,'Sample Size cal and results'!$D$23:$D$24)</f>
        <v>242.50435509490964</v>
      </c>
      <c r="G562" s="72" t="str">
        <f>IF(DATEDIF($B562,'Inst summary and ER calculation'!$U$6,"y")=2,"2-3 years","3-4 years")</f>
        <v>3-4 years</v>
      </c>
      <c r="H562" s="69">
        <f t="shared" si="28"/>
        <v>1</v>
      </c>
      <c r="I562" s="142">
        <f>$C562*H562*_xlfn.XLOOKUP($G562,'Sample Size cal and results'!$B$25:$B$26,'Sample Size cal and results'!$D$25:$D$26)</f>
        <v>408.00636700936508</v>
      </c>
    </row>
    <row r="563" spans="1:9" ht="13">
      <c r="A563" s="131" t="s">
        <v>1448</v>
      </c>
      <c r="B563" s="53">
        <v>41873</v>
      </c>
      <c r="C563" s="52">
        <v>275</v>
      </c>
      <c r="D563" s="72" t="str">
        <f>IF(DATEDIF($B563,'Inst summary and ER calculation'!$T$6,"y")=1,"1-2 years","2-3 years")</f>
        <v>2-3 years</v>
      </c>
      <c r="E563" s="69">
        <f t="shared" si="27"/>
        <v>0.58082191780821912</v>
      </c>
      <c r="F563" s="69">
        <f>$C563*E563*_xlfn.XLOOKUP($D563,'Sample Size cal and results'!$B$23:$B$24,'Sample Size cal and results'!$D$23:$D$24)</f>
        <v>162.65536012463451</v>
      </c>
      <c r="G563" s="72" t="str">
        <f>IF(DATEDIF($B563,'Inst summary and ER calculation'!$U$6,"y")=2,"2-3 years","3-4 years")</f>
        <v>3-4 years</v>
      </c>
      <c r="H563" s="69">
        <f t="shared" si="28"/>
        <v>1</v>
      </c>
      <c r="I563" s="142">
        <f>$C563*H563*_xlfn.XLOOKUP($G563,'Sample Size cal and results'!$B$25:$B$26,'Sample Size cal and results'!$D$25:$D$26)</f>
        <v>273.66280714042779</v>
      </c>
    </row>
    <row r="564" spans="1:9" ht="13">
      <c r="A564" s="131" t="s">
        <v>1448</v>
      </c>
      <c r="B564" s="53">
        <v>41874</v>
      </c>
      <c r="C564" s="52">
        <v>259</v>
      </c>
      <c r="D564" s="72" t="str">
        <f>IF(DATEDIF($B564,'Inst summary and ER calculation'!$T$6,"y")=1,"1-2 years","2-3 years")</f>
        <v>2-3 years</v>
      </c>
      <c r="E564" s="69">
        <f t="shared" si="27"/>
        <v>0.58082191780821912</v>
      </c>
      <c r="F564" s="69">
        <f>$C564*E564*_xlfn.XLOOKUP($D564,'Sample Size cal and results'!$B$23:$B$24,'Sample Size cal and results'!$D$23:$D$24)</f>
        <v>153.19177553556489</v>
      </c>
      <c r="G564" s="72" t="str">
        <f>IF(DATEDIF($B564,'Inst summary and ER calculation'!$U$6,"y")=2,"2-3 years","3-4 years")</f>
        <v>3-4 years</v>
      </c>
      <c r="H564" s="69">
        <f t="shared" si="28"/>
        <v>1</v>
      </c>
      <c r="I564" s="142">
        <f>$C564*H564*_xlfn.XLOOKUP($G564,'Sample Size cal and results'!$B$25:$B$26,'Sample Size cal and results'!$D$25:$D$26)</f>
        <v>257.74060745225745</v>
      </c>
    </row>
    <row r="565" spans="1:9" ht="13">
      <c r="A565" s="131" t="s">
        <v>1448</v>
      </c>
      <c r="B565" s="53">
        <v>41875</v>
      </c>
      <c r="C565" s="52">
        <v>243</v>
      </c>
      <c r="D565" s="72" t="str">
        <f>IF(DATEDIF($B565,'Inst summary and ER calculation'!$T$6,"y")=1,"1-2 years","2-3 years")</f>
        <v>2-3 years</v>
      </c>
      <c r="E565" s="69">
        <f t="shared" si="27"/>
        <v>0.58082191780821912</v>
      </c>
      <c r="F565" s="69">
        <f>$C565*E565*_xlfn.XLOOKUP($D565,'Sample Size cal and results'!$B$23:$B$24,'Sample Size cal and results'!$D$23:$D$24)</f>
        <v>143.72819094649523</v>
      </c>
      <c r="G565" s="72" t="str">
        <f>IF(DATEDIF($B565,'Inst summary and ER calculation'!$U$6,"y")=2,"2-3 years","3-4 years")</f>
        <v>3-4 years</v>
      </c>
      <c r="H565" s="69">
        <f t="shared" si="28"/>
        <v>1</v>
      </c>
      <c r="I565" s="142">
        <f>$C565*H565*_xlfn.XLOOKUP($G565,'Sample Size cal and results'!$B$25:$B$26,'Sample Size cal and results'!$D$25:$D$26)</f>
        <v>241.81840776408711</v>
      </c>
    </row>
    <row r="566" spans="1:9" ht="13">
      <c r="A566" s="131" t="s">
        <v>1448</v>
      </c>
      <c r="B566" s="53">
        <v>41876</v>
      </c>
      <c r="C566" s="52">
        <v>304</v>
      </c>
      <c r="D566" s="72" t="str">
        <f>IF(DATEDIF($B566,'Inst summary and ER calculation'!$T$6,"y")=1,"1-2 years","2-3 years")</f>
        <v>2-3 years</v>
      </c>
      <c r="E566" s="69">
        <f t="shared" si="27"/>
        <v>0.58082191780821912</v>
      </c>
      <c r="F566" s="69">
        <f>$C566*E566*_xlfn.XLOOKUP($D566,'Sample Size cal and results'!$B$23:$B$24,'Sample Size cal and results'!$D$23:$D$24)</f>
        <v>179.80810719232326</v>
      </c>
      <c r="G566" s="72" t="str">
        <f>IF(DATEDIF($B566,'Inst summary and ER calculation'!$U$6,"y")=2,"2-3 years","3-4 years")</f>
        <v>3-4 years</v>
      </c>
      <c r="H566" s="69">
        <f t="shared" si="28"/>
        <v>1</v>
      </c>
      <c r="I566" s="142">
        <f>$C566*H566*_xlfn.XLOOKUP($G566,'Sample Size cal and results'!$B$25:$B$26,'Sample Size cal and results'!$D$25:$D$26)</f>
        <v>302.52179407523653</v>
      </c>
    </row>
    <row r="567" spans="1:9" ht="13">
      <c r="A567" s="131" t="s">
        <v>1448</v>
      </c>
      <c r="B567" s="53">
        <v>41877</v>
      </c>
      <c r="C567" s="52">
        <v>237</v>
      </c>
      <c r="D567" s="72" t="str">
        <f>IF(DATEDIF($B567,'Inst summary and ER calculation'!$T$6,"y")=1,"1-2 years","2-3 years")</f>
        <v>2-3 years</v>
      </c>
      <c r="E567" s="69">
        <f t="shared" si="27"/>
        <v>0.58082191780821912</v>
      </c>
      <c r="F567" s="69">
        <f>$C567*E567*_xlfn.XLOOKUP($D567,'Sample Size cal and results'!$B$23:$B$24,'Sample Size cal and results'!$D$23:$D$24)</f>
        <v>140.17934672559412</v>
      </c>
      <c r="G567" s="72" t="str">
        <f>IF(DATEDIF($B567,'Inst summary and ER calculation'!$U$6,"y")=2,"2-3 years","3-4 years")</f>
        <v>3-4 years</v>
      </c>
      <c r="H567" s="69">
        <f t="shared" si="28"/>
        <v>1</v>
      </c>
      <c r="I567" s="142">
        <f>$C567*H567*_xlfn.XLOOKUP($G567,'Sample Size cal and results'!$B$25:$B$26,'Sample Size cal and results'!$D$25:$D$26)</f>
        <v>235.84758288102324</v>
      </c>
    </row>
    <row r="568" spans="1:9" ht="13">
      <c r="A568" s="131" t="s">
        <v>1448</v>
      </c>
      <c r="B568" s="53">
        <v>41878</v>
      </c>
      <c r="C568" s="52">
        <v>234</v>
      </c>
      <c r="D568" s="72" t="str">
        <f>IF(DATEDIF($B568,'Inst summary and ER calculation'!$T$6,"y")=1,"1-2 years","2-3 years")</f>
        <v>2-3 years</v>
      </c>
      <c r="E568" s="69">
        <f t="shared" si="27"/>
        <v>0.58082191780821912</v>
      </c>
      <c r="F568" s="69">
        <f>$C568*E568*_xlfn.XLOOKUP($D568,'Sample Size cal and results'!$B$23:$B$24,'Sample Size cal and results'!$D$23:$D$24)</f>
        <v>138.40492461514356</v>
      </c>
      <c r="G568" s="72" t="str">
        <f>IF(DATEDIF($B568,'Inst summary and ER calculation'!$U$6,"y")=2,"2-3 years","3-4 years")</f>
        <v>3-4 years</v>
      </c>
      <c r="H568" s="69">
        <f t="shared" si="28"/>
        <v>1</v>
      </c>
      <c r="I568" s="142">
        <f>$C568*H568*_xlfn.XLOOKUP($G568,'Sample Size cal and results'!$B$25:$B$26,'Sample Size cal and results'!$D$25:$D$26)</f>
        <v>232.86217043949128</v>
      </c>
    </row>
    <row r="569" spans="1:9" ht="13">
      <c r="A569" s="131" t="s">
        <v>1449</v>
      </c>
      <c r="B569" s="53">
        <v>41878</v>
      </c>
      <c r="C569" s="52">
        <v>30</v>
      </c>
      <c r="D569" s="72" t="str">
        <f>IF(DATEDIF($B569,'Inst summary and ER calculation'!$T$6,"y")=1,"1-2 years","2-3 years")</f>
        <v>2-3 years</v>
      </c>
      <c r="E569" s="69">
        <f t="shared" si="27"/>
        <v>0.58082191780821912</v>
      </c>
      <c r="F569" s="69">
        <f>$C569*E569*_xlfn.XLOOKUP($D569,'Sample Size cal and results'!$B$23:$B$24,'Sample Size cal and results'!$D$23:$D$24)</f>
        <v>17.744221104505584</v>
      </c>
      <c r="G569" s="72" t="str">
        <f>IF(DATEDIF($B569,'Inst summary and ER calculation'!$U$6,"y")=2,"2-3 years","3-4 years")</f>
        <v>3-4 years</v>
      </c>
      <c r="H569" s="69">
        <f t="shared" si="28"/>
        <v>1</v>
      </c>
      <c r="I569" s="142">
        <f>$C569*H569*_xlfn.XLOOKUP($G569,'Sample Size cal and results'!$B$25:$B$26,'Sample Size cal and results'!$D$25:$D$26)</f>
        <v>29.854124415319397</v>
      </c>
    </row>
    <row r="570" spans="1:9" ht="13">
      <c r="A570" s="131" t="s">
        <v>1449</v>
      </c>
      <c r="B570" s="53">
        <v>41879</v>
      </c>
      <c r="C570" s="52">
        <v>258</v>
      </c>
      <c r="D570" s="72" t="str">
        <f>IF(DATEDIF($B570,'Inst summary and ER calculation'!$T$6,"y")=1,"1-2 years","2-3 years")</f>
        <v>2-3 years</v>
      </c>
      <c r="E570" s="69">
        <f t="shared" si="27"/>
        <v>0.58082191780821912</v>
      </c>
      <c r="F570" s="69">
        <f>$C570*E570*_xlfn.XLOOKUP($D570,'Sample Size cal and results'!$B$23:$B$24,'Sample Size cal and results'!$D$23:$D$24)</f>
        <v>152.60030149874802</v>
      </c>
      <c r="G570" s="72" t="str">
        <f>IF(DATEDIF($B570,'Inst summary and ER calculation'!$U$6,"y")=2,"2-3 years","3-4 years")</f>
        <v>3-4 years</v>
      </c>
      <c r="H570" s="69">
        <f t="shared" si="28"/>
        <v>1</v>
      </c>
      <c r="I570" s="142">
        <f>$C570*H570*_xlfn.XLOOKUP($G570,'Sample Size cal and results'!$B$25:$B$26,'Sample Size cal and results'!$D$25:$D$26)</f>
        <v>256.74546997174679</v>
      </c>
    </row>
    <row r="571" spans="1:9" ht="13">
      <c r="A571" s="131" t="s">
        <v>1449</v>
      </c>
      <c r="B571" s="53">
        <v>41880</v>
      </c>
      <c r="C571" s="52">
        <v>228</v>
      </c>
      <c r="D571" s="72" t="str">
        <f>IF(DATEDIF($B571,'Inst summary and ER calculation'!$T$6,"y")=1,"1-2 years","2-3 years")</f>
        <v>2-3 years</v>
      </c>
      <c r="E571" s="69">
        <f t="shared" si="27"/>
        <v>0.58082191780821912</v>
      </c>
      <c r="F571" s="69">
        <f>$C571*E571*_xlfn.XLOOKUP($D571,'Sample Size cal and results'!$B$23:$B$24,'Sample Size cal and results'!$D$23:$D$24)</f>
        <v>134.85608039424244</v>
      </c>
      <c r="G571" s="72" t="str">
        <f>IF(DATEDIF($B571,'Inst summary and ER calculation'!$U$6,"y")=2,"2-3 years","3-4 years")</f>
        <v>3-4 years</v>
      </c>
      <c r="H571" s="69">
        <f t="shared" si="28"/>
        <v>1</v>
      </c>
      <c r="I571" s="142">
        <f>$C571*H571*_xlfn.XLOOKUP($G571,'Sample Size cal and results'!$B$25:$B$26,'Sample Size cal and results'!$D$25:$D$26)</f>
        <v>226.89134555642741</v>
      </c>
    </row>
    <row r="572" spans="1:9" ht="13">
      <c r="A572" s="131" t="s">
        <v>1449</v>
      </c>
      <c r="B572" s="53">
        <v>41881</v>
      </c>
      <c r="C572" s="52">
        <v>220</v>
      </c>
      <c r="D572" s="72" t="str">
        <f>IF(DATEDIF($B572,'Inst summary and ER calculation'!$T$6,"y")=1,"1-2 years","2-3 years")</f>
        <v>2-3 years</v>
      </c>
      <c r="E572" s="69">
        <f t="shared" si="27"/>
        <v>0.58082191780821912</v>
      </c>
      <c r="F572" s="69">
        <f>$C572*E572*_xlfn.XLOOKUP($D572,'Sample Size cal and results'!$B$23:$B$24,'Sample Size cal and results'!$D$23:$D$24)</f>
        <v>130.12428809970763</v>
      </c>
      <c r="G572" s="72" t="str">
        <f>IF(DATEDIF($B572,'Inst summary and ER calculation'!$U$6,"y")=2,"2-3 years","3-4 years")</f>
        <v>3-4 years</v>
      </c>
      <c r="H572" s="69">
        <f t="shared" si="28"/>
        <v>1</v>
      </c>
      <c r="I572" s="142">
        <f>$C572*H572*_xlfn.XLOOKUP($G572,'Sample Size cal and results'!$B$25:$B$26,'Sample Size cal and results'!$D$25:$D$26)</f>
        <v>218.93024571234224</v>
      </c>
    </row>
    <row r="573" spans="1:9" ht="13">
      <c r="A573" s="131" t="s">
        <v>1449</v>
      </c>
      <c r="B573" s="53">
        <v>41882</v>
      </c>
      <c r="C573" s="52">
        <v>76</v>
      </c>
      <c r="D573" s="72" t="str">
        <f>IF(DATEDIF($B573,'Inst summary and ER calculation'!$T$6,"y")=1,"1-2 years","2-3 years")</f>
        <v>2-3 years</v>
      </c>
      <c r="E573" s="69">
        <f t="shared" si="27"/>
        <v>0.58082191780821912</v>
      </c>
      <c r="F573" s="69">
        <f>$C573*E573*_xlfn.XLOOKUP($D573,'Sample Size cal and results'!$B$23:$B$24,'Sample Size cal and results'!$D$23:$D$24)</f>
        <v>44.952026798080816</v>
      </c>
      <c r="G573" s="72" t="str">
        <f>IF(DATEDIF($B573,'Inst summary and ER calculation'!$U$6,"y")=2,"2-3 years","3-4 years")</f>
        <v>3-4 years</v>
      </c>
      <c r="H573" s="69">
        <f t="shared" si="28"/>
        <v>1</v>
      </c>
      <c r="I573" s="142">
        <f>$C573*H573*_xlfn.XLOOKUP($G573,'Sample Size cal and results'!$B$25:$B$26,'Sample Size cal and results'!$D$25:$D$26)</f>
        <v>75.630448518809132</v>
      </c>
    </row>
    <row r="574" spans="1:9" ht="13">
      <c r="A574" s="131" t="s">
        <v>1449</v>
      </c>
      <c r="B574" s="53">
        <v>41883</v>
      </c>
      <c r="C574" s="52">
        <v>1474</v>
      </c>
      <c r="D574" s="72" t="str">
        <f>IF(DATEDIF($B574,'Inst summary and ER calculation'!$T$6,"y")=1,"1-2 years","2-3 years")</f>
        <v>2-3 years</v>
      </c>
      <c r="E574" s="69">
        <f t="shared" si="27"/>
        <v>0.58082191780821912</v>
      </c>
      <c r="F574" s="69">
        <f>$C574*E574*_xlfn.XLOOKUP($D574,'Sample Size cal and results'!$B$23:$B$24,'Sample Size cal and results'!$D$23:$D$24)</f>
        <v>871.83273026804102</v>
      </c>
      <c r="G574" s="72" t="str">
        <f>IF(DATEDIF($B574,'Inst summary and ER calculation'!$U$6,"y")=2,"2-3 years","3-4 years")</f>
        <v>3-4 years</v>
      </c>
      <c r="H574" s="69">
        <f t="shared" si="28"/>
        <v>1</v>
      </c>
      <c r="I574" s="142">
        <f>$C574*H574*_xlfn.XLOOKUP($G574,'Sample Size cal and results'!$B$25:$B$26,'Sample Size cal and results'!$D$25:$D$26)</f>
        <v>1466.832646272693</v>
      </c>
    </row>
    <row r="575" spans="1:9" ht="13">
      <c r="A575" s="131" t="s">
        <v>1449</v>
      </c>
      <c r="B575" s="53">
        <v>41884</v>
      </c>
      <c r="C575" s="52">
        <v>33</v>
      </c>
      <c r="D575" s="72" t="str">
        <f>IF(DATEDIF($B575,'Inst summary and ER calculation'!$T$6,"y")=1,"1-2 years","2-3 years")</f>
        <v>2-3 years</v>
      </c>
      <c r="E575" s="69">
        <f t="shared" si="27"/>
        <v>0.58082191780821912</v>
      </c>
      <c r="F575" s="69">
        <f>$C575*E575*_xlfn.XLOOKUP($D575,'Sample Size cal and results'!$B$23:$B$24,'Sample Size cal and results'!$D$23:$D$24)</f>
        <v>19.518643214956143</v>
      </c>
      <c r="G575" s="72" t="str">
        <f>IF(DATEDIF($B575,'Inst summary and ER calculation'!$U$6,"y")=2,"2-3 years","3-4 years")</f>
        <v>3-4 years</v>
      </c>
      <c r="H575" s="69">
        <f t="shared" si="28"/>
        <v>1</v>
      </c>
      <c r="I575" s="142">
        <f>$C575*H575*_xlfn.XLOOKUP($G575,'Sample Size cal and results'!$B$25:$B$26,'Sample Size cal and results'!$D$25:$D$26)</f>
        <v>32.839536856851339</v>
      </c>
    </row>
    <row r="576" spans="1:9" ht="13">
      <c r="A576" s="131" t="s">
        <v>1449</v>
      </c>
      <c r="B576" s="53">
        <v>41885</v>
      </c>
      <c r="C576" s="52">
        <v>29</v>
      </c>
      <c r="D576" s="72" t="str">
        <f>IF(DATEDIF($B576,'Inst summary and ER calculation'!$T$6,"y")=1,"1-2 years","2-3 years")</f>
        <v>2-3 years</v>
      </c>
      <c r="E576" s="69">
        <f t="shared" si="27"/>
        <v>0.58082191780821912</v>
      </c>
      <c r="F576" s="69">
        <f>$C576*E576*_xlfn.XLOOKUP($D576,'Sample Size cal and results'!$B$23:$B$24,'Sample Size cal and results'!$D$23:$D$24)</f>
        <v>17.152747067688733</v>
      </c>
      <c r="G576" s="72" t="str">
        <f>IF(DATEDIF($B576,'Inst summary and ER calculation'!$U$6,"y")=2,"2-3 years","3-4 years")</f>
        <v>3-4 years</v>
      </c>
      <c r="H576" s="69">
        <f t="shared" si="28"/>
        <v>1</v>
      </c>
      <c r="I576" s="142">
        <f>$C576*H576*_xlfn.XLOOKUP($G576,'Sample Size cal and results'!$B$25:$B$26,'Sample Size cal and results'!$D$25:$D$26)</f>
        <v>28.858986934808751</v>
      </c>
    </row>
    <row r="577" spans="1:9" ht="13">
      <c r="A577" s="131" t="s">
        <v>1449</v>
      </c>
      <c r="B577" s="53">
        <v>41886</v>
      </c>
      <c r="C577" s="52">
        <v>38</v>
      </c>
      <c r="D577" s="72" t="str">
        <f>IF(DATEDIF($B577,'Inst summary and ER calculation'!$T$6,"y")=1,"1-2 years","2-3 years")</f>
        <v>2-3 years</v>
      </c>
      <c r="E577" s="69">
        <f t="shared" si="27"/>
        <v>0.58082191780821912</v>
      </c>
      <c r="F577" s="69">
        <f>$C577*E577*_xlfn.XLOOKUP($D577,'Sample Size cal and results'!$B$23:$B$24,'Sample Size cal and results'!$D$23:$D$24)</f>
        <v>22.476013399040408</v>
      </c>
      <c r="G577" s="72" t="str">
        <f>IF(DATEDIF($B577,'Inst summary and ER calculation'!$U$6,"y")=2,"2-3 years","3-4 years")</f>
        <v>3-4 years</v>
      </c>
      <c r="H577" s="69">
        <f t="shared" si="28"/>
        <v>1</v>
      </c>
      <c r="I577" s="142">
        <f>$C577*H577*_xlfn.XLOOKUP($G577,'Sample Size cal and results'!$B$25:$B$26,'Sample Size cal and results'!$D$25:$D$26)</f>
        <v>37.815224259404566</v>
      </c>
    </row>
    <row r="578" spans="1:9" ht="13">
      <c r="A578" s="131" t="s">
        <v>1449</v>
      </c>
      <c r="B578" s="53">
        <v>41887</v>
      </c>
      <c r="C578" s="52">
        <v>44</v>
      </c>
      <c r="D578" s="72" t="str">
        <f>IF(DATEDIF($B578,'Inst summary and ER calculation'!$T$6,"y")=1,"1-2 years","2-3 years")</f>
        <v>2-3 years</v>
      </c>
      <c r="E578" s="69">
        <f t="shared" si="27"/>
        <v>0.58082191780821912</v>
      </c>
      <c r="F578" s="69">
        <f>$C578*E578*_xlfn.XLOOKUP($D578,'Sample Size cal and results'!$B$23:$B$24,'Sample Size cal and results'!$D$23:$D$24)</f>
        <v>26.024857619941521</v>
      </c>
      <c r="G578" s="72" t="str">
        <f>IF(DATEDIF($B578,'Inst summary and ER calculation'!$U$6,"y")=2,"2-3 years","3-4 years")</f>
        <v>3-4 years</v>
      </c>
      <c r="H578" s="69">
        <f t="shared" si="28"/>
        <v>1</v>
      </c>
      <c r="I578" s="142">
        <f>$C578*H578*_xlfn.XLOOKUP($G578,'Sample Size cal and results'!$B$25:$B$26,'Sample Size cal and results'!$D$25:$D$26)</f>
        <v>43.78604914246845</v>
      </c>
    </row>
    <row r="579" spans="1:9" ht="13">
      <c r="A579" s="131" t="s">
        <v>1449</v>
      </c>
      <c r="B579" s="53">
        <v>41888</v>
      </c>
      <c r="C579" s="52">
        <v>50</v>
      </c>
      <c r="D579" s="72" t="str">
        <f>IF(DATEDIF($B579,'Inst summary and ER calculation'!$T$6,"y")=1,"1-2 years","2-3 years")</f>
        <v>2-3 years</v>
      </c>
      <c r="E579" s="69">
        <f t="shared" si="27"/>
        <v>0.58082191780821912</v>
      </c>
      <c r="F579" s="69">
        <f>$C579*E579*_xlfn.XLOOKUP($D579,'Sample Size cal and results'!$B$23:$B$24,'Sample Size cal and results'!$D$23:$D$24)</f>
        <v>29.573701840842642</v>
      </c>
      <c r="G579" s="72" t="str">
        <f>IF(DATEDIF($B579,'Inst summary and ER calculation'!$U$6,"y")=2,"2-3 years","3-4 years")</f>
        <v>3-4 years</v>
      </c>
      <c r="H579" s="69">
        <f t="shared" si="28"/>
        <v>1</v>
      </c>
      <c r="I579" s="142">
        <f>$C579*H579*_xlfn.XLOOKUP($G579,'Sample Size cal and results'!$B$25:$B$26,'Sample Size cal and results'!$D$25:$D$26)</f>
        <v>49.756874025532326</v>
      </c>
    </row>
    <row r="580" spans="1:9" ht="13">
      <c r="A580" s="131" t="s">
        <v>1449</v>
      </c>
      <c r="B580" s="53">
        <v>41889</v>
      </c>
      <c r="C580" s="52">
        <v>45</v>
      </c>
      <c r="D580" s="72" t="str">
        <f>IF(DATEDIF($B580,'Inst summary and ER calculation'!$T$6,"y")=1,"1-2 years","2-3 years")</f>
        <v>2-3 years</v>
      </c>
      <c r="E580" s="69">
        <f t="shared" si="27"/>
        <v>0.58082191780821912</v>
      </c>
      <c r="F580" s="69">
        <f>$C580*E580*_xlfn.XLOOKUP($D580,'Sample Size cal and results'!$B$23:$B$24,'Sample Size cal and results'!$D$23:$D$24)</f>
        <v>26.616331656758376</v>
      </c>
      <c r="G580" s="72" t="str">
        <f>IF(DATEDIF($B580,'Inst summary and ER calculation'!$U$6,"y")=2,"2-3 years","3-4 years")</f>
        <v>3-4 years</v>
      </c>
      <c r="H580" s="69">
        <f t="shared" si="28"/>
        <v>1</v>
      </c>
      <c r="I580" s="142">
        <f>$C580*H580*_xlfn.XLOOKUP($G580,'Sample Size cal and results'!$B$25:$B$26,'Sample Size cal and results'!$D$25:$D$26)</f>
        <v>44.781186622979092</v>
      </c>
    </row>
    <row r="581" spans="1:9" ht="13">
      <c r="A581" s="131" t="s">
        <v>1449</v>
      </c>
      <c r="B581" s="53">
        <v>41890</v>
      </c>
      <c r="C581" s="52">
        <v>29</v>
      </c>
      <c r="D581" s="72" t="str">
        <f>IF(DATEDIF($B581,'Inst summary and ER calculation'!$T$6,"y")=1,"1-2 years","2-3 years")</f>
        <v>2-3 years</v>
      </c>
      <c r="E581" s="69">
        <f t="shared" si="27"/>
        <v>0.58082191780821912</v>
      </c>
      <c r="F581" s="69">
        <f>$C581*E581*_xlfn.XLOOKUP($D581,'Sample Size cal and results'!$B$23:$B$24,'Sample Size cal and results'!$D$23:$D$24)</f>
        <v>17.152747067688733</v>
      </c>
      <c r="G581" s="72" t="str">
        <f>IF(DATEDIF($B581,'Inst summary and ER calculation'!$U$6,"y")=2,"2-3 years","3-4 years")</f>
        <v>3-4 years</v>
      </c>
      <c r="H581" s="69">
        <f t="shared" si="28"/>
        <v>1</v>
      </c>
      <c r="I581" s="142">
        <f>$C581*H581*_xlfn.XLOOKUP($G581,'Sample Size cal and results'!$B$25:$B$26,'Sample Size cal and results'!$D$25:$D$26)</f>
        <v>28.858986934808751</v>
      </c>
    </row>
    <row r="582" spans="1:9" ht="13">
      <c r="A582" s="131" t="s">
        <v>1449</v>
      </c>
      <c r="B582" s="53">
        <v>41891</v>
      </c>
      <c r="C582" s="52">
        <v>44</v>
      </c>
      <c r="D582" s="72" t="str">
        <f>IF(DATEDIF($B582,'Inst summary and ER calculation'!$T$6,"y")=1,"1-2 years","2-3 years")</f>
        <v>2-3 years</v>
      </c>
      <c r="E582" s="69">
        <f t="shared" si="27"/>
        <v>0.58082191780821912</v>
      </c>
      <c r="F582" s="69">
        <f>$C582*E582*_xlfn.XLOOKUP($D582,'Sample Size cal and results'!$B$23:$B$24,'Sample Size cal and results'!$D$23:$D$24)</f>
        <v>26.024857619941521</v>
      </c>
      <c r="G582" s="72" t="str">
        <f>IF(DATEDIF($B582,'Inst summary and ER calculation'!$U$6,"y")=2,"2-3 years","3-4 years")</f>
        <v>3-4 years</v>
      </c>
      <c r="H582" s="69">
        <f t="shared" si="28"/>
        <v>1</v>
      </c>
      <c r="I582" s="142">
        <f>$C582*H582*_xlfn.XLOOKUP($G582,'Sample Size cal and results'!$B$25:$B$26,'Sample Size cal and results'!$D$25:$D$26)</f>
        <v>43.78604914246845</v>
      </c>
    </row>
    <row r="583" spans="1:9" ht="13">
      <c r="A583" s="131" t="s">
        <v>1449</v>
      </c>
      <c r="B583" s="53">
        <v>41892</v>
      </c>
      <c r="C583" s="52">
        <v>30</v>
      </c>
      <c r="D583" s="72" t="str">
        <f>IF(DATEDIF($B583,'Inst summary and ER calculation'!$T$6,"y")=1,"1-2 years","2-3 years")</f>
        <v>2-3 years</v>
      </c>
      <c r="E583" s="69">
        <f t="shared" si="27"/>
        <v>0.58082191780821912</v>
      </c>
      <c r="F583" s="69">
        <f>$C583*E583*_xlfn.XLOOKUP($D583,'Sample Size cal and results'!$B$23:$B$24,'Sample Size cal and results'!$D$23:$D$24)</f>
        <v>17.744221104505584</v>
      </c>
      <c r="G583" s="72" t="str">
        <f>IF(DATEDIF($B583,'Inst summary and ER calculation'!$U$6,"y")=2,"2-3 years","3-4 years")</f>
        <v>3-4 years</v>
      </c>
      <c r="H583" s="69">
        <f t="shared" si="28"/>
        <v>1</v>
      </c>
      <c r="I583" s="142">
        <f>$C583*H583*_xlfn.XLOOKUP($G583,'Sample Size cal and results'!$B$25:$B$26,'Sample Size cal and results'!$D$25:$D$26)</f>
        <v>29.854124415319397</v>
      </c>
    </row>
    <row r="584" spans="1:9" ht="13">
      <c r="A584" s="131" t="s">
        <v>1449</v>
      </c>
      <c r="B584" s="53">
        <v>41893</v>
      </c>
      <c r="C584" s="52">
        <v>150</v>
      </c>
      <c r="D584" s="72" t="str">
        <f>IF(DATEDIF($B584,'Inst summary and ER calculation'!$T$6,"y")=1,"1-2 years","2-3 years")</f>
        <v>2-3 years</v>
      </c>
      <c r="E584" s="69">
        <f t="shared" si="27"/>
        <v>0.58082191780821912</v>
      </c>
      <c r="F584" s="69">
        <f>$C584*E584*_xlfn.XLOOKUP($D584,'Sample Size cal and results'!$B$23:$B$24,'Sample Size cal and results'!$D$23:$D$24)</f>
        <v>88.721105522527921</v>
      </c>
      <c r="G584" s="72" t="str">
        <f>IF(DATEDIF($B584,'Inst summary and ER calculation'!$U$6,"y")=2,"2-3 years","3-4 years")</f>
        <v>3-4 years</v>
      </c>
      <c r="H584" s="69">
        <f t="shared" si="28"/>
        <v>1</v>
      </c>
      <c r="I584" s="142">
        <f>$C584*H584*_xlfn.XLOOKUP($G584,'Sample Size cal and results'!$B$25:$B$26,'Sample Size cal and results'!$D$25:$D$26)</f>
        <v>149.27062207659699</v>
      </c>
    </row>
    <row r="585" spans="1:9" ht="13">
      <c r="A585" s="131" t="s">
        <v>1449</v>
      </c>
      <c r="B585" s="53">
        <v>41894</v>
      </c>
      <c r="C585" s="52">
        <v>19</v>
      </c>
      <c r="D585" s="72" t="str">
        <f>IF(DATEDIF($B585,'Inst summary and ER calculation'!$T$6,"y")=1,"1-2 years","2-3 years")</f>
        <v>2-3 years</v>
      </c>
      <c r="E585" s="69">
        <f t="shared" si="27"/>
        <v>0.58082191780821912</v>
      </c>
      <c r="F585" s="69">
        <f>$C585*E585*_xlfn.XLOOKUP($D585,'Sample Size cal and results'!$B$23:$B$24,'Sample Size cal and results'!$D$23:$D$24)</f>
        <v>11.238006699520204</v>
      </c>
      <c r="G585" s="72" t="str">
        <f>IF(DATEDIF($B585,'Inst summary and ER calculation'!$U$6,"y")=2,"2-3 years","3-4 years")</f>
        <v>3-4 years</v>
      </c>
      <c r="H585" s="69">
        <f t="shared" si="28"/>
        <v>1</v>
      </c>
      <c r="I585" s="142">
        <f>$C585*H585*_xlfn.XLOOKUP($G585,'Sample Size cal and results'!$B$25:$B$26,'Sample Size cal and results'!$D$25:$D$26)</f>
        <v>18.907612129702283</v>
      </c>
    </row>
    <row r="586" spans="1:9" ht="13">
      <c r="A586" s="131" t="s">
        <v>1449</v>
      </c>
      <c r="B586" s="53">
        <v>41895</v>
      </c>
      <c r="C586" s="52">
        <v>19</v>
      </c>
      <c r="D586" s="72" t="str">
        <f>IF(DATEDIF($B586,'Inst summary and ER calculation'!$T$6,"y")=1,"1-2 years","2-3 years")</f>
        <v>2-3 years</v>
      </c>
      <c r="E586" s="69">
        <f t="shared" si="27"/>
        <v>0.58082191780821912</v>
      </c>
      <c r="F586" s="69">
        <f>$C586*E586*_xlfn.XLOOKUP($D586,'Sample Size cal and results'!$B$23:$B$24,'Sample Size cal and results'!$D$23:$D$24)</f>
        <v>11.238006699520204</v>
      </c>
      <c r="G586" s="72" t="str">
        <f>IF(DATEDIF($B586,'Inst summary and ER calculation'!$U$6,"y")=2,"2-3 years","3-4 years")</f>
        <v>3-4 years</v>
      </c>
      <c r="H586" s="69">
        <f t="shared" si="28"/>
        <v>1</v>
      </c>
      <c r="I586" s="142">
        <f>$C586*H586*_xlfn.XLOOKUP($G586,'Sample Size cal and results'!$B$25:$B$26,'Sample Size cal and results'!$D$25:$D$26)</f>
        <v>18.907612129702283</v>
      </c>
    </row>
    <row r="587" spans="1:9" ht="13">
      <c r="A587" s="131" t="s">
        <v>1449</v>
      </c>
      <c r="B587" s="53">
        <v>41896</v>
      </c>
      <c r="C587" s="52">
        <v>17</v>
      </c>
      <c r="D587" s="72" t="str">
        <f>IF(DATEDIF($B587,'Inst summary and ER calculation'!$T$6,"y")=1,"1-2 years","2-3 years")</f>
        <v>2-3 years</v>
      </c>
      <c r="E587" s="69">
        <f t="shared" si="27"/>
        <v>0.58082191780821912</v>
      </c>
      <c r="F587" s="69">
        <f>$C587*E587*_xlfn.XLOOKUP($D587,'Sample Size cal and results'!$B$23:$B$24,'Sample Size cal and results'!$D$23:$D$24)</f>
        <v>10.055058625886497</v>
      </c>
      <c r="G587" s="72" t="str">
        <f>IF(DATEDIF($B587,'Inst summary and ER calculation'!$U$6,"y")=2,"2-3 years","3-4 years")</f>
        <v>3-4 years</v>
      </c>
      <c r="H587" s="69">
        <f t="shared" si="28"/>
        <v>1</v>
      </c>
      <c r="I587" s="142">
        <f>$C587*H587*_xlfn.XLOOKUP($G587,'Sample Size cal and results'!$B$25:$B$26,'Sample Size cal and results'!$D$25:$D$26)</f>
        <v>16.917337168680991</v>
      </c>
    </row>
    <row r="588" spans="1:9" ht="13">
      <c r="A588" s="131" t="s">
        <v>1449</v>
      </c>
      <c r="B588" s="53">
        <v>41897</v>
      </c>
      <c r="C588" s="52">
        <v>110</v>
      </c>
      <c r="D588" s="72" t="str">
        <f>IF(DATEDIF($B588,'Inst summary and ER calculation'!$T$6,"y")=1,"1-2 years","2-3 years")</f>
        <v>2-3 years</v>
      </c>
      <c r="E588" s="69">
        <f t="shared" si="27"/>
        <v>0.58082191780821912</v>
      </c>
      <c r="F588" s="69">
        <f>$C588*E588*_xlfn.XLOOKUP($D588,'Sample Size cal and results'!$B$23:$B$24,'Sample Size cal and results'!$D$23:$D$24)</f>
        <v>65.062144049853813</v>
      </c>
      <c r="G588" s="72" t="str">
        <f>IF(DATEDIF($B588,'Inst summary and ER calculation'!$U$6,"y")=2,"2-3 years","3-4 years")</f>
        <v>3-4 years</v>
      </c>
      <c r="H588" s="69">
        <f t="shared" si="28"/>
        <v>1</v>
      </c>
      <c r="I588" s="142">
        <f>$C588*H588*_xlfn.XLOOKUP($G588,'Sample Size cal and results'!$B$25:$B$26,'Sample Size cal and results'!$D$25:$D$26)</f>
        <v>109.46512285617112</v>
      </c>
    </row>
    <row r="589" spans="1:9" ht="13">
      <c r="A589" s="131" t="s">
        <v>127</v>
      </c>
      <c r="B589" s="53">
        <v>41897</v>
      </c>
      <c r="C589" s="52">
        <v>42</v>
      </c>
      <c r="D589" s="72" t="str">
        <f>IF(DATEDIF($B589,'Inst summary and ER calculation'!$T$6,"y")=1,"1-2 years","2-3 years")</f>
        <v>2-3 years</v>
      </c>
      <c r="E589" s="69">
        <f t="shared" si="27"/>
        <v>0.58082191780821912</v>
      </c>
      <c r="F589" s="69">
        <f>$C589*E589*_xlfn.XLOOKUP($D589,'Sample Size cal and results'!$B$23:$B$24,'Sample Size cal and results'!$D$23:$D$24)</f>
        <v>24.841909546307818</v>
      </c>
      <c r="G589" s="72" t="str">
        <f>IF(DATEDIF($B589,'Inst summary and ER calculation'!$U$6,"y")=2,"2-3 years","3-4 years")</f>
        <v>3-4 years</v>
      </c>
      <c r="H589" s="69">
        <f t="shared" si="28"/>
        <v>1</v>
      </c>
      <c r="I589" s="142">
        <f>$C589*H589*_xlfn.XLOOKUP($G589,'Sample Size cal and results'!$B$25:$B$26,'Sample Size cal and results'!$D$25:$D$26)</f>
        <v>41.795774181447158</v>
      </c>
    </row>
    <row r="590" spans="1:9" ht="13">
      <c r="A590" s="131" t="s">
        <v>127</v>
      </c>
      <c r="B590" s="53">
        <v>41898</v>
      </c>
      <c r="C590" s="52">
        <v>19</v>
      </c>
      <c r="D590" s="72" t="str">
        <f>IF(DATEDIF($B590,'Inst summary and ER calculation'!$T$6,"y")=1,"1-2 years","2-3 years")</f>
        <v>2-3 years</v>
      </c>
      <c r="E590" s="69">
        <f t="shared" si="27"/>
        <v>0.58082191780821912</v>
      </c>
      <c r="F590" s="69">
        <f>$C590*E590*_xlfn.XLOOKUP($D590,'Sample Size cal and results'!$B$23:$B$24,'Sample Size cal and results'!$D$23:$D$24)</f>
        <v>11.238006699520204</v>
      </c>
      <c r="G590" s="72" t="str">
        <f>IF(DATEDIF($B590,'Inst summary and ER calculation'!$U$6,"y")=2,"2-3 years","3-4 years")</f>
        <v>3-4 years</v>
      </c>
      <c r="H590" s="69">
        <f t="shared" si="28"/>
        <v>1</v>
      </c>
      <c r="I590" s="142">
        <f>$C590*H590*_xlfn.XLOOKUP($G590,'Sample Size cal and results'!$B$25:$B$26,'Sample Size cal and results'!$D$25:$D$26)</f>
        <v>18.907612129702283</v>
      </c>
    </row>
    <row r="591" spans="1:9" ht="13">
      <c r="A591" s="131" t="s">
        <v>127</v>
      </c>
      <c r="B591" s="53">
        <v>41899</v>
      </c>
      <c r="C591" s="52">
        <v>30</v>
      </c>
      <c r="D591" s="72" t="str">
        <f>IF(DATEDIF($B591,'Inst summary and ER calculation'!$T$6,"y")=1,"1-2 years","2-3 years")</f>
        <v>2-3 years</v>
      </c>
      <c r="E591" s="69">
        <f t="shared" si="27"/>
        <v>0.58082191780821912</v>
      </c>
      <c r="F591" s="69">
        <f>$C591*E591*_xlfn.XLOOKUP($D591,'Sample Size cal and results'!$B$23:$B$24,'Sample Size cal and results'!$D$23:$D$24)</f>
        <v>17.744221104505584</v>
      </c>
      <c r="G591" s="72" t="str">
        <f>IF(DATEDIF($B591,'Inst summary and ER calculation'!$U$6,"y")=2,"2-3 years","3-4 years")</f>
        <v>3-4 years</v>
      </c>
      <c r="H591" s="69">
        <f t="shared" si="28"/>
        <v>1</v>
      </c>
      <c r="I591" s="142">
        <f>$C591*H591*_xlfn.XLOOKUP($G591,'Sample Size cal and results'!$B$25:$B$26,'Sample Size cal and results'!$D$25:$D$26)</f>
        <v>29.854124415319397</v>
      </c>
    </row>
    <row r="592" spans="1:9" ht="13">
      <c r="A592" s="131" t="s">
        <v>127</v>
      </c>
      <c r="B592" s="53">
        <v>41900</v>
      </c>
      <c r="C592" s="52">
        <v>31</v>
      </c>
      <c r="D592" s="72" t="str">
        <f>IF(DATEDIF($B592,'Inst summary and ER calculation'!$T$6,"y")=1,"1-2 years","2-3 years")</f>
        <v>2-3 years</v>
      </c>
      <c r="E592" s="69">
        <f t="shared" si="27"/>
        <v>0.58082191780821912</v>
      </c>
      <c r="F592" s="69">
        <f>$C592*E592*_xlfn.XLOOKUP($D592,'Sample Size cal and results'!$B$23:$B$24,'Sample Size cal and results'!$D$23:$D$24)</f>
        <v>18.335695141322436</v>
      </c>
      <c r="G592" s="72" t="str">
        <f>IF(DATEDIF($B592,'Inst summary and ER calculation'!$U$6,"y")=2,"2-3 years","3-4 years")</f>
        <v>3-4 years</v>
      </c>
      <c r="H592" s="69">
        <f t="shared" si="28"/>
        <v>1</v>
      </c>
      <c r="I592" s="142">
        <f>$C592*H592*_xlfn.XLOOKUP($G592,'Sample Size cal and results'!$B$25:$B$26,'Sample Size cal and results'!$D$25:$D$26)</f>
        <v>30.849261895830043</v>
      </c>
    </row>
    <row r="593" spans="1:9" ht="13">
      <c r="A593" s="131" t="s">
        <v>127</v>
      </c>
      <c r="B593" s="53">
        <v>41901</v>
      </c>
      <c r="C593" s="52">
        <v>598</v>
      </c>
      <c r="D593" s="72" t="str">
        <f>IF(DATEDIF($B593,'Inst summary and ER calculation'!$T$6,"y")=1,"1-2 years","2-3 years")</f>
        <v>2-3 years</v>
      </c>
      <c r="E593" s="69">
        <f t="shared" si="27"/>
        <v>0.58082191780821912</v>
      </c>
      <c r="F593" s="69">
        <f>$C593*E593*_xlfn.XLOOKUP($D593,'Sample Size cal and results'!$B$23:$B$24,'Sample Size cal and results'!$D$23:$D$24)</f>
        <v>353.70147401647796</v>
      </c>
      <c r="G593" s="72" t="str">
        <f>IF(DATEDIF($B593,'Inst summary and ER calculation'!$U$6,"y")=2,"2-3 years","3-4 years")</f>
        <v>3-4 years</v>
      </c>
      <c r="H593" s="69">
        <f t="shared" si="28"/>
        <v>1</v>
      </c>
      <c r="I593" s="142">
        <f>$C593*H593*_xlfn.XLOOKUP($G593,'Sample Size cal and results'!$B$25:$B$26,'Sample Size cal and results'!$D$25:$D$26)</f>
        <v>595.09221334536664</v>
      </c>
    </row>
    <row r="594" spans="1:9" ht="13">
      <c r="A594" s="131" t="s">
        <v>127</v>
      </c>
      <c r="B594" s="53">
        <v>41902</v>
      </c>
      <c r="C594" s="52">
        <v>1196</v>
      </c>
      <c r="D594" s="72" t="str">
        <f>IF(DATEDIF($B594,'Inst summary and ER calculation'!$T$6,"y")=1,"1-2 years","2-3 years")</f>
        <v>2-3 years</v>
      </c>
      <c r="E594" s="69">
        <f t="shared" si="27"/>
        <v>0.58082191780821912</v>
      </c>
      <c r="F594" s="69">
        <f>$C594*E594*_xlfn.XLOOKUP($D594,'Sample Size cal and results'!$B$23:$B$24,'Sample Size cal and results'!$D$23:$D$24)</f>
        <v>707.40294803295592</v>
      </c>
      <c r="G594" s="72" t="str">
        <f>IF(DATEDIF($B594,'Inst summary and ER calculation'!$U$6,"y")=2,"2-3 years","3-4 years")</f>
        <v>3-4 years</v>
      </c>
      <c r="H594" s="69">
        <f t="shared" si="28"/>
        <v>1</v>
      </c>
      <c r="I594" s="142">
        <f>$C594*H594*_xlfn.XLOOKUP($G594,'Sample Size cal and results'!$B$25:$B$26,'Sample Size cal and results'!$D$25:$D$26)</f>
        <v>1190.1844266907333</v>
      </c>
    </row>
    <row r="595" spans="1:9" ht="13">
      <c r="A595" s="131" t="s">
        <v>127</v>
      </c>
      <c r="B595" s="53">
        <v>41903</v>
      </c>
      <c r="C595" s="52">
        <v>298</v>
      </c>
      <c r="D595" s="72" t="str">
        <f>IF(DATEDIF($B595,'Inst summary and ER calculation'!$T$6,"y")=1,"1-2 years","2-3 years")</f>
        <v>2-3 years</v>
      </c>
      <c r="E595" s="69">
        <f t="shared" si="27"/>
        <v>0.58082191780821912</v>
      </c>
      <c r="F595" s="69">
        <f>$C595*E595*_xlfn.XLOOKUP($D595,'Sample Size cal and results'!$B$23:$B$24,'Sample Size cal and results'!$D$23:$D$24)</f>
        <v>176.25926297142215</v>
      </c>
      <c r="G595" s="72" t="str">
        <f>IF(DATEDIF($B595,'Inst summary and ER calculation'!$U$6,"y")=2,"2-3 years","3-4 years")</f>
        <v>3-4 years</v>
      </c>
      <c r="H595" s="69">
        <f t="shared" si="28"/>
        <v>1</v>
      </c>
      <c r="I595" s="142">
        <f>$C595*H595*_xlfn.XLOOKUP($G595,'Sample Size cal and results'!$B$25:$B$26,'Sample Size cal and results'!$D$25:$D$26)</f>
        <v>296.55096919217266</v>
      </c>
    </row>
    <row r="596" spans="1:9" ht="13">
      <c r="A596" s="131" t="s">
        <v>127</v>
      </c>
      <c r="B596" s="53">
        <v>41904</v>
      </c>
      <c r="C596" s="52">
        <v>361</v>
      </c>
      <c r="D596" s="72" t="str">
        <f>IF(DATEDIF($B596,'Inst summary and ER calculation'!$T$6,"y")=1,"1-2 years","2-3 years")</f>
        <v>2-3 years</v>
      </c>
      <c r="E596" s="69">
        <f t="shared" si="27"/>
        <v>0.58082191780821912</v>
      </c>
      <c r="F596" s="69">
        <f>$C596*E596*_xlfn.XLOOKUP($D596,'Sample Size cal and results'!$B$23:$B$24,'Sample Size cal and results'!$D$23:$D$24)</f>
        <v>213.52212729088387</v>
      </c>
      <c r="G596" s="72" t="str">
        <f>IF(DATEDIF($B596,'Inst summary and ER calculation'!$U$6,"y")=2,"2-3 years","3-4 years")</f>
        <v>3-4 years</v>
      </c>
      <c r="H596" s="69">
        <f t="shared" si="28"/>
        <v>1</v>
      </c>
      <c r="I596" s="142">
        <f>$C596*H596*_xlfn.XLOOKUP($G596,'Sample Size cal and results'!$B$25:$B$26,'Sample Size cal and results'!$D$25:$D$26)</f>
        <v>359.2446304643434</v>
      </c>
    </row>
    <row r="597" spans="1:9" ht="13">
      <c r="A597" s="131" t="s">
        <v>127</v>
      </c>
      <c r="B597" s="53">
        <v>41905</v>
      </c>
      <c r="C597" s="52">
        <v>17</v>
      </c>
      <c r="D597" s="72" t="str">
        <f>IF(DATEDIF($B597,'Inst summary and ER calculation'!$T$6,"y")=1,"1-2 years","2-3 years")</f>
        <v>2-3 years</v>
      </c>
      <c r="E597" s="69">
        <f t="shared" si="27"/>
        <v>0.58082191780821912</v>
      </c>
      <c r="F597" s="69">
        <f>$C597*E597*_xlfn.XLOOKUP($D597,'Sample Size cal and results'!$B$23:$B$24,'Sample Size cal and results'!$D$23:$D$24)</f>
        <v>10.055058625886497</v>
      </c>
      <c r="G597" s="72" t="str">
        <f>IF(DATEDIF($B597,'Inst summary and ER calculation'!$U$6,"y")=2,"2-3 years","3-4 years")</f>
        <v>3-4 years</v>
      </c>
      <c r="H597" s="69">
        <f t="shared" si="28"/>
        <v>1</v>
      </c>
      <c r="I597" s="142">
        <f>$C597*H597*_xlfn.XLOOKUP($G597,'Sample Size cal and results'!$B$25:$B$26,'Sample Size cal and results'!$D$25:$D$26)</f>
        <v>16.917337168680991</v>
      </c>
    </row>
    <row r="598" spans="1:9" ht="13">
      <c r="A598" s="131" t="s">
        <v>127</v>
      </c>
      <c r="B598" s="53">
        <v>41906</v>
      </c>
      <c r="C598" s="52">
        <v>19</v>
      </c>
      <c r="D598" s="72" t="str">
        <f>IF(DATEDIF($B598,'Inst summary and ER calculation'!$T$6,"y")=1,"1-2 years","2-3 years")</f>
        <v>2-3 years</v>
      </c>
      <c r="E598" s="69">
        <f t="shared" si="27"/>
        <v>0.58082191780821912</v>
      </c>
      <c r="F598" s="69">
        <f>$C598*E598*_xlfn.XLOOKUP($D598,'Sample Size cal and results'!$B$23:$B$24,'Sample Size cal and results'!$D$23:$D$24)</f>
        <v>11.238006699520204</v>
      </c>
      <c r="G598" s="72" t="str">
        <f>IF(DATEDIF($B598,'Inst summary and ER calculation'!$U$6,"y")=2,"2-3 years","3-4 years")</f>
        <v>3-4 years</v>
      </c>
      <c r="H598" s="69">
        <f t="shared" si="28"/>
        <v>1</v>
      </c>
      <c r="I598" s="142">
        <f>$C598*H598*_xlfn.XLOOKUP($G598,'Sample Size cal and results'!$B$25:$B$26,'Sample Size cal and results'!$D$25:$D$26)</f>
        <v>18.907612129702283</v>
      </c>
    </row>
    <row r="599" spans="1:9" ht="13">
      <c r="A599" s="131" t="s">
        <v>127</v>
      </c>
      <c r="B599" s="53">
        <v>41907</v>
      </c>
      <c r="C599" s="52">
        <v>19</v>
      </c>
      <c r="D599" s="72" t="str">
        <f>IF(DATEDIF($B599,'Inst summary and ER calculation'!$T$6,"y")=1,"1-2 years","2-3 years")</f>
        <v>2-3 years</v>
      </c>
      <c r="E599" s="69">
        <f t="shared" si="27"/>
        <v>0.58082191780821912</v>
      </c>
      <c r="F599" s="69">
        <f>$C599*E599*_xlfn.XLOOKUP($D599,'Sample Size cal and results'!$B$23:$B$24,'Sample Size cal and results'!$D$23:$D$24)</f>
        <v>11.238006699520204</v>
      </c>
      <c r="G599" s="72" t="str">
        <f>IF(DATEDIF($B599,'Inst summary and ER calculation'!$U$6,"y")=2,"2-3 years","3-4 years")</f>
        <v>3-4 years</v>
      </c>
      <c r="H599" s="69">
        <f t="shared" si="28"/>
        <v>1</v>
      </c>
      <c r="I599" s="142">
        <f>$C599*H599*_xlfn.XLOOKUP($G599,'Sample Size cal and results'!$B$25:$B$26,'Sample Size cal and results'!$D$25:$D$26)</f>
        <v>18.907612129702283</v>
      </c>
    </row>
    <row r="600" spans="1:9" ht="13">
      <c r="A600" s="131" t="s">
        <v>127</v>
      </c>
      <c r="B600" s="53">
        <v>41908</v>
      </c>
      <c r="C600" s="52">
        <v>388</v>
      </c>
      <c r="D600" s="72" t="str">
        <f>IF(DATEDIF($B600,'Inst summary and ER calculation'!$T$6,"y")=1,"1-2 years","2-3 years")</f>
        <v>2-3 years</v>
      </c>
      <c r="E600" s="69">
        <f t="shared" si="27"/>
        <v>0.58082191780821912</v>
      </c>
      <c r="F600" s="69">
        <f>$C600*E600*_xlfn.XLOOKUP($D600,'Sample Size cal and results'!$B$23:$B$24,'Sample Size cal and results'!$D$23:$D$24)</f>
        <v>229.4919262849389</v>
      </c>
      <c r="G600" s="72" t="str">
        <f>IF(DATEDIF($B600,'Inst summary and ER calculation'!$U$6,"y")=2,"2-3 years","3-4 years")</f>
        <v>3-4 years</v>
      </c>
      <c r="H600" s="69">
        <f t="shared" si="28"/>
        <v>1</v>
      </c>
      <c r="I600" s="142">
        <f>$C600*H600*_xlfn.XLOOKUP($G600,'Sample Size cal and results'!$B$25:$B$26,'Sample Size cal and results'!$D$25:$D$26)</f>
        <v>386.11334243813087</v>
      </c>
    </row>
    <row r="601" spans="1:9" ht="13">
      <c r="A601" s="131" t="s">
        <v>127</v>
      </c>
      <c r="B601" s="53">
        <v>41909</v>
      </c>
      <c r="C601" s="52">
        <v>406</v>
      </c>
      <c r="D601" s="72" t="str">
        <f>IF(DATEDIF($B601,'Inst summary and ER calculation'!$T$6,"y")=1,"1-2 years","2-3 years")</f>
        <v>2-3 years</v>
      </c>
      <c r="E601" s="69">
        <f t="shared" si="27"/>
        <v>0.58082191780821912</v>
      </c>
      <c r="F601" s="69">
        <f>$C601*E601*_xlfn.XLOOKUP($D601,'Sample Size cal and results'!$B$23:$B$24,'Sample Size cal and results'!$D$23:$D$24)</f>
        <v>240.13845894764225</v>
      </c>
      <c r="G601" s="72" t="str">
        <f>IF(DATEDIF($B601,'Inst summary and ER calculation'!$U$6,"y")=2,"2-3 years","3-4 years")</f>
        <v>3-4 years</v>
      </c>
      <c r="H601" s="69">
        <f t="shared" si="28"/>
        <v>1</v>
      </c>
      <c r="I601" s="142">
        <f>$C601*H601*_xlfn.XLOOKUP($G601,'Sample Size cal and results'!$B$25:$B$26,'Sample Size cal and results'!$D$25:$D$26)</f>
        <v>404.02581708732248</v>
      </c>
    </row>
    <row r="602" spans="1:9" ht="13">
      <c r="A602" s="131" t="s">
        <v>128</v>
      </c>
      <c r="B602" s="53">
        <v>41909</v>
      </c>
      <c r="C602" s="52">
        <v>350</v>
      </c>
      <c r="D602" s="72" t="str">
        <f>IF(DATEDIF($B602,'Inst summary and ER calculation'!$T$6,"y")=1,"1-2 years","2-3 years")</f>
        <v>2-3 years</v>
      </c>
      <c r="E602" s="69">
        <f t="shared" si="27"/>
        <v>0.58082191780821912</v>
      </c>
      <c r="F602" s="69">
        <f>$C602*E602*_xlfn.XLOOKUP($D602,'Sample Size cal and results'!$B$23:$B$24,'Sample Size cal and results'!$D$23:$D$24)</f>
        <v>207.0159128858985</v>
      </c>
      <c r="G602" s="72" t="str">
        <f>IF(DATEDIF($B602,'Inst summary and ER calculation'!$U$6,"y")=2,"2-3 years","3-4 years")</f>
        <v>3-4 years</v>
      </c>
      <c r="H602" s="69">
        <f t="shared" si="28"/>
        <v>1</v>
      </c>
      <c r="I602" s="142">
        <f>$C602*H602*_xlfn.XLOOKUP($G602,'Sample Size cal and results'!$B$25:$B$26,'Sample Size cal and results'!$D$25:$D$26)</f>
        <v>348.29811817872627</v>
      </c>
    </row>
    <row r="603" spans="1:9" ht="13">
      <c r="A603" s="131" t="s">
        <v>128</v>
      </c>
      <c r="B603" s="53">
        <v>41910</v>
      </c>
      <c r="C603" s="52">
        <v>349</v>
      </c>
      <c r="D603" s="72" t="str">
        <f>IF(DATEDIF($B603,'Inst summary and ER calculation'!$T$6,"y")=1,"1-2 years","2-3 years")</f>
        <v>2-3 years</v>
      </c>
      <c r="E603" s="69">
        <f t="shared" si="27"/>
        <v>0.58082191780821912</v>
      </c>
      <c r="F603" s="69">
        <f>$C603*E603*_xlfn.XLOOKUP($D603,'Sample Size cal and results'!$B$23:$B$24,'Sample Size cal and results'!$D$23:$D$24)</f>
        <v>206.42443884908161</v>
      </c>
      <c r="G603" s="72" t="str">
        <f>IF(DATEDIF($B603,'Inst summary and ER calculation'!$U$6,"y")=2,"2-3 years","3-4 years")</f>
        <v>3-4 years</v>
      </c>
      <c r="H603" s="69">
        <f t="shared" si="28"/>
        <v>1</v>
      </c>
      <c r="I603" s="142">
        <f>$C603*H603*_xlfn.XLOOKUP($G603,'Sample Size cal and results'!$B$25:$B$26,'Sample Size cal and results'!$D$25:$D$26)</f>
        <v>347.30298069821566</v>
      </c>
    </row>
    <row r="604" spans="1:9" ht="13">
      <c r="A604" s="131" t="s">
        <v>128</v>
      </c>
      <c r="B604" s="53">
        <v>41911</v>
      </c>
      <c r="C604" s="52">
        <v>496</v>
      </c>
      <c r="D604" s="72" t="str">
        <f>IF(DATEDIF($B604,'Inst summary and ER calculation'!$T$6,"y")=1,"1-2 years","2-3 years")</f>
        <v>2-3 years</v>
      </c>
      <c r="E604" s="69">
        <f t="shared" si="27"/>
        <v>0.58082191780821912</v>
      </c>
      <c r="F604" s="69">
        <f>$C604*E604*_xlfn.XLOOKUP($D604,'Sample Size cal and results'!$B$23:$B$24,'Sample Size cal and results'!$D$23:$D$24)</f>
        <v>293.37112226115897</v>
      </c>
      <c r="G604" s="72" t="str">
        <f>IF(DATEDIF($B604,'Inst summary and ER calculation'!$U$6,"y")=2,"2-3 years","3-4 years")</f>
        <v>3-4 years</v>
      </c>
      <c r="H604" s="69">
        <f t="shared" si="28"/>
        <v>1</v>
      </c>
      <c r="I604" s="142">
        <f>$C604*H604*_xlfn.XLOOKUP($G604,'Sample Size cal and results'!$B$25:$B$26,'Sample Size cal and results'!$D$25:$D$26)</f>
        <v>493.58819033328069</v>
      </c>
    </row>
    <row r="605" spans="1:9" ht="13">
      <c r="A605" s="131" t="s">
        <v>128</v>
      </c>
      <c r="B605" s="53">
        <v>41912</v>
      </c>
      <c r="C605" s="52">
        <v>41</v>
      </c>
      <c r="D605" s="72" t="str">
        <f>IF(DATEDIF($B605,'Inst summary and ER calculation'!$T$6,"y")=1,"1-2 years","2-3 years")</f>
        <v>2-3 years</v>
      </c>
      <c r="E605" s="69">
        <f t="shared" ref="E605:E668" si="29">MAX(MIN($T$6)-MAX($T$5,$B605,_xlfn.XLOOKUP($A605,$W$1:$W$36,$X$1:$X$36))+1,0)/365</f>
        <v>0.58082191780821912</v>
      </c>
      <c r="F605" s="69">
        <f>$C605*E605*_xlfn.XLOOKUP($D605,'Sample Size cal and results'!$B$23:$B$24,'Sample Size cal and results'!$D$23:$D$24)</f>
        <v>24.250435509490963</v>
      </c>
      <c r="G605" s="72" t="str">
        <f>IF(DATEDIF($B605,'Inst summary and ER calculation'!$U$6,"y")=2,"2-3 years","3-4 years")</f>
        <v>3-4 years</v>
      </c>
      <c r="H605" s="69">
        <f t="shared" ref="H605:H668" si="30">MAX(MIN($U$6)-MAX($U$5,$B605,_xlfn.XLOOKUP($A605,$W$1:$W$36,$X$1:$X$36))+1,0)/365</f>
        <v>1</v>
      </c>
      <c r="I605" s="142">
        <f>$C605*H605*_xlfn.XLOOKUP($G605,'Sample Size cal and results'!$B$25:$B$26,'Sample Size cal and results'!$D$25:$D$26)</f>
        <v>40.800636700936508</v>
      </c>
    </row>
    <row r="606" spans="1:9" ht="13">
      <c r="A606" s="131" t="s">
        <v>128</v>
      </c>
      <c r="B606" s="53">
        <v>41913</v>
      </c>
      <c r="C606" s="52">
        <v>67</v>
      </c>
      <c r="D606" s="72" t="str">
        <f>IF(DATEDIF($B606,'Inst summary and ER calculation'!$T$6,"y")=1,"1-2 years","2-3 years")</f>
        <v>2-3 years</v>
      </c>
      <c r="E606" s="69">
        <f t="shared" si="29"/>
        <v>0.58082191780821912</v>
      </c>
      <c r="F606" s="69">
        <f>$C606*E606*_xlfn.XLOOKUP($D606,'Sample Size cal and results'!$B$23:$B$24,'Sample Size cal and results'!$D$23:$D$24)</f>
        <v>39.62876046672914</v>
      </c>
      <c r="G606" s="72" t="str">
        <f>IF(DATEDIF($B606,'Inst summary and ER calculation'!$U$6,"y")=2,"2-3 years","3-4 years")</f>
        <v>3-4 years</v>
      </c>
      <c r="H606" s="69">
        <f t="shared" si="30"/>
        <v>1</v>
      </c>
      <c r="I606" s="142">
        <f>$C606*H606*_xlfn.XLOOKUP($G606,'Sample Size cal and results'!$B$25:$B$26,'Sample Size cal and results'!$D$25:$D$26)</f>
        <v>66.674211194213314</v>
      </c>
    </row>
    <row r="607" spans="1:9" ht="13">
      <c r="A607" s="131" t="s">
        <v>128</v>
      </c>
      <c r="B607" s="53">
        <v>41914</v>
      </c>
      <c r="C607" s="52">
        <v>85</v>
      </c>
      <c r="D607" s="72" t="str">
        <f>IF(DATEDIF($B607,'Inst summary and ER calculation'!$T$6,"y")=1,"1-2 years","2-3 years")</f>
        <v>2-3 years</v>
      </c>
      <c r="E607" s="69">
        <f t="shared" si="29"/>
        <v>0.58082191780821912</v>
      </c>
      <c r="F607" s="69">
        <f>$C607*E607*_xlfn.XLOOKUP($D607,'Sample Size cal and results'!$B$23:$B$24,'Sample Size cal and results'!$D$23:$D$24)</f>
        <v>50.275293129432491</v>
      </c>
      <c r="G607" s="72" t="str">
        <f>IF(DATEDIF($B607,'Inst summary and ER calculation'!$U$6,"y")=2,"2-3 years","3-4 years")</f>
        <v>3-4 years</v>
      </c>
      <c r="H607" s="69">
        <f t="shared" si="30"/>
        <v>1</v>
      </c>
      <c r="I607" s="142">
        <f>$C607*H607*_xlfn.XLOOKUP($G607,'Sample Size cal and results'!$B$25:$B$26,'Sample Size cal and results'!$D$25:$D$26)</f>
        <v>84.58668584340495</v>
      </c>
    </row>
    <row r="608" spans="1:9" ht="13">
      <c r="A608" s="131" t="s">
        <v>128</v>
      </c>
      <c r="B608" s="53">
        <v>41915</v>
      </c>
      <c r="C608" s="52">
        <v>83</v>
      </c>
      <c r="D608" s="72" t="str">
        <f>IF(DATEDIF($B608,'Inst summary and ER calculation'!$T$6,"y")=1,"1-2 years","2-3 years")</f>
        <v>2-3 years</v>
      </c>
      <c r="E608" s="69">
        <f t="shared" si="29"/>
        <v>0.58082191780821912</v>
      </c>
      <c r="F608" s="69">
        <f>$C608*E608*_xlfn.XLOOKUP($D608,'Sample Size cal and results'!$B$23:$B$24,'Sample Size cal and results'!$D$23:$D$24)</f>
        <v>49.092345055798788</v>
      </c>
      <c r="G608" s="72" t="str">
        <f>IF(DATEDIF($B608,'Inst summary and ER calculation'!$U$6,"y")=2,"2-3 years","3-4 years")</f>
        <v>3-4 years</v>
      </c>
      <c r="H608" s="69">
        <f t="shared" si="30"/>
        <v>1</v>
      </c>
      <c r="I608" s="142">
        <f>$C608*H608*_xlfn.XLOOKUP($G608,'Sample Size cal and results'!$B$25:$B$26,'Sample Size cal and results'!$D$25:$D$26)</f>
        <v>82.596410882383665</v>
      </c>
    </row>
    <row r="609" spans="1:9" ht="13">
      <c r="A609" s="131" t="s">
        <v>128</v>
      </c>
      <c r="B609" s="53">
        <v>41916</v>
      </c>
      <c r="C609" s="52">
        <v>67</v>
      </c>
      <c r="D609" s="72" t="str">
        <f>IF(DATEDIF($B609,'Inst summary and ER calculation'!$T$6,"y")=1,"1-2 years","2-3 years")</f>
        <v>2-3 years</v>
      </c>
      <c r="E609" s="69">
        <f t="shared" si="29"/>
        <v>0.58082191780821912</v>
      </c>
      <c r="F609" s="69">
        <f>$C609*E609*_xlfn.XLOOKUP($D609,'Sample Size cal and results'!$B$23:$B$24,'Sample Size cal and results'!$D$23:$D$24)</f>
        <v>39.62876046672914</v>
      </c>
      <c r="G609" s="72" t="str">
        <f>IF(DATEDIF($B609,'Inst summary and ER calculation'!$U$6,"y")=2,"2-3 years","3-4 years")</f>
        <v>3-4 years</v>
      </c>
      <c r="H609" s="69">
        <f t="shared" si="30"/>
        <v>1</v>
      </c>
      <c r="I609" s="142">
        <f>$C609*H609*_xlfn.XLOOKUP($G609,'Sample Size cal and results'!$B$25:$B$26,'Sample Size cal and results'!$D$25:$D$26)</f>
        <v>66.674211194213314</v>
      </c>
    </row>
    <row r="610" spans="1:9" ht="13">
      <c r="A610" s="131" t="s">
        <v>128</v>
      </c>
      <c r="B610" s="53">
        <v>41917</v>
      </c>
      <c r="C610" s="52">
        <v>96</v>
      </c>
      <c r="D610" s="72" t="str">
        <f>IF(DATEDIF($B610,'Inst summary and ER calculation'!$T$6,"y")=1,"1-2 years","2-3 years")</f>
        <v>2-3 years</v>
      </c>
      <c r="E610" s="69">
        <f t="shared" si="29"/>
        <v>0.58082191780821912</v>
      </c>
      <c r="F610" s="69">
        <f>$C610*E610*_xlfn.XLOOKUP($D610,'Sample Size cal and results'!$B$23:$B$24,'Sample Size cal and results'!$D$23:$D$24)</f>
        <v>56.781507534417877</v>
      </c>
      <c r="G610" s="72" t="str">
        <f>IF(DATEDIF($B610,'Inst summary and ER calculation'!$U$6,"y")=2,"2-3 years","3-4 years")</f>
        <v>3-4 years</v>
      </c>
      <c r="H610" s="69">
        <f t="shared" si="30"/>
        <v>1</v>
      </c>
      <c r="I610" s="142">
        <f>$C610*H610*_xlfn.XLOOKUP($G610,'Sample Size cal and results'!$B$25:$B$26,'Sample Size cal and results'!$D$25:$D$26)</f>
        <v>95.533198129022068</v>
      </c>
    </row>
    <row r="611" spans="1:9" ht="13">
      <c r="A611" s="131" t="s">
        <v>128</v>
      </c>
      <c r="B611" s="53">
        <v>41918</v>
      </c>
      <c r="C611" s="52">
        <v>95</v>
      </c>
      <c r="D611" s="72" t="str">
        <f>IF(DATEDIF($B611,'Inst summary and ER calculation'!$T$6,"y")=1,"1-2 years","2-3 years")</f>
        <v>2-3 years</v>
      </c>
      <c r="E611" s="69">
        <f t="shared" si="29"/>
        <v>0.58082191780821912</v>
      </c>
      <c r="F611" s="69">
        <f>$C611*E611*_xlfn.XLOOKUP($D611,'Sample Size cal and results'!$B$23:$B$24,'Sample Size cal and results'!$D$23:$D$24)</f>
        <v>56.190033497601014</v>
      </c>
      <c r="G611" s="72" t="str">
        <f>IF(DATEDIF($B611,'Inst summary and ER calculation'!$U$6,"y")=2,"2-3 years","3-4 years")</f>
        <v>3-4 years</v>
      </c>
      <c r="H611" s="69">
        <f t="shared" si="30"/>
        <v>1</v>
      </c>
      <c r="I611" s="142">
        <f>$C611*H611*_xlfn.XLOOKUP($G611,'Sample Size cal and results'!$B$25:$B$26,'Sample Size cal and results'!$D$25:$D$26)</f>
        <v>94.538060648511419</v>
      </c>
    </row>
    <row r="612" spans="1:9" ht="13">
      <c r="A612" s="131" t="s">
        <v>128</v>
      </c>
      <c r="B612" s="53">
        <v>41919</v>
      </c>
      <c r="C612" s="52">
        <v>89</v>
      </c>
      <c r="D612" s="72" t="str">
        <f>IF(DATEDIF($B612,'Inst summary and ER calculation'!$T$6,"y")=1,"1-2 years","2-3 years")</f>
        <v>2-3 years</v>
      </c>
      <c r="E612" s="69">
        <f t="shared" si="29"/>
        <v>0.58082191780821912</v>
      </c>
      <c r="F612" s="69">
        <f>$C612*E612*_xlfn.XLOOKUP($D612,'Sample Size cal and results'!$B$23:$B$24,'Sample Size cal and results'!$D$23:$D$24)</f>
        <v>52.641189276699897</v>
      </c>
      <c r="G612" s="72" t="str">
        <f>IF(DATEDIF($B612,'Inst summary and ER calculation'!$U$6,"y")=2,"2-3 years","3-4 years")</f>
        <v>3-4 years</v>
      </c>
      <c r="H612" s="69">
        <f t="shared" si="30"/>
        <v>1</v>
      </c>
      <c r="I612" s="142">
        <f>$C612*H612*_xlfn.XLOOKUP($G612,'Sample Size cal and results'!$B$25:$B$26,'Sample Size cal and results'!$D$25:$D$26)</f>
        <v>88.567235765447549</v>
      </c>
    </row>
    <row r="613" spans="1:9" ht="13">
      <c r="A613" s="131" t="s">
        <v>128</v>
      </c>
      <c r="B613" s="53">
        <v>41920</v>
      </c>
      <c r="C613" s="52">
        <v>532</v>
      </c>
      <c r="D613" s="72" t="str">
        <f>IF(DATEDIF($B613,'Inst summary and ER calculation'!$T$6,"y")=1,"1-2 years","2-3 years")</f>
        <v>2-3 years</v>
      </c>
      <c r="E613" s="69">
        <f t="shared" si="29"/>
        <v>0.58082191780821912</v>
      </c>
      <c r="F613" s="69">
        <f>$C613*E613*_xlfn.XLOOKUP($D613,'Sample Size cal and results'!$B$23:$B$24,'Sample Size cal and results'!$D$23:$D$24)</f>
        <v>314.66418758656573</v>
      </c>
      <c r="G613" s="72" t="str">
        <f>IF(DATEDIF($B613,'Inst summary and ER calculation'!$U$6,"y")=2,"2-3 years","3-4 years")</f>
        <v>3-4 years</v>
      </c>
      <c r="H613" s="69">
        <f t="shared" si="30"/>
        <v>1</v>
      </c>
      <c r="I613" s="142">
        <f>$C613*H613*_xlfn.XLOOKUP($G613,'Sample Size cal and results'!$B$25:$B$26,'Sample Size cal and results'!$D$25:$D$26)</f>
        <v>529.41313963166397</v>
      </c>
    </row>
    <row r="614" spans="1:9" ht="13">
      <c r="A614" s="131" t="s">
        <v>129</v>
      </c>
      <c r="B614" s="53">
        <v>41920</v>
      </c>
      <c r="C614" s="52">
        <v>26</v>
      </c>
      <c r="D614" s="72" t="str">
        <f>IF(DATEDIF($B614,'Inst summary and ER calculation'!$T$6,"y")=1,"1-2 years","2-3 years")</f>
        <v>2-3 years</v>
      </c>
      <c r="E614" s="69">
        <f t="shared" si="29"/>
        <v>0.58082191780821912</v>
      </c>
      <c r="F614" s="69">
        <f>$C614*E614*_xlfn.XLOOKUP($D614,'Sample Size cal and results'!$B$23:$B$24,'Sample Size cal and results'!$D$23:$D$24)</f>
        <v>15.378324957238174</v>
      </c>
      <c r="G614" s="72" t="str">
        <f>IF(DATEDIF($B614,'Inst summary and ER calculation'!$U$6,"y")=2,"2-3 years","3-4 years")</f>
        <v>3-4 years</v>
      </c>
      <c r="H614" s="69">
        <f t="shared" si="30"/>
        <v>1</v>
      </c>
      <c r="I614" s="142">
        <f>$C614*H614*_xlfn.XLOOKUP($G614,'Sample Size cal and results'!$B$25:$B$26,'Sample Size cal and results'!$D$25:$D$26)</f>
        <v>25.873574493276809</v>
      </c>
    </row>
    <row r="615" spans="1:9" ht="13">
      <c r="A615" s="131" t="s">
        <v>129</v>
      </c>
      <c r="B615" s="53">
        <v>41921</v>
      </c>
      <c r="C615" s="52">
        <v>125</v>
      </c>
      <c r="D615" s="72" t="str">
        <f>IF(DATEDIF($B615,'Inst summary and ER calculation'!$T$6,"y")=1,"1-2 years","2-3 years")</f>
        <v>2-3 years</v>
      </c>
      <c r="E615" s="69">
        <f t="shared" si="29"/>
        <v>0.58082191780821912</v>
      </c>
      <c r="F615" s="69">
        <f>$C615*E615*_xlfn.XLOOKUP($D615,'Sample Size cal and results'!$B$23:$B$24,'Sample Size cal and results'!$D$23:$D$24)</f>
        <v>73.934254602106606</v>
      </c>
      <c r="G615" s="72" t="str">
        <f>IF(DATEDIF($B615,'Inst summary and ER calculation'!$U$6,"y")=2,"2-3 years","3-4 years")</f>
        <v>3-4 years</v>
      </c>
      <c r="H615" s="69">
        <f t="shared" si="30"/>
        <v>1</v>
      </c>
      <c r="I615" s="142">
        <f>$C615*H615*_xlfn.XLOOKUP($G615,'Sample Size cal and results'!$B$25:$B$26,'Sample Size cal and results'!$D$25:$D$26)</f>
        <v>124.39218506383082</v>
      </c>
    </row>
    <row r="616" spans="1:9" ht="13">
      <c r="A616" s="131" t="s">
        <v>129</v>
      </c>
      <c r="B616" s="53">
        <v>41922</v>
      </c>
      <c r="C616" s="52">
        <v>121</v>
      </c>
      <c r="D616" s="72" t="str">
        <f>IF(DATEDIF($B616,'Inst summary and ER calculation'!$T$6,"y")=1,"1-2 years","2-3 years")</f>
        <v>2-3 years</v>
      </c>
      <c r="E616" s="69">
        <f t="shared" si="29"/>
        <v>0.58082191780821912</v>
      </c>
      <c r="F616" s="69">
        <f>$C616*E616*_xlfn.XLOOKUP($D616,'Sample Size cal and results'!$B$23:$B$24,'Sample Size cal and results'!$D$23:$D$24)</f>
        <v>71.568358454839199</v>
      </c>
      <c r="G616" s="72" t="str">
        <f>IF(DATEDIF($B616,'Inst summary and ER calculation'!$U$6,"y")=2,"2-3 years","3-4 years")</f>
        <v>3-4 years</v>
      </c>
      <c r="H616" s="69">
        <f t="shared" si="30"/>
        <v>1</v>
      </c>
      <c r="I616" s="142">
        <f>$C616*H616*_xlfn.XLOOKUP($G616,'Sample Size cal and results'!$B$25:$B$26,'Sample Size cal and results'!$D$25:$D$26)</f>
        <v>120.41163514178824</v>
      </c>
    </row>
    <row r="617" spans="1:9" ht="13">
      <c r="A617" s="131" t="s">
        <v>129</v>
      </c>
      <c r="B617" s="53">
        <v>41923</v>
      </c>
      <c r="C617" s="52">
        <v>910</v>
      </c>
      <c r="D617" s="72" t="str">
        <f>IF(DATEDIF($B617,'Inst summary and ER calculation'!$T$6,"y")=1,"1-2 years","2-3 years")</f>
        <v>2-3 years</v>
      </c>
      <c r="E617" s="69">
        <f t="shared" si="29"/>
        <v>0.58082191780821912</v>
      </c>
      <c r="F617" s="69">
        <f>$C617*E617*_xlfn.XLOOKUP($D617,'Sample Size cal and results'!$B$23:$B$24,'Sample Size cal and results'!$D$23:$D$24)</f>
        <v>538.24137350333615</v>
      </c>
      <c r="G617" s="72" t="str">
        <f>IF(DATEDIF($B617,'Inst summary and ER calculation'!$U$6,"y")=2,"2-3 years","3-4 years")</f>
        <v>3-4 years</v>
      </c>
      <c r="H617" s="69">
        <f t="shared" si="30"/>
        <v>1</v>
      </c>
      <c r="I617" s="142">
        <f>$C617*H617*_xlfn.XLOOKUP($G617,'Sample Size cal and results'!$B$25:$B$26,'Sample Size cal and results'!$D$25:$D$26)</f>
        <v>905.57510726468831</v>
      </c>
    </row>
    <row r="618" spans="1:9" ht="13">
      <c r="A618" s="131" t="s">
        <v>129</v>
      </c>
      <c r="B618" s="53">
        <v>41924</v>
      </c>
      <c r="C618" s="52">
        <v>141</v>
      </c>
      <c r="D618" s="72" t="str">
        <f>IF(DATEDIF($B618,'Inst summary and ER calculation'!$T$6,"y")=1,"1-2 years","2-3 years")</f>
        <v>2-3 years</v>
      </c>
      <c r="E618" s="69">
        <f t="shared" si="29"/>
        <v>0.58082191780821912</v>
      </c>
      <c r="F618" s="69">
        <f>$C618*E618*_xlfn.XLOOKUP($D618,'Sample Size cal and results'!$B$23:$B$24,'Sample Size cal and results'!$D$23:$D$24)</f>
        <v>83.397839191176246</v>
      </c>
      <c r="G618" s="72" t="str">
        <f>IF(DATEDIF($B618,'Inst summary and ER calculation'!$U$6,"y")=2,"2-3 years","3-4 years")</f>
        <v>3-4 years</v>
      </c>
      <c r="H618" s="69">
        <f t="shared" si="30"/>
        <v>1</v>
      </c>
      <c r="I618" s="142">
        <f>$C618*H618*_xlfn.XLOOKUP($G618,'Sample Size cal and results'!$B$25:$B$26,'Sample Size cal and results'!$D$25:$D$26)</f>
        <v>140.31438475200116</v>
      </c>
    </row>
    <row r="619" spans="1:9" ht="13">
      <c r="A619" s="131" t="s">
        <v>129</v>
      </c>
      <c r="B619" s="53">
        <v>41925</v>
      </c>
      <c r="C619" s="52">
        <v>112</v>
      </c>
      <c r="D619" s="72" t="str">
        <f>IF(DATEDIF($B619,'Inst summary and ER calculation'!$T$6,"y")=1,"1-2 years","2-3 years")</f>
        <v>2-3 years</v>
      </c>
      <c r="E619" s="69">
        <f t="shared" si="29"/>
        <v>0.58082191780821912</v>
      </c>
      <c r="F619" s="69">
        <f>$C619*E619*_xlfn.XLOOKUP($D619,'Sample Size cal and results'!$B$23:$B$24,'Sample Size cal and results'!$D$23:$D$24)</f>
        <v>66.24509212348751</v>
      </c>
      <c r="G619" s="72" t="str">
        <f>IF(DATEDIF($B619,'Inst summary and ER calculation'!$U$6,"y")=2,"2-3 years","3-4 years")</f>
        <v>3-4 years</v>
      </c>
      <c r="H619" s="69">
        <f t="shared" si="30"/>
        <v>1</v>
      </c>
      <c r="I619" s="142">
        <f>$C619*H619*_xlfn.XLOOKUP($G619,'Sample Size cal and results'!$B$25:$B$26,'Sample Size cal and results'!$D$25:$D$26)</f>
        <v>111.45539781719242</v>
      </c>
    </row>
    <row r="620" spans="1:9" ht="13">
      <c r="A620" s="131" t="s">
        <v>129</v>
      </c>
      <c r="B620" s="53">
        <v>41926</v>
      </c>
      <c r="C620" s="52">
        <v>119</v>
      </c>
      <c r="D620" s="72" t="str">
        <f>IF(DATEDIF($B620,'Inst summary and ER calculation'!$T$6,"y")=1,"1-2 years","2-3 years")</f>
        <v>2-3 years</v>
      </c>
      <c r="E620" s="69">
        <f t="shared" si="29"/>
        <v>0.58082191780821912</v>
      </c>
      <c r="F620" s="69">
        <f>$C620*E620*_xlfn.XLOOKUP($D620,'Sample Size cal and results'!$B$23:$B$24,'Sample Size cal and results'!$D$23:$D$24)</f>
        <v>70.385410381205489</v>
      </c>
      <c r="G620" s="72" t="str">
        <f>IF(DATEDIF($B620,'Inst summary and ER calculation'!$U$6,"y")=2,"2-3 years","3-4 years")</f>
        <v>3-4 years</v>
      </c>
      <c r="H620" s="69">
        <f t="shared" si="30"/>
        <v>1</v>
      </c>
      <c r="I620" s="142">
        <f>$C620*H620*_xlfn.XLOOKUP($G620,'Sample Size cal and results'!$B$25:$B$26,'Sample Size cal and results'!$D$25:$D$26)</f>
        <v>118.42136018076694</v>
      </c>
    </row>
    <row r="621" spans="1:9" ht="13">
      <c r="A621" s="131" t="s">
        <v>129</v>
      </c>
      <c r="B621" s="53">
        <v>41927</v>
      </c>
      <c r="C621" s="52">
        <v>360</v>
      </c>
      <c r="D621" s="72" t="str">
        <f>IF(DATEDIF($B621,'Inst summary and ER calculation'!$T$6,"y")=1,"1-2 years","2-3 years")</f>
        <v>2-3 years</v>
      </c>
      <c r="E621" s="69">
        <f t="shared" si="29"/>
        <v>0.58082191780821912</v>
      </c>
      <c r="F621" s="69">
        <f>$C621*E621*_xlfn.XLOOKUP($D621,'Sample Size cal and results'!$B$23:$B$24,'Sample Size cal and results'!$D$23:$D$24)</f>
        <v>212.93065325406701</v>
      </c>
      <c r="G621" s="72" t="str">
        <f>IF(DATEDIF($B621,'Inst summary and ER calculation'!$U$6,"y")=2,"2-3 years","3-4 years")</f>
        <v>3-4 years</v>
      </c>
      <c r="H621" s="69">
        <f t="shared" si="30"/>
        <v>1</v>
      </c>
      <c r="I621" s="142">
        <f>$C621*H621*_xlfn.XLOOKUP($G621,'Sample Size cal and results'!$B$25:$B$26,'Sample Size cal and results'!$D$25:$D$26)</f>
        <v>358.24949298383274</v>
      </c>
    </row>
    <row r="622" spans="1:9" ht="13">
      <c r="A622" s="131" t="s">
        <v>129</v>
      </c>
      <c r="B622" s="53">
        <v>41928</v>
      </c>
      <c r="C622" s="52">
        <v>126</v>
      </c>
      <c r="D622" s="72" t="str">
        <f>IF(DATEDIF($B622,'Inst summary and ER calculation'!$T$6,"y")=1,"1-2 years","2-3 years")</f>
        <v>2-3 years</v>
      </c>
      <c r="E622" s="69">
        <f t="shared" si="29"/>
        <v>0.58082191780821912</v>
      </c>
      <c r="F622" s="69">
        <f>$C622*E622*_xlfn.XLOOKUP($D622,'Sample Size cal and results'!$B$23:$B$24,'Sample Size cal and results'!$D$23:$D$24)</f>
        <v>74.525728638923454</v>
      </c>
      <c r="G622" s="72" t="str">
        <f>IF(DATEDIF($B622,'Inst summary and ER calculation'!$U$6,"y")=2,"2-3 years","3-4 years")</f>
        <v>3-4 years</v>
      </c>
      <c r="H622" s="69">
        <f t="shared" si="30"/>
        <v>1</v>
      </c>
      <c r="I622" s="142">
        <f>$C622*H622*_xlfn.XLOOKUP($G622,'Sample Size cal and results'!$B$25:$B$26,'Sample Size cal and results'!$D$25:$D$26)</f>
        <v>125.38732254434146</v>
      </c>
    </row>
    <row r="623" spans="1:9" ht="13">
      <c r="A623" s="131" t="s">
        <v>129</v>
      </c>
      <c r="B623" s="53">
        <v>41929</v>
      </c>
      <c r="C623" s="52">
        <v>123</v>
      </c>
      <c r="D623" s="72" t="str">
        <f>IF(DATEDIF($B623,'Inst summary and ER calculation'!$T$6,"y")=1,"1-2 years","2-3 years")</f>
        <v>2-3 years</v>
      </c>
      <c r="E623" s="69">
        <f t="shared" si="29"/>
        <v>0.58082191780821912</v>
      </c>
      <c r="F623" s="69">
        <f>$C623*E623*_xlfn.XLOOKUP($D623,'Sample Size cal and results'!$B$23:$B$24,'Sample Size cal and results'!$D$23:$D$24)</f>
        <v>72.751306528472895</v>
      </c>
      <c r="G623" s="72" t="str">
        <f>IF(DATEDIF($B623,'Inst summary and ER calculation'!$U$6,"y")=2,"2-3 years","3-4 years")</f>
        <v>3-4 years</v>
      </c>
      <c r="H623" s="69">
        <f t="shared" si="30"/>
        <v>1</v>
      </c>
      <c r="I623" s="142">
        <f>$C623*H623*_xlfn.XLOOKUP($G623,'Sample Size cal and results'!$B$25:$B$26,'Sample Size cal and results'!$D$25:$D$26)</f>
        <v>122.40191010280952</v>
      </c>
    </row>
    <row r="624" spans="1:9" ht="13">
      <c r="A624" s="131" t="s">
        <v>129</v>
      </c>
      <c r="B624" s="53">
        <v>41930</v>
      </c>
      <c r="C624" s="52">
        <v>150</v>
      </c>
      <c r="D624" s="72" t="str">
        <f>IF(DATEDIF($B624,'Inst summary and ER calculation'!$T$6,"y")=1,"1-2 years","2-3 years")</f>
        <v>2-3 years</v>
      </c>
      <c r="E624" s="69">
        <f t="shared" si="29"/>
        <v>0.58082191780821912</v>
      </c>
      <c r="F624" s="69">
        <f>$C624*E624*_xlfn.XLOOKUP($D624,'Sample Size cal and results'!$B$23:$B$24,'Sample Size cal and results'!$D$23:$D$24)</f>
        <v>88.721105522527921</v>
      </c>
      <c r="G624" s="72" t="str">
        <f>IF(DATEDIF($B624,'Inst summary and ER calculation'!$U$6,"y")=2,"2-3 years","3-4 years")</f>
        <v>3-4 years</v>
      </c>
      <c r="H624" s="69">
        <f t="shared" si="30"/>
        <v>1</v>
      </c>
      <c r="I624" s="142">
        <f>$C624*H624*_xlfn.XLOOKUP($G624,'Sample Size cal and results'!$B$25:$B$26,'Sample Size cal and results'!$D$25:$D$26)</f>
        <v>149.27062207659699</v>
      </c>
    </row>
    <row r="625" spans="1:9" ht="13">
      <c r="A625" s="131" t="s">
        <v>129</v>
      </c>
      <c r="B625" s="53">
        <v>41931</v>
      </c>
      <c r="C625" s="52">
        <v>181</v>
      </c>
      <c r="D625" s="72" t="str">
        <f>IF(DATEDIF($B625,'Inst summary and ER calculation'!$T$6,"y")=1,"1-2 years","2-3 years")</f>
        <v>2-3 years</v>
      </c>
      <c r="E625" s="69">
        <f t="shared" si="29"/>
        <v>0.58082191780821912</v>
      </c>
      <c r="F625" s="69">
        <f>$C625*E625*_xlfn.XLOOKUP($D625,'Sample Size cal and results'!$B$23:$B$24,'Sample Size cal and results'!$D$23:$D$24)</f>
        <v>107.05680066385035</v>
      </c>
      <c r="G625" s="72" t="str">
        <f>IF(DATEDIF($B625,'Inst summary and ER calculation'!$U$6,"y")=2,"2-3 years","3-4 years")</f>
        <v>3-4 years</v>
      </c>
      <c r="H625" s="69">
        <f t="shared" si="30"/>
        <v>1</v>
      </c>
      <c r="I625" s="142">
        <f>$C625*H625*_xlfn.XLOOKUP($G625,'Sample Size cal and results'!$B$25:$B$26,'Sample Size cal and results'!$D$25:$D$26)</f>
        <v>180.11988397242703</v>
      </c>
    </row>
    <row r="626" spans="1:9" ht="13">
      <c r="A626" s="131" t="s">
        <v>129</v>
      </c>
      <c r="B626" s="53">
        <v>41932</v>
      </c>
      <c r="C626" s="52">
        <v>141</v>
      </c>
      <c r="D626" s="72" t="str">
        <f>IF(DATEDIF($B626,'Inst summary and ER calculation'!$T$6,"y")=1,"1-2 years","2-3 years")</f>
        <v>2-3 years</v>
      </c>
      <c r="E626" s="69">
        <f t="shared" si="29"/>
        <v>0.58082191780821912</v>
      </c>
      <c r="F626" s="69">
        <f>$C626*E626*_xlfn.XLOOKUP($D626,'Sample Size cal and results'!$B$23:$B$24,'Sample Size cal and results'!$D$23:$D$24)</f>
        <v>83.397839191176246</v>
      </c>
      <c r="G626" s="72" t="str">
        <f>IF(DATEDIF($B626,'Inst summary and ER calculation'!$U$6,"y")=2,"2-3 years","3-4 years")</f>
        <v>3-4 years</v>
      </c>
      <c r="H626" s="69">
        <f t="shared" si="30"/>
        <v>1</v>
      </c>
      <c r="I626" s="142">
        <f>$C626*H626*_xlfn.XLOOKUP($G626,'Sample Size cal and results'!$B$25:$B$26,'Sample Size cal and results'!$D$25:$D$26)</f>
        <v>140.31438475200116</v>
      </c>
    </row>
    <row r="627" spans="1:9" ht="13">
      <c r="A627" s="131" t="s">
        <v>129</v>
      </c>
      <c r="B627" s="53">
        <v>41933</v>
      </c>
      <c r="C627" s="52">
        <v>1872</v>
      </c>
      <c r="D627" s="72" t="str">
        <f>IF(DATEDIF($B627,'Inst summary and ER calculation'!$T$6,"y")=1,"1-2 years","2-3 years")</f>
        <v>2-3 years</v>
      </c>
      <c r="E627" s="69">
        <f t="shared" si="29"/>
        <v>0.58082191780821912</v>
      </c>
      <c r="F627" s="69">
        <f>$C627*E627*_xlfn.XLOOKUP($D627,'Sample Size cal and results'!$B$23:$B$24,'Sample Size cal and results'!$D$23:$D$24)</f>
        <v>1107.2393969211485</v>
      </c>
      <c r="G627" s="72" t="str">
        <f>IF(DATEDIF($B627,'Inst summary and ER calculation'!$U$6,"y")=2,"2-3 years","3-4 years")</f>
        <v>3-4 years</v>
      </c>
      <c r="H627" s="69">
        <f t="shared" si="30"/>
        <v>1</v>
      </c>
      <c r="I627" s="142">
        <f>$C627*H627*_xlfn.XLOOKUP($G627,'Sample Size cal and results'!$B$25:$B$26,'Sample Size cal and results'!$D$25:$D$26)</f>
        <v>1862.8973635159302</v>
      </c>
    </row>
    <row r="628" spans="1:9" ht="13">
      <c r="A628" s="131" t="s">
        <v>130</v>
      </c>
      <c r="B628" s="53">
        <v>41933</v>
      </c>
      <c r="C628" s="52">
        <v>185</v>
      </c>
      <c r="D628" s="72" t="str">
        <f>IF(DATEDIF($B628,'Inst summary and ER calculation'!$T$6,"y")=1,"1-2 years","2-3 years")</f>
        <v>2-3 years</v>
      </c>
      <c r="E628" s="69">
        <f t="shared" si="29"/>
        <v>0.58082191780821912</v>
      </c>
      <c r="F628" s="69">
        <f>$C628*E628*_xlfn.XLOOKUP($D628,'Sample Size cal and results'!$B$23:$B$24,'Sample Size cal and results'!$D$23:$D$24)</f>
        <v>109.42269681111777</v>
      </c>
      <c r="G628" s="72" t="str">
        <f>IF(DATEDIF($B628,'Inst summary and ER calculation'!$U$6,"y")=2,"2-3 years","3-4 years")</f>
        <v>3-4 years</v>
      </c>
      <c r="H628" s="69">
        <f t="shared" si="30"/>
        <v>1</v>
      </c>
      <c r="I628" s="142">
        <f>$C628*H628*_xlfn.XLOOKUP($G628,'Sample Size cal and results'!$B$25:$B$26,'Sample Size cal and results'!$D$25:$D$26)</f>
        <v>184.1004338944696</v>
      </c>
    </row>
    <row r="629" spans="1:9" ht="13">
      <c r="A629" s="131" t="s">
        <v>130</v>
      </c>
      <c r="B629" s="53">
        <v>41934</v>
      </c>
      <c r="C629" s="52">
        <v>155</v>
      </c>
      <c r="D629" s="72" t="str">
        <f>IF(DATEDIF($B629,'Inst summary and ER calculation'!$T$6,"y")=1,"1-2 years","2-3 years")</f>
        <v>2-3 years</v>
      </c>
      <c r="E629" s="69">
        <f t="shared" si="29"/>
        <v>0.58082191780821912</v>
      </c>
      <c r="F629" s="69">
        <f>$C629*E629*_xlfn.XLOOKUP($D629,'Sample Size cal and results'!$B$23:$B$24,'Sample Size cal and results'!$D$23:$D$24)</f>
        <v>91.678475706612176</v>
      </c>
      <c r="G629" s="72" t="str">
        <f>IF(DATEDIF($B629,'Inst summary and ER calculation'!$U$6,"y")=2,"2-3 years","3-4 years")</f>
        <v>3-4 years</v>
      </c>
      <c r="H629" s="69">
        <f t="shared" si="30"/>
        <v>1</v>
      </c>
      <c r="I629" s="142">
        <f>$C629*H629*_xlfn.XLOOKUP($G629,'Sample Size cal and results'!$B$25:$B$26,'Sample Size cal and results'!$D$25:$D$26)</f>
        <v>154.24630947915023</v>
      </c>
    </row>
    <row r="630" spans="1:9" ht="13">
      <c r="A630" s="131" t="s">
        <v>130</v>
      </c>
      <c r="B630" s="53">
        <v>41935</v>
      </c>
      <c r="C630" s="52">
        <v>120</v>
      </c>
      <c r="D630" s="72" t="str">
        <f>IF(DATEDIF($B630,'Inst summary and ER calculation'!$T$6,"y")=1,"1-2 years","2-3 years")</f>
        <v>2-3 years</v>
      </c>
      <c r="E630" s="69">
        <f t="shared" si="29"/>
        <v>0.58082191780821912</v>
      </c>
      <c r="F630" s="69">
        <f>$C630*E630*_xlfn.XLOOKUP($D630,'Sample Size cal and results'!$B$23:$B$24,'Sample Size cal and results'!$D$23:$D$24)</f>
        <v>70.976884418022337</v>
      </c>
      <c r="G630" s="72" t="str">
        <f>IF(DATEDIF($B630,'Inst summary and ER calculation'!$U$6,"y")=2,"2-3 years","3-4 years")</f>
        <v>3-4 years</v>
      </c>
      <c r="H630" s="69">
        <f t="shared" si="30"/>
        <v>1</v>
      </c>
      <c r="I630" s="142">
        <f>$C630*H630*_xlfn.XLOOKUP($G630,'Sample Size cal and results'!$B$25:$B$26,'Sample Size cal and results'!$D$25:$D$26)</f>
        <v>119.41649766127759</v>
      </c>
    </row>
    <row r="631" spans="1:9" ht="13">
      <c r="A631" s="131" t="s">
        <v>130</v>
      </c>
      <c r="B631" s="53">
        <v>41936</v>
      </c>
      <c r="C631" s="52">
        <v>85</v>
      </c>
      <c r="D631" s="72" t="str">
        <f>IF(DATEDIF($B631,'Inst summary and ER calculation'!$T$6,"y")=1,"1-2 years","2-3 years")</f>
        <v>2-3 years</v>
      </c>
      <c r="E631" s="69">
        <f t="shared" si="29"/>
        <v>0.58082191780821912</v>
      </c>
      <c r="F631" s="69">
        <f>$C631*E631*_xlfn.XLOOKUP($D631,'Sample Size cal and results'!$B$23:$B$24,'Sample Size cal and results'!$D$23:$D$24)</f>
        <v>50.275293129432491</v>
      </c>
      <c r="G631" s="72" t="str">
        <f>IF(DATEDIF($B631,'Inst summary and ER calculation'!$U$6,"y")=2,"2-3 years","3-4 years")</f>
        <v>3-4 years</v>
      </c>
      <c r="H631" s="69">
        <f t="shared" si="30"/>
        <v>1</v>
      </c>
      <c r="I631" s="142">
        <f>$C631*H631*_xlfn.XLOOKUP($G631,'Sample Size cal and results'!$B$25:$B$26,'Sample Size cal and results'!$D$25:$D$26)</f>
        <v>84.58668584340495</v>
      </c>
    </row>
    <row r="632" spans="1:9" ht="13">
      <c r="A632" s="131" t="s">
        <v>130</v>
      </c>
      <c r="B632" s="53">
        <v>41937</v>
      </c>
      <c r="C632" s="52">
        <v>265</v>
      </c>
      <c r="D632" s="72" t="str">
        <f>IF(DATEDIF($B632,'Inst summary and ER calculation'!$T$6,"y")=1,"1-2 years","2-3 years")</f>
        <v>2-3 years</v>
      </c>
      <c r="E632" s="69">
        <f t="shared" si="29"/>
        <v>0.58082191780821912</v>
      </c>
      <c r="F632" s="69">
        <f>$C632*E632*_xlfn.XLOOKUP($D632,'Sample Size cal and results'!$B$23:$B$24,'Sample Size cal and results'!$D$23:$D$24)</f>
        <v>156.74061975646597</v>
      </c>
      <c r="G632" s="72" t="str">
        <f>IF(DATEDIF($B632,'Inst summary and ER calculation'!$U$6,"y")=2,"2-3 years","3-4 years")</f>
        <v>3-4 years</v>
      </c>
      <c r="H632" s="69">
        <f t="shared" si="30"/>
        <v>1</v>
      </c>
      <c r="I632" s="142">
        <f>$C632*H632*_xlfn.XLOOKUP($G632,'Sample Size cal and results'!$B$25:$B$26,'Sample Size cal and results'!$D$25:$D$26)</f>
        <v>263.71143233532132</v>
      </c>
    </row>
    <row r="633" spans="1:9" ht="13">
      <c r="A633" s="131" t="s">
        <v>130</v>
      </c>
      <c r="B633" s="53">
        <v>41938</v>
      </c>
      <c r="C633" s="52">
        <v>604</v>
      </c>
      <c r="D633" s="72" t="str">
        <f>IF(DATEDIF($B633,'Inst summary and ER calculation'!$T$6,"y")=1,"1-2 years","2-3 years")</f>
        <v>2-3 years</v>
      </c>
      <c r="E633" s="69">
        <f t="shared" si="29"/>
        <v>0.58082191780821912</v>
      </c>
      <c r="F633" s="69">
        <f>$C633*E633*_xlfn.XLOOKUP($D633,'Sample Size cal and results'!$B$23:$B$24,'Sample Size cal and results'!$D$23:$D$24)</f>
        <v>357.25031823737908</v>
      </c>
      <c r="G633" s="72" t="str">
        <f>IF(DATEDIF($B633,'Inst summary and ER calculation'!$U$6,"y")=2,"2-3 years","3-4 years")</f>
        <v>3-4 years</v>
      </c>
      <c r="H633" s="69">
        <f t="shared" si="30"/>
        <v>1</v>
      </c>
      <c r="I633" s="142">
        <f>$C633*H633*_xlfn.XLOOKUP($G633,'Sample Size cal and results'!$B$25:$B$26,'Sample Size cal and results'!$D$25:$D$26)</f>
        <v>601.06303822843051</v>
      </c>
    </row>
    <row r="634" spans="1:9" ht="13">
      <c r="A634" s="131" t="s">
        <v>130</v>
      </c>
      <c r="B634" s="53">
        <v>41939</v>
      </c>
      <c r="C634" s="52">
        <v>100</v>
      </c>
      <c r="D634" s="72" t="str">
        <f>IF(DATEDIF($B634,'Inst summary and ER calculation'!$T$6,"y")=1,"1-2 years","2-3 years")</f>
        <v>2-3 years</v>
      </c>
      <c r="E634" s="69">
        <f t="shared" si="29"/>
        <v>0.58082191780821912</v>
      </c>
      <c r="F634" s="69">
        <f>$C634*E634*_xlfn.XLOOKUP($D634,'Sample Size cal and results'!$B$23:$B$24,'Sample Size cal and results'!$D$23:$D$24)</f>
        <v>59.147403681685283</v>
      </c>
      <c r="G634" s="72" t="str">
        <f>IF(DATEDIF($B634,'Inst summary and ER calculation'!$U$6,"y")=2,"2-3 years","3-4 years")</f>
        <v>3-4 years</v>
      </c>
      <c r="H634" s="69">
        <f t="shared" si="30"/>
        <v>1</v>
      </c>
      <c r="I634" s="142">
        <f>$C634*H634*_xlfn.XLOOKUP($G634,'Sample Size cal and results'!$B$25:$B$26,'Sample Size cal and results'!$D$25:$D$26)</f>
        <v>99.513748051064653</v>
      </c>
    </row>
    <row r="635" spans="1:9" ht="13">
      <c r="A635" s="131" t="s">
        <v>130</v>
      </c>
      <c r="B635" s="53">
        <v>41940</v>
      </c>
      <c r="C635" s="52">
        <v>1256</v>
      </c>
      <c r="D635" s="72" t="str">
        <f>IF(DATEDIF($B635,'Inst summary and ER calculation'!$T$6,"y")=1,"1-2 years","2-3 years")</f>
        <v>2-3 years</v>
      </c>
      <c r="E635" s="69">
        <f t="shared" si="29"/>
        <v>0.58082191780821912</v>
      </c>
      <c r="F635" s="69">
        <f>$C635*E635*_xlfn.XLOOKUP($D635,'Sample Size cal and results'!$B$23:$B$24,'Sample Size cal and results'!$D$23:$D$24)</f>
        <v>742.89139024196709</v>
      </c>
      <c r="G635" s="72" t="str">
        <f>IF(DATEDIF($B635,'Inst summary and ER calculation'!$U$6,"y")=2,"2-3 years","3-4 years")</f>
        <v>3-4 years</v>
      </c>
      <c r="H635" s="69">
        <f t="shared" si="30"/>
        <v>1</v>
      </c>
      <c r="I635" s="142">
        <f>$C635*H635*_xlfn.XLOOKUP($G635,'Sample Size cal and results'!$B$25:$B$26,'Sample Size cal and results'!$D$25:$D$26)</f>
        <v>1249.892675521372</v>
      </c>
    </row>
    <row r="636" spans="1:9" ht="13">
      <c r="A636" s="131" t="s">
        <v>130</v>
      </c>
      <c r="B636" s="53">
        <v>41941</v>
      </c>
      <c r="C636" s="52">
        <v>610</v>
      </c>
      <c r="D636" s="72" t="str">
        <f>IF(DATEDIF($B636,'Inst summary and ER calculation'!$T$6,"y")=1,"1-2 years","2-3 years")</f>
        <v>2-3 years</v>
      </c>
      <c r="E636" s="69">
        <f t="shared" si="29"/>
        <v>0.58082191780821912</v>
      </c>
      <c r="F636" s="69">
        <f>$C636*E636*_xlfn.XLOOKUP($D636,'Sample Size cal and results'!$B$23:$B$24,'Sample Size cal and results'!$D$23:$D$24)</f>
        <v>360.79916245828025</v>
      </c>
      <c r="G636" s="72" t="str">
        <f>IF(DATEDIF($B636,'Inst summary and ER calculation'!$U$6,"y")=2,"2-3 years","3-4 years")</f>
        <v>3-4 years</v>
      </c>
      <c r="H636" s="69">
        <f t="shared" si="30"/>
        <v>1</v>
      </c>
      <c r="I636" s="142">
        <f>$C636*H636*_xlfn.XLOOKUP($G636,'Sample Size cal and results'!$B$25:$B$26,'Sample Size cal and results'!$D$25:$D$26)</f>
        <v>607.03386311149438</v>
      </c>
    </row>
    <row r="637" spans="1:9" ht="13">
      <c r="A637" s="131" t="s">
        <v>130</v>
      </c>
      <c r="B637" s="53">
        <v>41942</v>
      </c>
      <c r="C637" s="52">
        <v>87</v>
      </c>
      <c r="D637" s="72" t="str">
        <f>IF(DATEDIF($B637,'Inst summary and ER calculation'!$T$6,"y")=1,"1-2 years","2-3 years")</f>
        <v>2-3 years</v>
      </c>
      <c r="E637" s="69">
        <f t="shared" si="29"/>
        <v>0.58082191780821912</v>
      </c>
      <c r="F637" s="69">
        <f>$C637*E637*_xlfn.XLOOKUP($D637,'Sample Size cal and results'!$B$23:$B$24,'Sample Size cal and results'!$D$23:$D$24)</f>
        <v>51.458241203066194</v>
      </c>
      <c r="G637" s="72" t="str">
        <f>IF(DATEDIF($B637,'Inst summary and ER calculation'!$U$6,"y")=2,"2-3 years","3-4 years")</f>
        <v>3-4 years</v>
      </c>
      <c r="H637" s="69">
        <f t="shared" si="30"/>
        <v>1</v>
      </c>
      <c r="I637" s="142">
        <f>$C637*H637*_xlfn.XLOOKUP($G637,'Sample Size cal and results'!$B$25:$B$26,'Sample Size cal and results'!$D$25:$D$26)</f>
        <v>86.57696080442625</v>
      </c>
    </row>
    <row r="638" spans="1:9" ht="13">
      <c r="A638" s="131" t="s">
        <v>130</v>
      </c>
      <c r="B638" s="53">
        <v>41943</v>
      </c>
      <c r="C638" s="52">
        <v>111</v>
      </c>
      <c r="D638" s="72" t="str">
        <f>IF(DATEDIF($B638,'Inst summary and ER calculation'!$T$6,"y")=1,"1-2 years","2-3 years")</f>
        <v>2-3 years</v>
      </c>
      <c r="E638" s="69">
        <f t="shared" si="29"/>
        <v>0.58082191780821912</v>
      </c>
      <c r="F638" s="69">
        <f>$C638*E638*_xlfn.XLOOKUP($D638,'Sample Size cal and results'!$B$23:$B$24,'Sample Size cal and results'!$D$23:$D$24)</f>
        <v>65.653618086670662</v>
      </c>
      <c r="G638" s="72" t="str">
        <f>IF(DATEDIF($B638,'Inst summary and ER calculation'!$U$6,"y")=2,"2-3 years","3-4 years")</f>
        <v>3-4 years</v>
      </c>
      <c r="H638" s="69">
        <f t="shared" si="30"/>
        <v>1</v>
      </c>
      <c r="I638" s="142">
        <f>$C638*H638*_xlfn.XLOOKUP($G638,'Sample Size cal and results'!$B$25:$B$26,'Sample Size cal and results'!$D$25:$D$26)</f>
        <v>110.46026033668177</v>
      </c>
    </row>
    <row r="639" spans="1:9" ht="13">
      <c r="A639" s="131" t="s">
        <v>130</v>
      </c>
      <c r="B639" s="53">
        <v>41944</v>
      </c>
      <c r="C639" s="52">
        <v>122</v>
      </c>
      <c r="D639" s="72" t="str">
        <f>IF(DATEDIF($B639,'Inst summary and ER calculation'!$T$6,"y")=1,"1-2 years","2-3 years")</f>
        <v>2-3 years</v>
      </c>
      <c r="E639" s="69">
        <f t="shared" si="29"/>
        <v>0.58082191780821912</v>
      </c>
      <c r="F639" s="69">
        <f>$C639*E639*_xlfn.XLOOKUP($D639,'Sample Size cal and results'!$B$23:$B$24,'Sample Size cal and results'!$D$23:$D$24)</f>
        <v>72.159832491656033</v>
      </c>
      <c r="G639" s="72" t="str">
        <f>IF(DATEDIF($B639,'Inst summary and ER calculation'!$U$6,"y")=2,"2-3 years","3-4 years")</f>
        <v>3-4 years</v>
      </c>
      <c r="H639" s="69">
        <f t="shared" si="30"/>
        <v>1</v>
      </c>
      <c r="I639" s="142">
        <f>$C639*H639*_xlfn.XLOOKUP($G639,'Sample Size cal and results'!$B$25:$B$26,'Sample Size cal and results'!$D$25:$D$26)</f>
        <v>121.40677262229887</v>
      </c>
    </row>
    <row r="640" spans="1:9" ht="13">
      <c r="A640" s="131" t="s">
        <v>130</v>
      </c>
      <c r="B640" s="53">
        <v>41945</v>
      </c>
      <c r="C640" s="52">
        <v>44</v>
      </c>
      <c r="D640" s="72" t="str">
        <f>IF(DATEDIF($B640,'Inst summary and ER calculation'!$T$6,"y")=1,"1-2 years","2-3 years")</f>
        <v>2-3 years</v>
      </c>
      <c r="E640" s="69">
        <f t="shared" si="29"/>
        <v>0.58082191780821912</v>
      </c>
      <c r="F640" s="69">
        <f>$C640*E640*_xlfn.XLOOKUP($D640,'Sample Size cal and results'!$B$23:$B$24,'Sample Size cal and results'!$D$23:$D$24)</f>
        <v>26.024857619941521</v>
      </c>
      <c r="G640" s="72" t="str">
        <f>IF(DATEDIF($B640,'Inst summary and ER calculation'!$U$6,"y")=2,"2-3 years","3-4 years")</f>
        <v>3-4 years</v>
      </c>
      <c r="H640" s="69">
        <f t="shared" si="30"/>
        <v>1</v>
      </c>
      <c r="I640" s="142">
        <f>$C640*H640*_xlfn.XLOOKUP($G640,'Sample Size cal and results'!$B$25:$B$26,'Sample Size cal and results'!$D$25:$D$26)</f>
        <v>43.78604914246845</v>
      </c>
    </row>
    <row r="641" spans="1:9" ht="13">
      <c r="A641" s="131" t="s">
        <v>131</v>
      </c>
      <c r="B641" s="53">
        <v>41945</v>
      </c>
      <c r="C641" s="52">
        <v>102</v>
      </c>
      <c r="D641" s="72" t="str">
        <f>IF(DATEDIF($B641,'Inst summary and ER calculation'!$T$6,"y")=1,"1-2 years","2-3 years")</f>
        <v>2-3 years</v>
      </c>
      <c r="E641" s="69">
        <f t="shared" si="29"/>
        <v>0.58082191780821912</v>
      </c>
      <c r="F641" s="69">
        <f>$C641*E641*_xlfn.XLOOKUP($D641,'Sample Size cal and results'!$B$23:$B$24,'Sample Size cal and results'!$D$23:$D$24)</f>
        <v>60.330351755318986</v>
      </c>
      <c r="G641" s="72" t="str">
        <f>IF(DATEDIF($B641,'Inst summary and ER calculation'!$U$6,"y")=2,"2-3 years","3-4 years")</f>
        <v>3-4 years</v>
      </c>
      <c r="H641" s="69">
        <f t="shared" si="30"/>
        <v>1</v>
      </c>
      <c r="I641" s="142">
        <f>$C641*H641*_xlfn.XLOOKUP($G641,'Sample Size cal and results'!$B$25:$B$26,'Sample Size cal and results'!$D$25:$D$26)</f>
        <v>101.50402301208595</v>
      </c>
    </row>
    <row r="642" spans="1:9" ht="13">
      <c r="A642" s="131" t="s">
        <v>131</v>
      </c>
      <c r="B642" s="53">
        <v>41946</v>
      </c>
      <c r="C642" s="52">
        <v>147</v>
      </c>
      <c r="D642" s="72" t="str">
        <f>IF(DATEDIF($B642,'Inst summary and ER calculation'!$T$6,"y")=1,"1-2 years","2-3 years")</f>
        <v>2-3 years</v>
      </c>
      <c r="E642" s="69">
        <f t="shared" si="29"/>
        <v>0.58082191780821912</v>
      </c>
      <c r="F642" s="69">
        <f>$C642*E642*_xlfn.XLOOKUP($D642,'Sample Size cal and results'!$B$23:$B$24,'Sample Size cal and results'!$D$23:$D$24)</f>
        <v>86.946683412077363</v>
      </c>
      <c r="G642" s="72" t="str">
        <f>IF(DATEDIF($B642,'Inst summary and ER calculation'!$U$6,"y")=2,"2-3 years","3-4 years")</f>
        <v>3-4 years</v>
      </c>
      <c r="H642" s="69">
        <f t="shared" si="30"/>
        <v>1</v>
      </c>
      <c r="I642" s="142">
        <f>$C642*H642*_xlfn.XLOOKUP($G642,'Sample Size cal and results'!$B$25:$B$26,'Sample Size cal and results'!$D$25:$D$26)</f>
        <v>146.28520963506503</v>
      </c>
    </row>
    <row r="643" spans="1:9" ht="13">
      <c r="A643" s="131" t="s">
        <v>131</v>
      </c>
      <c r="B643" s="53">
        <v>41947</v>
      </c>
      <c r="C643" s="52">
        <v>130</v>
      </c>
      <c r="D643" s="72" t="str">
        <f>IF(DATEDIF($B643,'Inst summary and ER calculation'!$T$6,"y")=1,"1-2 years","2-3 years")</f>
        <v>2-3 years</v>
      </c>
      <c r="E643" s="69">
        <f t="shared" si="29"/>
        <v>0.58082191780821912</v>
      </c>
      <c r="F643" s="69">
        <f>$C643*E643*_xlfn.XLOOKUP($D643,'Sample Size cal and results'!$B$23:$B$24,'Sample Size cal and results'!$D$23:$D$24)</f>
        <v>76.891624786190874</v>
      </c>
      <c r="G643" s="72" t="str">
        <f>IF(DATEDIF($B643,'Inst summary and ER calculation'!$U$6,"y")=2,"2-3 years","3-4 years")</f>
        <v>3-4 years</v>
      </c>
      <c r="H643" s="69">
        <f t="shared" si="30"/>
        <v>1</v>
      </c>
      <c r="I643" s="142">
        <f>$C643*H643*_xlfn.XLOOKUP($G643,'Sample Size cal and results'!$B$25:$B$26,'Sample Size cal and results'!$D$25:$D$26)</f>
        <v>129.36787246638406</v>
      </c>
    </row>
    <row r="644" spans="1:9" ht="13">
      <c r="A644" s="131" t="s">
        <v>131</v>
      </c>
      <c r="B644" s="53">
        <v>41948</v>
      </c>
      <c r="C644" s="52">
        <v>174</v>
      </c>
      <c r="D644" s="72" t="str">
        <f>IF(DATEDIF($B644,'Inst summary and ER calculation'!$T$6,"y")=1,"1-2 years","2-3 years")</f>
        <v>2-3 years</v>
      </c>
      <c r="E644" s="69">
        <f t="shared" si="29"/>
        <v>0.58082191780821912</v>
      </c>
      <c r="F644" s="69">
        <f>$C644*E644*_xlfn.XLOOKUP($D644,'Sample Size cal and results'!$B$23:$B$24,'Sample Size cal and results'!$D$23:$D$24)</f>
        <v>102.91648240613239</v>
      </c>
      <c r="G644" s="72" t="str">
        <f>IF(DATEDIF($B644,'Inst summary and ER calculation'!$U$6,"y")=2,"2-3 years","3-4 years")</f>
        <v>3-4 years</v>
      </c>
      <c r="H644" s="69">
        <f t="shared" si="30"/>
        <v>1</v>
      </c>
      <c r="I644" s="142">
        <f>$C644*H644*_xlfn.XLOOKUP($G644,'Sample Size cal and results'!$B$25:$B$26,'Sample Size cal and results'!$D$25:$D$26)</f>
        <v>173.1539216088525</v>
      </c>
    </row>
    <row r="645" spans="1:9" ht="13">
      <c r="A645" s="131" t="s">
        <v>131</v>
      </c>
      <c r="B645" s="53">
        <v>41949</v>
      </c>
      <c r="C645" s="52">
        <v>203</v>
      </c>
      <c r="D645" s="72" t="str">
        <f>IF(DATEDIF($B645,'Inst summary and ER calculation'!$T$6,"y")=1,"1-2 years","2-3 years")</f>
        <v>2-3 years</v>
      </c>
      <c r="E645" s="69">
        <f t="shared" si="29"/>
        <v>0.58082191780821912</v>
      </c>
      <c r="F645" s="69">
        <f>$C645*E645*_xlfn.XLOOKUP($D645,'Sample Size cal and results'!$B$23:$B$24,'Sample Size cal and results'!$D$23:$D$24)</f>
        <v>120.06922947382112</v>
      </c>
      <c r="G645" s="72" t="str">
        <f>IF(DATEDIF($B645,'Inst summary and ER calculation'!$U$6,"y")=2,"2-3 years","3-4 years")</f>
        <v>3-4 years</v>
      </c>
      <c r="H645" s="69">
        <f t="shared" si="30"/>
        <v>1</v>
      </c>
      <c r="I645" s="142">
        <f>$C645*H645*_xlfn.XLOOKUP($G645,'Sample Size cal and results'!$B$25:$B$26,'Sample Size cal and results'!$D$25:$D$26)</f>
        <v>202.01290854366124</v>
      </c>
    </row>
    <row r="646" spans="1:9" ht="13">
      <c r="A646" s="131" t="s">
        <v>131</v>
      </c>
      <c r="B646" s="53">
        <v>41950</v>
      </c>
      <c r="C646" s="52">
        <v>234</v>
      </c>
      <c r="D646" s="72" t="str">
        <f>IF(DATEDIF($B646,'Inst summary and ER calculation'!$T$6,"y")=1,"1-2 years","2-3 years")</f>
        <v>2-3 years</v>
      </c>
      <c r="E646" s="69">
        <f t="shared" si="29"/>
        <v>0.58082191780821912</v>
      </c>
      <c r="F646" s="69">
        <f>$C646*E646*_xlfn.XLOOKUP($D646,'Sample Size cal and results'!$B$23:$B$24,'Sample Size cal and results'!$D$23:$D$24)</f>
        <v>138.40492461514356</v>
      </c>
      <c r="G646" s="72" t="str">
        <f>IF(DATEDIF($B646,'Inst summary and ER calculation'!$U$6,"y")=2,"2-3 years","3-4 years")</f>
        <v>3-4 years</v>
      </c>
      <c r="H646" s="69">
        <f t="shared" si="30"/>
        <v>1</v>
      </c>
      <c r="I646" s="142">
        <f>$C646*H646*_xlfn.XLOOKUP($G646,'Sample Size cal and results'!$B$25:$B$26,'Sample Size cal and results'!$D$25:$D$26)</f>
        <v>232.86217043949128</v>
      </c>
    </row>
    <row r="647" spans="1:9" ht="13">
      <c r="A647" s="131" t="s">
        <v>131</v>
      </c>
      <c r="B647" s="53">
        <v>41951</v>
      </c>
      <c r="C647" s="52">
        <v>1586</v>
      </c>
      <c r="D647" s="72" t="str">
        <f>IF(DATEDIF($B647,'Inst summary and ER calculation'!$T$6,"y")=1,"1-2 years","2-3 years")</f>
        <v>2-3 years</v>
      </c>
      <c r="E647" s="69">
        <f t="shared" si="29"/>
        <v>0.58082191780821912</v>
      </c>
      <c r="F647" s="69">
        <f>$C647*E647*_xlfn.XLOOKUP($D647,'Sample Size cal and results'!$B$23:$B$24,'Sample Size cal and results'!$D$23:$D$24)</f>
        <v>938.07782239152857</v>
      </c>
      <c r="G647" s="72" t="str">
        <f>IF(DATEDIF($B647,'Inst summary and ER calculation'!$U$6,"y")=2,"2-3 years","3-4 years")</f>
        <v>3-4 years</v>
      </c>
      <c r="H647" s="69">
        <f t="shared" si="30"/>
        <v>1</v>
      </c>
      <c r="I647" s="142">
        <f>$C647*H647*_xlfn.XLOOKUP($G647,'Sample Size cal and results'!$B$25:$B$26,'Sample Size cal and results'!$D$25:$D$26)</f>
        <v>1578.2880440898855</v>
      </c>
    </row>
    <row r="648" spans="1:9" ht="13">
      <c r="A648" s="131" t="s">
        <v>131</v>
      </c>
      <c r="B648" s="53">
        <v>41952</v>
      </c>
      <c r="C648" s="52">
        <v>205</v>
      </c>
      <c r="D648" s="72" t="str">
        <f>IF(DATEDIF($B648,'Inst summary and ER calculation'!$T$6,"y")=1,"1-2 years","2-3 years")</f>
        <v>2-3 years</v>
      </c>
      <c r="E648" s="69">
        <f t="shared" si="29"/>
        <v>0.58082191780821912</v>
      </c>
      <c r="F648" s="69">
        <f>$C648*E648*_xlfn.XLOOKUP($D648,'Sample Size cal and results'!$B$23:$B$24,'Sample Size cal and results'!$D$23:$D$24)</f>
        <v>121.25217754745482</v>
      </c>
      <c r="G648" s="72" t="str">
        <f>IF(DATEDIF($B648,'Inst summary and ER calculation'!$U$6,"y")=2,"2-3 years","3-4 years")</f>
        <v>3-4 years</v>
      </c>
      <c r="H648" s="69">
        <f t="shared" si="30"/>
        <v>1</v>
      </c>
      <c r="I648" s="142">
        <f>$C648*H648*_xlfn.XLOOKUP($G648,'Sample Size cal and results'!$B$25:$B$26,'Sample Size cal and results'!$D$25:$D$26)</f>
        <v>204.00318350468254</v>
      </c>
    </row>
    <row r="649" spans="1:9" ht="13">
      <c r="A649" s="131" t="s">
        <v>131</v>
      </c>
      <c r="B649" s="53">
        <v>41953</v>
      </c>
      <c r="C649" s="52">
        <v>224</v>
      </c>
      <c r="D649" s="72" t="str">
        <f>IF(DATEDIF($B649,'Inst summary and ER calculation'!$T$6,"y")=1,"1-2 years","2-3 years")</f>
        <v>2-3 years</v>
      </c>
      <c r="E649" s="69">
        <f t="shared" si="29"/>
        <v>0.58082191780821912</v>
      </c>
      <c r="F649" s="69">
        <f>$C649*E649*_xlfn.XLOOKUP($D649,'Sample Size cal and results'!$B$23:$B$24,'Sample Size cal and results'!$D$23:$D$24)</f>
        <v>132.49018424697502</v>
      </c>
      <c r="G649" s="72" t="str">
        <f>IF(DATEDIF($B649,'Inst summary and ER calculation'!$U$6,"y")=2,"2-3 years","3-4 years")</f>
        <v>3-4 years</v>
      </c>
      <c r="H649" s="69">
        <f t="shared" si="30"/>
        <v>1</v>
      </c>
      <c r="I649" s="142">
        <f>$C649*H649*_xlfn.XLOOKUP($G649,'Sample Size cal and results'!$B$25:$B$26,'Sample Size cal and results'!$D$25:$D$26)</f>
        <v>222.91079563438484</v>
      </c>
    </row>
    <row r="650" spans="1:9" ht="13">
      <c r="A650" s="131" t="s">
        <v>131</v>
      </c>
      <c r="B650" s="53">
        <v>41954</v>
      </c>
      <c r="C650" s="52">
        <v>207</v>
      </c>
      <c r="D650" s="72" t="str">
        <f>IF(DATEDIF($B650,'Inst summary and ER calculation'!$T$6,"y")=1,"1-2 years","2-3 years")</f>
        <v>2-3 years</v>
      </c>
      <c r="E650" s="69">
        <f t="shared" si="29"/>
        <v>0.58082191780821912</v>
      </c>
      <c r="F650" s="69">
        <f>$C650*E650*_xlfn.XLOOKUP($D650,'Sample Size cal and results'!$B$23:$B$24,'Sample Size cal and results'!$D$23:$D$24)</f>
        <v>122.43512562108853</v>
      </c>
      <c r="G650" s="72" t="str">
        <f>IF(DATEDIF($B650,'Inst summary and ER calculation'!$U$6,"y")=2,"2-3 years","3-4 years")</f>
        <v>3-4 years</v>
      </c>
      <c r="H650" s="69">
        <f t="shared" si="30"/>
        <v>1</v>
      </c>
      <c r="I650" s="142">
        <f>$C650*H650*_xlfn.XLOOKUP($G650,'Sample Size cal and results'!$B$25:$B$26,'Sample Size cal and results'!$D$25:$D$26)</f>
        <v>205.99345846570384</v>
      </c>
    </row>
    <row r="651" spans="1:9" ht="13">
      <c r="A651" s="131" t="s">
        <v>131</v>
      </c>
      <c r="B651" s="53">
        <v>41955</v>
      </c>
      <c r="C651" s="52">
        <v>269</v>
      </c>
      <c r="D651" s="72" t="str">
        <f>IF(DATEDIF($B651,'Inst summary and ER calculation'!$T$6,"y")=1,"1-2 years","2-3 years")</f>
        <v>2-3 years</v>
      </c>
      <c r="E651" s="69">
        <f t="shared" si="29"/>
        <v>0.58082191780821912</v>
      </c>
      <c r="F651" s="69">
        <f>$C651*E651*_xlfn.XLOOKUP($D651,'Sample Size cal and results'!$B$23:$B$24,'Sample Size cal and results'!$D$23:$D$24)</f>
        <v>159.1065159037334</v>
      </c>
      <c r="G651" s="72" t="str">
        <f>IF(DATEDIF($B651,'Inst summary and ER calculation'!$U$6,"y")=2,"2-3 years","3-4 years")</f>
        <v>3-4 years</v>
      </c>
      <c r="H651" s="69">
        <f t="shared" si="30"/>
        <v>1</v>
      </c>
      <c r="I651" s="142">
        <f>$C651*H651*_xlfn.XLOOKUP($G651,'Sample Size cal and results'!$B$25:$B$26,'Sample Size cal and results'!$D$25:$D$26)</f>
        <v>267.69198225736392</v>
      </c>
    </row>
    <row r="652" spans="1:9" ht="13">
      <c r="A652" s="131" t="s">
        <v>131</v>
      </c>
      <c r="B652" s="53">
        <v>41956</v>
      </c>
      <c r="C652" s="52">
        <v>206</v>
      </c>
      <c r="D652" s="72" t="str">
        <f>IF(DATEDIF($B652,'Inst summary and ER calculation'!$T$6,"y")=1,"1-2 years","2-3 years")</f>
        <v>2-3 years</v>
      </c>
      <c r="E652" s="69">
        <f t="shared" si="29"/>
        <v>0.58082191780821912</v>
      </c>
      <c r="F652" s="69">
        <f>$C652*E652*_xlfn.XLOOKUP($D652,'Sample Size cal and results'!$B$23:$B$24,'Sample Size cal and results'!$D$23:$D$24)</f>
        <v>121.84365158427168</v>
      </c>
      <c r="G652" s="72" t="str">
        <f>IF(DATEDIF($B652,'Inst summary and ER calculation'!$U$6,"y")=2,"2-3 years","3-4 years")</f>
        <v>3-4 years</v>
      </c>
      <c r="H652" s="69">
        <f t="shared" si="30"/>
        <v>1</v>
      </c>
      <c r="I652" s="142">
        <f>$C652*H652*_xlfn.XLOOKUP($G652,'Sample Size cal and results'!$B$25:$B$26,'Sample Size cal and results'!$D$25:$D$26)</f>
        <v>204.99832098519317</v>
      </c>
    </row>
    <row r="653" spans="1:9" ht="13">
      <c r="A653" s="131" t="s">
        <v>131</v>
      </c>
      <c r="B653" s="53">
        <v>41957</v>
      </c>
      <c r="C653" s="52">
        <v>204</v>
      </c>
      <c r="D653" s="72" t="str">
        <f>IF(DATEDIF($B653,'Inst summary and ER calculation'!$T$6,"y")=1,"1-2 years","2-3 years")</f>
        <v>2-3 years</v>
      </c>
      <c r="E653" s="69">
        <f t="shared" si="29"/>
        <v>0.58082191780821912</v>
      </c>
      <c r="F653" s="69">
        <f>$C653*E653*_xlfn.XLOOKUP($D653,'Sample Size cal and results'!$B$23:$B$24,'Sample Size cal and results'!$D$23:$D$24)</f>
        <v>120.66070351063797</v>
      </c>
      <c r="G653" s="72" t="str">
        <f>IF(DATEDIF($B653,'Inst summary and ER calculation'!$U$6,"y")=2,"2-3 years","3-4 years")</f>
        <v>3-4 years</v>
      </c>
      <c r="H653" s="69">
        <f t="shared" si="30"/>
        <v>1</v>
      </c>
      <c r="I653" s="142">
        <f>$C653*H653*_xlfn.XLOOKUP($G653,'Sample Size cal and results'!$B$25:$B$26,'Sample Size cal and results'!$D$25:$D$26)</f>
        <v>203.0080460241719</v>
      </c>
    </row>
    <row r="654" spans="1:9" ht="13">
      <c r="A654" s="131" t="s">
        <v>131</v>
      </c>
      <c r="B654" s="53">
        <v>41958</v>
      </c>
      <c r="C654" s="52">
        <v>2375</v>
      </c>
      <c r="D654" s="72" t="str">
        <f>IF(DATEDIF($B654,'Inst summary and ER calculation'!$T$6,"y")=1,"1-2 years","2-3 years")</f>
        <v>2-3 years</v>
      </c>
      <c r="E654" s="69">
        <f t="shared" si="29"/>
        <v>0.58082191780821912</v>
      </c>
      <c r="F654" s="69">
        <f>$C654*E654*_xlfn.XLOOKUP($D654,'Sample Size cal and results'!$B$23:$B$24,'Sample Size cal and results'!$D$23:$D$24)</f>
        <v>1404.7508374400254</v>
      </c>
      <c r="G654" s="72" t="str">
        <f>IF(DATEDIF($B654,'Inst summary and ER calculation'!$U$6,"y")=2,"2-3 years","3-4 years")</f>
        <v>3-4 years</v>
      </c>
      <c r="H654" s="69">
        <f t="shared" si="30"/>
        <v>1</v>
      </c>
      <c r="I654" s="142">
        <f>$C654*H654*_xlfn.XLOOKUP($G654,'Sample Size cal and results'!$B$25:$B$26,'Sample Size cal and results'!$D$25:$D$26)</f>
        <v>2363.4515162127855</v>
      </c>
    </row>
    <row r="655" spans="1:9" ht="13">
      <c r="A655" s="131" t="s">
        <v>132</v>
      </c>
      <c r="B655" s="53">
        <v>41958</v>
      </c>
      <c r="C655" s="52">
        <v>697</v>
      </c>
      <c r="D655" s="72" t="str">
        <f>IF(DATEDIF($B655,'Inst summary and ER calculation'!$T$6,"y")=1,"1-2 years","2-3 years")</f>
        <v>2-3 years</v>
      </c>
      <c r="E655" s="69">
        <f t="shared" si="29"/>
        <v>0.58082191780821912</v>
      </c>
      <c r="F655" s="69">
        <f>$C655*E655*_xlfn.XLOOKUP($D655,'Sample Size cal and results'!$B$23:$B$24,'Sample Size cal and results'!$D$23:$D$24)</f>
        <v>412.25740366134642</v>
      </c>
      <c r="G655" s="72" t="str">
        <f>IF(DATEDIF($B655,'Inst summary and ER calculation'!$U$6,"y")=2,"2-3 years","3-4 years")</f>
        <v>3-4 years</v>
      </c>
      <c r="H655" s="69">
        <f t="shared" si="30"/>
        <v>1</v>
      </c>
      <c r="I655" s="142">
        <f>$C655*H655*_xlfn.XLOOKUP($G655,'Sample Size cal and results'!$B$25:$B$26,'Sample Size cal and results'!$D$25:$D$26)</f>
        <v>693.61082391592061</v>
      </c>
    </row>
    <row r="656" spans="1:9" ht="13">
      <c r="A656" s="131" t="s">
        <v>132</v>
      </c>
      <c r="B656" s="53">
        <v>41959</v>
      </c>
      <c r="C656" s="52">
        <v>250</v>
      </c>
      <c r="D656" s="72" t="str">
        <f>IF(DATEDIF($B656,'Inst summary and ER calculation'!$T$6,"y")=1,"1-2 years","2-3 years")</f>
        <v>2-3 years</v>
      </c>
      <c r="E656" s="69">
        <f t="shared" si="29"/>
        <v>0.58082191780821912</v>
      </c>
      <c r="F656" s="69">
        <f>$C656*E656*_xlfn.XLOOKUP($D656,'Sample Size cal and results'!$B$23:$B$24,'Sample Size cal and results'!$D$23:$D$24)</f>
        <v>147.86850920421321</v>
      </c>
      <c r="G656" s="72" t="str">
        <f>IF(DATEDIF($B656,'Inst summary and ER calculation'!$U$6,"y")=2,"2-3 years","3-4 years")</f>
        <v>3-4 years</v>
      </c>
      <c r="H656" s="69">
        <f t="shared" si="30"/>
        <v>1</v>
      </c>
      <c r="I656" s="142">
        <f>$C656*H656*_xlfn.XLOOKUP($G656,'Sample Size cal and results'!$B$25:$B$26,'Sample Size cal and results'!$D$25:$D$26)</f>
        <v>248.78437012766165</v>
      </c>
    </row>
    <row r="657" spans="1:9" ht="13">
      <c r="A657" s="131" t="s">
        <v>132</v>
      </c>
      <c r="B657" s="53">
        <v>41960</v>
      </c>
      <c r="C657" s="52">
        <v>269</v>
      </c>
      <c r="D657" s="72" t="str">
        <f>IF(DATEDIF($B657,'Inst summary and ER calculation'!$T$6,"y")=1,"1-2 years","2-3 years")</f>
        <v>2-3 years</v>
      </c>
      <c r="E657" s="69">
        <f t="shared" si="29"/>
        <v>0.58082191780821912</v>
      </c>
      <c r="F657" s="69">
        <f>$C657*E657*_xlfn.XLOOKUP($D657,'Sample Size cal and results'!$B$23:$B$24,'Sample Size cal and results'!$D$23:$D$24)</f>
        <v>159.1065159037334</v>
      </c>
      <c r="G657" s="72" t="str">
        <f>IF(DATEDIF($B657,'Inst summary and ER calculation'!$U$6,"y")=2,"2-3 years","3-4 years")</f>
        <v>3-4 years</v>
      </c>
      <c r="H657" s="69">
        <f t="shared" si="30"/>
        <v>1</v>
      </c>
      <c r="I657" s="142">
        <f>$C657*H657*_xlfn.XLOOKUP($G657,'Sample Size cal and results'!$B$25:$B$26,'Sample Size cal and results'!$D$25:$D$26)</f>
        <v>267.69198225736392</v>
      </c>
    </row>
    <row r="658" spans="1:9" ht="13">
      <c r="A658" s="131" t="s">
        <v>132</v>
      </c>
      <c r="B658" s="53">
        <v>41961</v>
      </c>
      <c r="C658" s="52">
        <v>369</v>
      </c>
      <c r="D658" s="72" t="str">
        <f>IF(DATEDIF($B658,'Inst summary and ER calculation'!$T$6,"y")=1,"1-2 years","2-3 years")</f>
        <v>2-3 years</v>
      </c>
      <c r="E658" s="69">
        <f t="shared" si="29"/>
        <v>0.58082191780821912</v>
      </c>
      <c r="F658" s="69">
        <f>$C658*E658*_xlfn.XLOOKUP($D658,'Sample Size cal and results'!$B$23:$B$24,'Sample Size cal and results'!$D$23:$D$24)</f>
        <v>218.25391958541869</v>
      </c>
      <c r="G658" s="72" t="str">
        <f>IF(DATEDIF($B658,'Inst summary and ER calculation'!$U$6,"y")=2,"2-3 years","3-4 years")</f>
        <v>3-4 years</v>
      </c>
      <c r="H658" s="69">
        <f t="shared" si="30"/>
        <v>1</v>
      </c>
      <c r="I658" s="142">
        <f>$C658*H658*_xlfn.XLOOKUP($G658,'Sample Size cal and results'!$B$25:$B$26,'Sample Size cal and results'!$D$25:$D$26)</f>
        <v>367.2057303084286</v>
      </c>
    </row>
    <row r="659" spans="1:9" ht="13">
      <c r="A659" s="131" t="s">
        <v>132</v>
      </c>
      <c r="B659" s="53">
        <v>41962</v>
      </c>
      <c r="C659" s="52">
        <v>254</v>
      </c>
      <c r="D659" s="72" t="str">
        <f>IF(DATEDIF($B659,'Inst summary and ER calculation'!$T$6,"y")=1,"1-2 years","2-3 years")</f>
        <v>2-3 years</v>
      </c>
      <c r="E659" s="69">
        <f t="shared" si="29"/>
        <v>0.58082191780821912</v>
      </c>
      <c r="F659" s="69">
        <f>$C659*E659*_xlfn.XLOOKUP($D659,'Sample Size cal and results'!$B$23:$B$24,'Sample Size cal and results'!$D$23:$D$24)</f>
        <v>150.2344053514806</v>
      </c>
      <c r="G659" s="72" t="str">
        <f>IF(DATEDIF($B659,'Inst summary and ER calculation'!$U$6,"y")=2,"2-3 years","3-4 years")</f>
        <v>3-4 years</v>
      </c>
      <c r="H659" s="69">
        <f t="shared" si="30"/>
        <v>1</v>
      </c>
      <c r="I659" s="142">
        <f>$C659*H659*_xlfn.XLOOKUP($G659,'Sample Size cal and results'!$B$25:$B$26,'Sample Size cal and results'!$D$25:$D$26)</f>
        <v>252.76492004970422</v>
      </c>
    </row>
    <row r="660" spans="1:9" ht="13">
      <c r="A660" s="131" t="s">
        <v>132</v>
      </c>
      <c r="B660" s="53">
        <v>41963</v>
      </c>
      <c r="C660" s="52">
        <v>298</v>
      </c>
      <c r="D660" s="72" t="str">
        <f>IF(DATEDIF($B660,'Inst summary and ER calculation'!$T$6,"y")=1,"1-2 years","2-3 years")</f>
        <v>2-3 years</v>
      </c>
      <c r="E660" s="69">
        <f t="shared" si="29"/>
        <v>0.58082191780821912</v>
      </c>
      <c r="F660" s="69">
        <f>$C660*E660*_xlfn.XLOOKUP($D660,'Sample Size cal and results'!$B$23:$B$24,'Sample Size cal and results'!$D$23:$D$24)</f>
        <v>176.25926297142215</v>
      </c>
      <c r="G660" s="72" t="str">
        <f>IF(DATEDIF($B660,'Inst summary and ER calculation'!$U$6,"y")=2,"2-3 years","3-4 years")</f>
        <v>3-4 years</v>
      </c>
      <c r="H660" s="69">
        <f t="shared" si="30"/>
        <v>1</v>
      </c>
      <c r="I660" s="142">
        <f>$C660*H660*_xlfn.XLOOKUP($G660,'Sample Size cal and results'!$B$25:$B$26,'Sample Size cal and results'!$D$25:$D$26)</f>
        <v>296.55096919217266</v>
      </c>
    </row>
    <row r="661" spans="1:9" ht="13">
      <c r="A661" s="131" t="s">
        <v>132</v>
      </c>
      <c r="B661" s="53">
        <v>41964</v>
      </c>
      <c r="C661" s="52">
        <v>202</v>
      </c>
      <c r="D661" s="72" t="str">
        <f>IF(DATEDIF($B661,'Inst summary and ER calculation'!$T$6,"y")=1,"1-2 years","2-3 years")</f>
        <v>2-3 years</v>
      </c>
      <c r="E661" s="69">
        <f t="shared" si="29"/>
        <v>0.58082191780821912</v>
      </c>
      <c r="F661" s="69">
        <f>$C661*E661*_xlfn.XLOOKUP($D661,'Sample Size cal and results'!$B$23:$B$24,'Sample Size cal and results'!$D$23:$D$24)</f>
        <v>119.47775543700426</v>
      </c>
      <c r="G661" s="72" t="str">
        <f>IF(DATEDIF($B661,'Inst summary and ER calculation'!$U$6,"y")=2,"2-3 years","3-4 years")</f>
        <v>3-4 years</v>
      </c>
      <c r="H661" s="69">
        <f t="shared" si="30"/>
        <v>1</v>
      </c>
      <c r="I661" s="142">
        <f>$C661*H661*_xlfn.XLOOKUP($G661,'Sample Size cal and results'!$B$25:$B$26,'Sample Size cal and results'!$D$25:$D$26)</f>
        <v>201.0177710631506</v>
      </c>
    </row>
    <row r="662" spans="1:9" ht="13">
      <c r="A662" s="131" t="s">
        <v>132</v>
      </c>
      <c r="B662" s="53">
        <v>41965</v>
      </c>
      <c r="C662" s="52">
        <v>261</v>
      </c>
      <c r="D662" s="72" t="str">
        <f>IF(DATEDIF($B662,'Inst summary and ER calculation'!$T$6,"y")=1,"1-2 years","2-3 years")</f>
        <v>2-3 years</v>
      </c>
      <c r="E662" s="69">
        <f t="shared" si="29"/>
        <v>0.58082191780821912</v>
      </c>
      <c r="F662" s="69">
        <f>$C662*E662*_xlfn.XLOOKUP($D662,'Sample Size cal and results'!$B$23:$B$24,'Sample Size cal and results'!$D$23:$D$24)</f>
        <v>154.37472360919858</v>
      </c>
      <c r="G662" s="72" t="str">
        <f>IF(DATEDIF($B662,'Inst summary and ER calculation'!$U$6,"y")=2,"2-3 years","3-4 years")</f>
        <v>3-4 years</v>
      </c>
      <c r="H662" s="69">
        <f t="shared" si="30"/>
        <v>1</v>
      </c>
      <c r="I662" s="142">
        <f>$C662*H662*_xlfn.XLOOKUP($G662,'Sample Size cal and results'!$B$25:$B$26,'Sample Size cal and results'!$D$25:$D$26)</f>
        <v>259.73088241327872</v>
      </c>
    </row>
    <row r="663" spans="1:9" ht="13">
      <c r="A663" s="131" t="s">
        <v>132</v>
      </c>
      <c r="B663" s="53">
        <v>41966</v>
      </c>
      <c r="C663" s="52">
        <v>319</v>
      </c>
      <c r="D663" s="72" t="str">
        <f>IF(DATEDIF($B663,'Inst summary and ER calculation'!$T$6,"y")=1,"1-2 years","2-3 years")</f>
        <v>2-3 years</v>
      </c>
      <c r="E663" s="69">
        <f t="shared" si="29"/>
        <v>0.58082191780821912</v>
      </c>
      <c r="F663" s="69">
        <f>$C663*E663*_xlfn.XLOOKUP($D663,'Sample Size cal and results'!$B$23:$B$24,'Sample Size cal and results'!$D$23:$D$24)</f>
        <v>188.68021774457605</v>
      </c>
      <c r="G663" s="72" t="str">
        <f>IF(DATEDIF($B663,'Inst summary and ER calculation'!$U$6,"y")=2,"2-3 years","3-4 years")</f>
        <v>3-4 years</v>
      </c>
      <c r="H663" s="69">
        <f t="shared" si="30"/>
        <v>1</v>
      </c>
      <c r="I663" s="142">
        <f>$C663*H663*_xlfn.XLOOKUP($G663,'Sample Size cal and results'!$B$25:$B$26,'Sample Size cal and results'!$D$25:$D$26)</f>
        <v>317.44885628289626</v>
      </c>
    </row>
    <row r="664" spans="1:9" ht="13">
      <c r="A664" s="131" t="s">
        <v>132</v>
      </c>
      <c r="B664" s="53">
        <v>41967</v>
      </c>
      <c r="C664" s="52">
        <v>208</v>
      </c>
      <c r="D664" s="72" t="str">
        <f>IF(DATEDIF($B664,'Inst summary and ER calculation'!$T$6,"y")=1,"1-2 years","2-3 years")</f>
        <v>2-3 years</v>
      </c>
      <c r="E664" s="69">
        <f t="shared" si="29"/>
        <v>0.58082191780821912</v>
      </c>
      <c r="F664" s="69">
        <f>$C664*E664*_xlfn.XLOOKUP($D664,'Sample Size cal and results'!$B$23:$B$24,'Sample Size cal and results'!$D$23:$D$24)</f>
        <v>123.02659965790539</v>
      </c>
      <c r="G664" s="72" t="str">
        <f>IF(DATEDIF($B664,'Inst summary and ER calculation'!$U$6,"y")=2,"2-3 years","3-4 years")</f>
        <v>3-4 years</v>
      </c>
      <c r="H664" s="69">
        <f t="shared" si="30"/>
        <v>1</v>
      </c>
      <c r="I664" s="142">
        <f>$C664*H664*_xlfn.XLOOKUP($G664,'Sample Size cal and results'!$B$25:$B$26,'Sample Size cal and results'!$D$25:$D$26)</f>
        <v>206.98859594621447</v>
      </c>
    </row>
    <row r="665" spans="1:9" ht="13">
      <c r="A665" s="131" t="s">
        <v>132</v>
      </c>
      <c r="B665" s="53">
        <v>41968</v>
      </c>
      <c r="C665" s="52">
        <v>262</v>
      </c>
      <c r="D665" s="72" t="str">
        <f>IF(DATEDIF($B665,'Inst summary and ER calculation'!$T$6,"y")=1,"1-2 years","2-3 years")</f>
        <v>2-3 years</v>
      </c>
      <c r="E665" s="69">
        <f t="shared" si="29"/>
        <v>0.58082191780821912</v>
      </c>
      <c r="F665" s="69">
        <f>$C665*E665*_xlfn.XLOOKUP($D665,'Sample Size cal and results'!$B$23:$B$24,'Sample Size cal and results'!$D$23:$D$24)</f>
        <v>154.96619764601542</v>
      </c>
      <c r="G665" s="72" t="str">
        <f>IF(DATEDIF($B665,'Inst summary and ER calculation'!$U$6,"y")=2,"2-3 years","3-4 years")</f>
        <v>3-4 years</v>
      </c>
      <c r="H665" s="69">
        <f t="shared" si="30"/>
        <v>1</v>
      </c>
      <c r="I665" s="142">
        <f>$C665*H665*_xlfn.XLOOKUP($G665,'Sample Size cal and results'!$B$25:$B$26,'Sample Size cal and results'!$D$25:$D$26)</f>
        <v>260.72601989378938</v>
      </c>
    </row>
    <row r="666" spans="1:9" ht="13">
      <c r="A666" s="131" t="s">
        <v>132</v>
      </c>
      <c r="B666" s="53">
        <v>41969</v>
      </c>
      <c r="C666" s="52">
        <v>493</v>
      </c>
      <c r="D666" s="72" t="str">
        <f>IF(DATEDIF($B666,'Inst summary and ER calculation'!$T$6,"y")=1,"1-2 years","2-3 years")</f>
        <v>2-3 years</v>
      </c>
      <c r="E666" s="69">
        <f t="shared" si="29"/>
        <v>0.58082191780821912</v>
      </c>
      <c r="F666" s="69">
        <f>$C666*E666*_xlfn.XLOOKUP($D666,'Sample Size cal and results'!$B$23:$B$24,'Sample Size cal and results'!$D$23:$D$24)</f>
        <v>291.59670015070844</v>
      </c>
      <c r="G666" s="72" t="str">
        <f>IF(DATEDIF($B666,'Inst summary and ER calculation'!$U$6,"y")=2,"2-3 years","3-4 years")</f>
        <v>3-4 years</v>
      </c>
      <c r="H666" s="69">
        <f t="shared" si="30"/>
        <v>1</v>
      </c>
      <c r="I666" s="142">
        <f>$C666*H666*_xlfn.XLOOKUP($G666,'Sample Size cal and results'!$B$25:$B$26,'Sample Size cal and results'!$D$25:$D$26)</f>
        <v>490.60277789174876</v>
      </c>
    </row>
    <row r="667" spans="1:9" ht="13">
      <c r="A667" s="131" t="s">
        <v>133</v>
      </c>
      <c r="B667" s="53">
        <v>41969</v>
      </c>
      <c r="C667" s="52">
        <v>391</v>
      </c>
      <c r="D667" s="72" t="str">
        <f>IF(DATEDIF($B667,'Inst summary and ER calculation'!$T$6,"y")=1,"1-2 years","2-3 years")</f>
        <v>2-3 years</v>
      </c>
      <c r="E667" s="69">
        <f t="shared" si="29"/>
        <v>0.58082191780821912</v>
      </c>
      <c r="F667" s="69">
        <f>$C667*E667*_xlfn.XLOOKUP($D667,'Sample Size cal and results'!$B$23:$B$24,'Sample Size cal and results'!$D$23:$D$24)</f>
        <v>231.26634839538946</v>
      </c>
      <c r="G667" s="72" t="str">
        <f>IF(DATEDIF($B667,'Inst summary and ER calculation'!$U$6,"y")=2,"2-3 years","3-4 years")</f>
        <v>3-4 years</v>
      </c>
      <c r="H667" s="69">
        <f t="shared" si="30"/>
        <v>1</v>
      </c>
      <c r="I667" s="142">
        <f>$C667*H667*_xlfn.XLOOKUP($G667,'Sample Size cal and results'!$B$25:$B$26,'Sample Size cal and results'!$D$25:$D$26)</f>
        <v>389.09875487966281</v>
      </c>
    </row>
    <row r="668" spans="1:9" ht="13">
      <c r="A668" s="131" t="s">
        <v>133</v>
      </c>
      <c r="B668" s="53">
        <v>41970</v>
      </c>
      <c r="C668" s="52">
        <v>202</v>
      </c>
      <c r="D668" s="72" t="str">
        <f>IF(DATEDIF($B668,'Inst summary and ER calculation'!$T$6,"y")=1,"1-2 years","2-3 years")</f>
        <v>2-3 years</v>
      </c>
      <c r="E668" s="69">
        <f t="shared" si="29"/>
        <v>0.58082191780821912</v>
      </c>
      <c r="F668" s="69">
        <f>$C668*E668*_xlfn.XLOOKUP($D668,'Sample Size cal and results'!$B$23:$B$24,'Sample Size cal and results'!$D$23:$D$24)</f>
        <v>119.47775543700426</v>
      </c>
      <c r="G668" s="72" t="str">
        <f>IF(DATEDIF($B668,'Inst summary and ER calculation'!$U$6,"y")=2,"2-3 years","3-4 years")</f>
        <v>3-4 years</v>
      </c>
      <c r="H668" s="69">
        <f t="shared" si="30"/>
        <v>1</v>
      </c>
      <c r="I668" s="142">
        <f>$C668*H668*_xlfn.XLOOKUP($G668,'Sample Size cal and results'!$B$25:$B$26,'Sample Size cal and results'!$D$25:$D$26)</f>
        <v>201.0177710631506</v>
      </c>
    </row>
    <row r="669" spans="1:9" ht="13">
      <c r="A669" s="131" t="s">
        <v>133</v>
      </c>
      <c r="B669" s="53">
        <v>41971</v>
      </c>
      <c r="C669" s="52">
        <v>201</v>
      </c>
      <c r="D669" s="72" t="str">
        <f>IF(DATEDIF($B669,'Inst summary and ER calculation'!$T$6,"y")=1,"1-2 years","2-3 years")</f>
        <v>2-3 years</v>
      </c>
      <c r="E669" s="69">
        <f t="shared" ref="E669:E732" si="31">MAX(MIN($T$6)-MAX($T$5,$B669,_xlfn.XLOOKUP($A669,$W$1:$W$36,$X$1:$X$36))+1,0)/365</f>
        <v>0.58082191780821912</v>
      </c>
      <c r="F669" s="69">
        <f>$C669*E669*_xlfn.XLOOKUP($D669,'Sample Size cal and results'!$B$23:$B$24,'Sample Size cal and results'!$D$23:$D$24)</f>
        <v>118.88628140018741</v>
      </c>
      <c r="G669" s="72" t="str">
        <f>IF(DATEDIF($B669,'Inst summary and ER calculation'!$U$6,"y")=2,"2-3 years","3-4 years")</f>
        <v>3-4 years</v>
      </c>
      <c r="H669" s="69">
        <f t="shared" ref="H669:H732" si="32">MAX(MIN($U$6)-MAX($U$5,$B669,_xlfn.XLOOKUP($A669,$W$1:$W$36,$X$1:$X$36))+1,0)/365</f>
        <v>1</v>
      </c>
      <c r="I669" s="142">
        <f>$C669*H669*_xlfn.XLOOKUP($G669,'Sample Size cal and results'!$B$25:$B$26,'Sample Size cal and results'!$D$25:$D$26)</f>
        <v>200.02263358263997</v>
      </c>
    </row>
    <row r="670" spans="1:9" ht="13">
      <c r="A670" s="131" t="s">
        <v>133</v>
      </c>
      <c r="B670" s="53">
        <v>41972</v>
      </c>
      <c r="C670" s="52">
        <v>1677</v>
      </c>
      <c r="D670" s="72" t="str">
        <f>IF(DATEDIF($B670,'Inst summary and ER calculation'!$T$6,"y")=1,"1-2 years","2-3 years")</f>
        <v>2-3 years</v>
      </c>
      <c r="E670" s="69">
        <f t="shared" si="31"/>
        <v>0.58082191780821912</v>
      </c>
      <c r="F670" s="69">
        <f>$C670*E670*_xlfn.XLOOKUP($D670,'Sample Size cal and results'!$B$23:$B$24,'Sample Size cal and results'!$D$23:$D$24)</f>
        <v>991.90195974186213</v>
      </c>
      <c r="G670" s="72" t="str">
        <f>IF(DATEDIF($B670,'Inst summary and ER calculation'!$U$6,"y")=2,"2-3 years","3-4 years")</f>
        <v>3-4 years</v>
      </c>
      <c r="H670" s="69">
        <f t="shared" si="32"/>
        <v>1</v>
      </c>
      <c r="I670" s="142">
        <f>$C670*H670*_xlfn.XLOOKUP($G670,'Sample Size cal and results'!$B$25:$B$26,'Sample Size cal and results'!$D$25:$D$26)</f>
        <v>1668.8455548163543</v>
      </c>
    </row>
    <row r="671" spans="1:9" ht="13">
      <c r="A671" s="131" t="s">
        <v>133</v>
      </c>
      <c r="B671" s="53">
        <v>41973</v>
      </c>
      <c r="C671" s="52">
        <v>187</v>
      </c>
      <c r="D671" s="72" t="str">
        <f>IF(DATEDIF($B671,'Inst summary and ER calculation'!$T$6,"y")=1,"1-2 years","2-3 years")</f>
        <v>2-3 years</v>
      </c>
      <c r="E671" s="69">
        <f t="shared" si="31"/>
        <v>0.58082191780821912</v>
      </c>
      <c r="F671" s="69">
        <f>$C671*E671*_xlfn.XLOOKUP($D671,'Sample Size cal and results'!$B$23:$B$24,'Sample Size cal and results'!$D$23:$D$24)</f>
        <v>110.60564488475148</v>
      </c>
      <c r="G671" s="72" t="str">
        <f>IF(DATEDIF($B671,'Inst summary and ER calculation'!$U$6,"y")=2,"2-3 years","3-4 years")</f>
        <v>3-4 years</v>
      </c>
      <c r="H671" s="69">
        <f t="shared" si="32"/>
        <v>1</v>
      </c>
      <c r="I671" s="142">
        <f>$C671*H671*_xlfn.XLOOKUP($G671,'Sample Size cal and results'!$B$25:$B$26,'Sample Size cal and results'!$D$25:$D$26)</f>
        <v>186.0907088554909</v>
      </c>
    </row>
    <row r="672" spans="1:9" ht="13">
      <c r="A672" s="131" t="s">
        <v>133</v>
      </c>
      <c r="B672" s="53">
        <v>41974</v>
      </c>
      <c r="C672" s="52">
        <v>105</v>
      </c>
      <c r="D672" s="72" t="str">
        <f>IF(DATEDIF($B672,'Inst summary and ER calculation'!$T$6,"y")=1,"1-2 years","2-3 years")</f>
        <v>2-3 years</v>
      </c>
      <c r="E672" s="69">
        <f t="shared" si="31"/>
        <v>0.58082191780821912</v>
      </c>
      <c r="F672" s="69">
        <f>$C672*E672*_xlfn.XLOOKUP($D672,'Sample Size cal and results'!$B$23:$B$24,'Sample Size cal and results'!$D$23:$D$24)</f>
        <v>62.104773865769545</v>
      </c>
      <c r="G672" s="72" t="str">
        <f>IF(DATEDIF($B672,'Inst summary and ER calculation'!$U$6,"y")=2,"2-3 years","3-4 years")</f>
        <v>3-4 years</v>
      </c>
      <c r="H672" s="69">
        <f t="shared" si="32"/>
        <v>1</v>
      </c>
      <c r="I672" s="142">
        <f>$C672*H672*_xlfn.XLOOKUP($G672,'Sample Size cal and results'!$B$25:$B$26,'Sample Size cal and results'!$D$25:$D$26)</f>
        <v>104.48943545361789</v>
      </c>
    </row>
    <row r="673" spans="1:9" ht="13">
      <c r="A673" s="131" t="s">
        <v>133</v>
      </c>
      <c r="B673" s="53">
        <v>41975</v>
      </c>
      <c r="C673" s="52">
        <v>134</v>
      </c>
      <c r="D673" s="72" t="str">
        <f>IF(DATEDIF($B673,'Inst summary and ER calculation'!$T$6,"y")=1,"1-2 years","2-3 years")</f>
        <v>2-3 years</v>
      </c>
      <c r="E673" s="69">
        <f t="shared" si="31"/>
        <v>0.58082191780821912</v>
      </c>
      <c r="F673" s="69">
        <f>$C673*E673*_xlfn.XLOOKUP($D673,'Sample Size cal and results'!$B$23:$B$24,'Sample Size cal and results'!$D$23:$D$24)</f>
        <v>79.257520933458281</v>
      </c>
      <c r="G673" s="72" t="str">
        <f>IF(DATEDIF($B673,'Inst summary and ER calculation'!$U$6,"y")=2,"2-3 years","3-4 years")</f>
        <v>3-4 years</v>
      </c>
      <c r="H673" s="69">
        <f t="shared" si="32"/>
        <v>1</v>
      </c>
      <c r="I673" s="142">
        <f>$C673*H673*_xlfn.XLOOKUP($G673,'Sample Size cal and results'!$B$25:$B$26,'Sample Size cal and results'!$D$25:$D$26)</f>
        <v>133.34842238842663</v>
      </c>
    </row>
    <row r="674" spans="1:9" ht="13">
      <c r="A674" s="131" t="s">
        <v>133</v>
      </c>
      <c r="B674" s="53">
        <v>41976</v>
      </c>
      <c r="C674" s="52">
        <v>132</v>
      </c>
      <c r="D674" s="72" t="str">
        <f>IF(DATEDIF($B674,'Inst summary and ER calculation'!$T$6,"y")=1,"1-2 years","2-3 years")</f>
        <v>2-3 years</v>
      </c>
      <c r="E674" s="69">
        <f t="shared" si="31"/>
        <v>0.58082191780821912</v>
      </c>
      <c r="F674" s="69">
        <f>$C674*E674*_xlfn.XLOOKUP($D674,'Sample Size cal and results'!$B$23:$B$24,'Sample Size cal and results'!$D$23:$D$24)</f>
        <v>78.074572859824571</v>
      </c>
      <c r="G674" s="72" t="str">
        <f>IF(DATEDIF($B674,'Inst summary and ER calculation'!$U$6,"y")=2,"2-3 years","3-4 years")</f>
        <v>3-4 years</v>
      </c>
      <c r="H674" s="69">
        <f t="shared" si="32"/>
        <v>1</v>
      </c>
      <c r="I674" s="142">
        <f>$C674*H674*_xlfn.XLOOKUP($G674,'Sample Size cal and results'!$B$25:$B$26,'Sample Size cal and results'!$D$25:$D$26)</f>
        <v>131.35814742740536</v>
      </c>
    </row>
    <row r="675" spans="1:9" ht="13">
      <c r="A675" s="131" t="s">
        <v>133</v>
      </c>
      <c r="B675" s="53">
        <v>41977</v>
      </c>
      <c r="C675" s="52">
        <v>53</v>
      </c>
      <c r="D675" s="72" t="str">
        <f>IF(DATEDIF($B675,'Inst summary and ER calculation'!$T$6,"y")=1,"1-2 years","2-3 years")</f>
        <v>2-3 years</v>
      </c>
      <c r="E675" s="69">
        <f t="shared" si="31"/>
        <v>0.58082191780821912</v>
      </c>
      <c r="F675" s="69">
        <f>$C675*E675*_xlfn.XLOOKUP($D675,'Sample Size cal and results'!$B$23:$B$24,'Sample Size cal and results'!$D$23:$D$24)</f>
        <v>31.3481239512932</v>
      </c>
      <c r="G675" s="72" t="str">
        <f>IF(DATEDIF($B675,'Inst summary and ER calculation'!$U$6,"y")=2,"2-3 years","3-4 years")</f>
        <v>3-4 years</v>
      </c>
      <c r="H675" s="69">
        <f t="shared" si="32"/>
        <v>1</v>
      </c>
      <c r="I675" s="142">
        <f>$C675*H675*_xlfn.XLOOKUP($G675,'Sample Size cal and results'!$B$25:$B$26,'Sample Size cal and results'!$D$25:$D$26)</f>
        <v>52.742286467064268</v>
      </c>
    </row>
    <row r="676" spans="1:9" ht="13">
      <c r="A676" s="131" t="s">
        <v>134</v>
      </c>
      <c r="B676" s="53">
        <v>41977</v>
      </c>
      <c r="C676" s="52">
        <v>84</v>
      </c>
      <c r="D676" s="72" t="str">
        <f>IF(DATEDIF($B676,'Inst summary and ER calculation'!$T$6,"y")=1,"1-2 years","2-3 years")</f>
        <v>2-3 years</v>
      </c>
      <c r="E676" s="69">
        <f t="shared" si="31"/>
        <v>0.58082191780821912</v>
      </c>
      <c r="F676" s="69">
        <f>$C676*E676*_xlfn.XLOOKUP($D676,'Sample Size cal and results'!$B$23:$B$24,'Sample Size cal and results'!$D$23:$D$24)</f>
        <v>49.683819092615636</v>
      </c>
      <c r="G676" s="72" t="str">
        <f>IF(DATEDIF($B676,'Inst summary and ER calculation'!$U$6,"y")=2,"2-3 years","3-4 years")</f>
        <v>3-4 years</v>
      </c>
      <c r="H676" s="69">
        <f t="shared" si="32"/>
        <v>1</v>
      </c>
      <c r="I676" s="142">
        <f>$C676*H676*_xlfn.XLOOKUP($G676,'Sample Size cal and results'!$B$25:$B$26,'Sample Size cal and results'!$D$25:$D$26)</f>
        <v>83.591548362894315</v>
      </c>
    </row>
    <row r="677" spans="1:9" ht="13">
      <c r="A677" s="131" t="s">
        <v>134</v>
      </c>
      <c r="B677" s="53">
        <v>41978</v>
      </c>
      <c r="C677" s="52">
        <v>183</v>
      </c>
      <c r="D677" s="72" t="str">
        <f>IF(DATEDIF($B677,'Inst summary and ER calculation'!$T$6,"y")=1,"1-2 years","2-3 years")</f>
        <v>2-3 years</v>
      </c>
      <c r="E677" s="69">
        <f t="shared" si="31"/>
        <v>0.58082191780821912</v>
      </c>
      <c r="F677" s="69">
        <f>$C677*E677*_xlfn.XLOOKUP($D677,'Sample Size cal and results'!$B$23:$B$24,'Sample Size cal and results'!$D$23:$D$24)</f>
        <v>108.23974873748406</v>
      </c>
      <c r="G677" s="72" t="str">
        <f>IF(DATEDIF($B677,'Inst summary and ER calculation'!$U$6,"y")=2,"2-3 years","3-4 years")</f>
        <v>3-4 years</v>
      </c>
      <c r="H677" s="69">
        <f t="shared" si="32"/>
        <v>1</v>
      </c>
      <c r="I677" s="142">
        <f>$C677*H677*_xlfn.XLOOKUP($G677,'Sample Size cal and results'!$B$25:$B$26,'Sample Size cal and results'!$D$25:$D$26)</f>
        <v>182.1101589334483</v>
      </c>
    </row>
    <row r="678" spans="1:9" ht="13">
      <c r="A678" s="131" t="s">
        <v>134</v>
      </c>
      <c r="B678" s="53">
        <v>41979</v>
      </c>
      <c r="C678" s="52">
        <v>160</v>
      </c>
      <c r="D678" s="72" t="str">
        <f>IF(DATEDIF($B678,'Inst summary and ER calculation'!$T$6,"y")=1,"1-2 years","2-3 years")</f>
        <v>2-3 years</v>
      </c>
      <c r="E678" s="69">
        <f t="shared" si="31"/>
        <v>0.58082191780821912</v>
      </c>
      <c r="F678" s="69">
        <f>$C678*E678*_xlfn.XLOOKUP($D678,'Sample Size cal and results'!$B$23:$B$24,'Sample Size cal and results'!$D$23:$D$24)</f>
        <v>94.635845890696444</v>
      </c>
      <c r="G678" s="72" t="str">
        <f>IF(DATEDIF($B678,'Inst summary and ER calculation'!$U$6,"y")=2,"2-3 years","3-4 years")</f>
        <v>3-4 years</v>
      </c>
      <c r="H678" s="69">
        <f t="shared" si="32"/>
        <v>1</v>
      </c>
      <c r="I678" s="142">
        <f>$C678*H678*_xlfn.XLOOKUP($G678,'Sample Size cal and results'!$B$25:$B$26,'Sample Size cal and results'!$D$25:$D$26)</f>
        <v>159.22199688170343</v>
      </c>
    </row>
    <row r="679" spans="1:9" ht="13">
      <c r="A679" s="131" t="s">
        <v>134</v>
      </c>
      <c r="B679" s="53">
        <v>41980</v>
      </c>
      <c r="C679" s="52">
        <v>206</v>
      </c>
      <c r="D679" s="72" t="str">
        <f>IF(DATEDIF($B679,'Inst summary and ER calculation'!$T$6,"y")=1,"1-2 years","2-3 years")</f>
        <v>2-3 years</v>
      </c>
      <c r="E679" s="69">
        <f t="shared" si="31"/>
        <v>0.58082191780821912</v>
      </c>
      <c r="F679" s="69">
        <f>$C679*E679*_xlfn.XLOOKUP($D679,'Sample Size cal and results'!$B$23:$B$24,'Sample Size cal and results'!$D$23:$D$24)</f>
        <v>121.84365158427168</v>
      </c>
      <c r="G679" s="72" t="str">
        <f>IF(DATEDIF($B679,'Inst summary and ER calculation'!$U$6,"y")=2,"2-3 years","3-4 years")</f>
        <v>3-4 years</v>
      </c>
      <c r="H679" s="69">
        <f t="shared" si="32"/>
        <v>1</v>
      </c>
      <c r="I679" s="142">
        <f>$C679*H679*_xlfn.XLOOKUP($G679,'Sample Size cal and results'!$B$25:$B$26,'Sample Size cal and results'!$D$25:$D$26)</f>
        <v>204.99832098519317</v>
      </c>
    </row>
    <row r="680" spans="1:9" ht="13">
      <c r="A680" s="131" t="s">
        <v>134</v>
      </c>
      <c r="B680" s="53">
        <v>41981</v>
      </c>
      <c r="C680" s="52">
        <v>341</v>
      </c>
      <c r="D680" s="72" t="str">
        <f>IF(DATEDIF($B680,'Inst summary and ER calculation'!$T$6,"y")=1,"1-2 years","2-3 years")</f>
        <v>2-3 years</v>
      </c>
      <c r="E680" s="69">
        <f t="shared" si="31"/>
        <v>0.58082191780821912</v>
      </c>
      <c r="F680" s="69">
        <f>$C680*E680*_xlfn.XLOOKUP($D680,'Sample Size cal and results'!$B$23:$B$24,'Sample Size cal and results'!$D$23:$D$24)</f>
        <v>201.6926465545468</v>
      </c>
      <c r="G680" s="72" t="str">
        <f>IF(DATEDIF($B680,'Inst summary and ER calculation'!$U$6,"y")=2,"2-3 years","3-4 years")</f>
        <v>3-4 years</v>
      </c>
      <c r="H680" s="69">
        <f t="shared" si="32"/>
        <v>1</v>
      </c>
      <c r="I680" s="142">
        <f>$C680*H680*_xlfn.XLOOKUP($G680,'Sample Size cal and results'!$B$25:$B$26,'Sample Size cal and results'!$D$25:$D$26)</f>
        <v>339.34188085413047</v>
      </c>
    </row>
    <row r="681" spans="1:9" ht="13">
      <c r="A681" s="131" t="s">
        <v>134</v>
      </c>
      <c r="B681" s="53">
        <v>41982</v>
      </c>
      <c r="C681" s="52">
        <v>186</v>
      </c>
      <c r="D681" s="72" t="str">
        <f>IF(DATEDIF($B681,'Inst summary and ER calculation'!$T$6,"y")=1,"1-2 years","2-3 years")</f>
        <v>2-3 years</v>
      </c>
      <c r="E681" s="69">
        <f t="shared" si="31"/>
        <v>0.58082191780821912</v>
      </c>
      <c r="F681" s="69">
        <f>$C681*E681*_xlfn.XLOOKUP($D681,'Sample Size cal and results'!$B$23:$B$24,'Sample Size cal and results'!$D$23:$D$24)</f>
        <v>110.01417084793462</v>
      </c>
      <c r="G681" s="72" t="str">
        <f>IF(DATEDIF($B681,'Inst summary and ER calculation'!$U$6,"y")=2,"2-3 years","3-4 years")</f>
        <v>3-4 years</v>
      </c>
      <c r="H681" s="69">
        <f t="shared" si="32"/>
        <v>1</v>
      </c>
      <c r="I681" s="142">
        <f>$C681*H681*_xlfn.XLOOKUP($G681,'Sample Size cal and results'!$B$25:$B$26,'Sample Size cal and results'!$D$25:$D$26)</f>
        <v>185.09557137498027</v>
      </c>
    </row>
    <row r="682" spans="1:9" ht="13">
      <c r="A682" s="131" t="s">
        <v>134</v>
      </c>
      <c r="B682" s="53">
        <v>41983</v>
      </c>
      <c r="C682" s="52">
        <v>254</v>
      </c>
      <c r="D682" s="72" t="str">
        <f>IF(DATEDIF($B682,'Inst summary and ER calculation'!$T$6,"y")=1,"1-2 years","2-3 years")</f>
        <v>2-3 years</v>
      </c>
      <c r="E682" s="69">
        <f t="shared" si="31"/>
        <v>0.58082191780821912</v>
      </c>
      <c r="F682" s="69">
        <f>$C682*E682*_xlfn.XLOOKUP($D682,'Sample Size cal and results'!$B$23:$B$24,'Sample Size cal and results'!$D$23:$D$24)</f>
        <v>150.2344053514806</v>
      </c>
      <c r="G682" s="72" t="str">
        <f>IF(DATEDIF($B682,'Inst summary and ER calculation'!$U$6,"y")=2,"2-3 years","3-4 years")</f>
        <v>3-4 years</v>
      </c>
      <c r="H682" s="69">
        <f t="shared" si="32"/>
        <v>1</v>
      </c>
      <c r="I682" s="142">
        <f>$C682*H682*_xlfn.XLOOKUP($G682,'Sample Size cal and results'!$B$25:$B$26,'Sample Size cal and results'!$D$25:$D$26)</f>
        <v>252.76492004970422</v>
      </c>
    </row>
    <row r="683" spans="1:9" ht="13">
      <c r="A683" s="131" t="s">
        <v>134</v>
      </c>
      <c r="B683" s="53">
        <v>41984</v>
      </c>
      <c r="C683" s="52">
        <v>205</v>
      </c>
      <c r="D683" s="72" t="str">
        <f>IF(DATEDIF($B683,'Inst summary and ER calculation'!$T$6,"y")=1,"1-2 years","2-3 years")</f>
        <v>2-3 years</v>
      </c>
      <c r="E683" s="69">
        <f t="shared" si="31"/>
        <v>0.58082191780821912</v>
      </c>
      <c r="F683" s="69">
        <f>$C683*E683*_xlfn.XLOOKUP($D683,'Sample Size cal and results'!$B$23:$B$24,'Sample Size cal and results'!$D$23:$D$24)</f>
        <v>121.25217754745482</v>
      </c>
      <c r="G683" s="72" t="str">
        <f>IF(DATEDIF($B683,'Inst summary and ER calculation'!$U$6,"y")=2,"2-3 years","3-4 years")</f>
        <v>3-4 years</v>
      </c>
      <c r="H683" s="69">
        <f t="shared" si="32"/>
        <v>1</v>
      </c>
      <c r="I683" s="142">
        <f>$C683*H683*_xlfn.XLOOKUP($G683,'Sample Size cal and results'!$B$25:$B$26,'Sample Size cal and results'!$D$25:$D$26)</f>
        <v>204.00318350468254</v>
      </c>
    </row>
    <row r="684" spans="1:9" ht="13">
      <c r="A684" s="131" t="s">
        <v>134</v>
      </c>
      <c r="B684" s="53">
        <v>41985</v>
      </c>
      <c r="C684" s="52">
        <v>286</v>
      </c>
      <c r="D684" s="72" t="str">
        <f>IF(DATEDIF($B684,'Inst summary and ER calculation'!$T$6,"y")=1,"1-2 years","2-3 years")</f>
        <v>2-3 years</v>
      </c>
      <c r="E684" s="69">
        <f t="shared" si="31"/>
        <v>0.58082191780821912</v>
      </c>
      <c r="F684" s="69">
        <f>$C684*E684*_xlfn.XLOOKUP($D684,'Sample Size cal and results'!$B$23:$B$24,'Sample Size cal and results'!$D$23:$D$24)</f>
        <v>169.16157452961988</v>
      </c>
      <c r="G684" s="72" t="str">
        <f>IF(DATEDIF($B684,'Inst summary and ER calculation'!$U$6,"y")=2,"2-3 years","3-4 years")</f>
        <v>3-4 years</v>
      </c>
      <c r="H684" s="69">
        <f t="shared" si="32"/>
        <v>1</v>
      </c>
      <c r="I684" s="142">
        <f>$C684*H684*_xlfn.XLOOKUP($G684,'Sample Size cal and results'!$B$25:$B$26,'Sample Size cal and results'!$D$25:$D$26)</f>
        <v>284.60931942604492</v>
      </c>
    </row>
    <row r="685" spans="1:9" ht="13">
      <c r="A685" s="131" t="s">
        <v>134</v>
      </c>
      <c r="B685" s="53">
        <v>41986</v>
      </c>
      <c r="C685" s="52">
        <v>227</v>
      </c>
      <c r="D685" s="72" t="str">
        <f>IF(DATEDIF($B685,'Inst summary and ER calculation'!$T$6,"y")=1,"1-2 years","2-3 years")</f>
        <v>2-3 years</v>
      </c>
      <c r="E685" s="69">
        <f t="shared" si="31"/>
        <v>0.58082191780821912</v>
      </c>
      <c r="F685" s="69">
        <f>$C685*E685*_xlfn.XLOOKUP($D685,'Sample Size cal and results'!$B$23:$B$24,'Sample Size cal and results'!$D$23:$D$24)</f>
        <v>134.26460635742558</v>
      </c>
      <c r="G685" s="72" t="str">
        <f>IF(DATEDIF($B685,'Inst summary and ER calculation'!$U$6,"y")=2,"2-3 years","3-4 years")</f>
        <v>3-4 years</v>
      </c>
      <c r="H685" s="69">
        <f t="shared" si="32"/>
        <v>1</v>
      </c>
      <c r="I685" s="142">
        <f>$C685*H685*_xlfn.XLOOKUP($G685,'Sample Size cal and results'!$B$25:$B$26,'Sample Size cal and results'!$D$25:$D$26)</f>
        <v>225.89620807591677</v>
      </c>
    </row>
    <row r="686" spans="1:9" ht="13">
      <c r="A686" s="131" t="s">
        <v>134</v>
      </c>
      <c r="B686" s="53">
        <v>41987</v>
      </c>
      <c r="C686" s="52">
        <v>253</v>
      </c>
      <c r="D686" s="72" t="str">
        <f>IF(DATEDIF($B686,'Inst summary and ER calculation'!$T$6,"y")=1,"1-2 years","2-3 years")</f>
        <v>2-3 years</v>
      </c>
      <c r="E686" s="69">
        <f t="shared" si="31"/>
        <v>0.58082191780821912</v>
      </c>
      <c r="F686" s="69">
        <f>$C686*E686*_xlfn.XLOOKUP($D686,'Sample Size cal and results'!$B$23:$B$24,'Sample Size cal and results'!$D$23:$D$24)</f>
        <v>149.64293131466377</v>
      </c>
      <c r="G686" s="72" t="str">
        <f>IF(DATEDIF($B686,'Inst summary and ER calculation'!$U$6,"y")=2,"2-3 years","3-4 years")</f>
        <v>3-4 years</v>
      </c>
      <c r="H686" s="69">
        <f t="shared" si="32"/>
        <v>1</v>
      </c>
      <c r="I686" s="142">
        <f>$C686*H686*_xlfn.XLOOKUP($G686,'Sample Size cal and results'!$B$25:$B$26,'Sample Size cal and results'!$D$25:$D$26)</f>
        <v>251.76978256919358</v>
      </c>
    </row>
    <row r="687" spans="1:9" ht="13">
      <c r="A687" s="131" t="s">
        <v>134</v>
      </c>
      <c r="B687" s="53">
        <v>41988</v>
      </c>
      <c r="C687" s="52">
        <v>2320</v>
      </c>
      <c r="D687" s="72" t="str">
        <f>IF(DATEDIF($B687,'Inst summary and ER calculation'!$T$6,"y")=1,"1-2 years","2-3 years")</f>
        <v>2-3 years</v>
      </c>
      <c r="E687" s="69">
        <f t="shared" si="31"/>
        <v>0.58082191780821912</v>
      </c>
      <c r="F687" s="69">
        <f>$C687*E687*_xlfn.XLOOKUP($D687,'Sample Size cal and results'!$B$23:$B$24,'Sample Size cal and results'!$D$23:$D$24)</f>
        <v>1372.2197654150984</v>
      </c>
      <c r="G687" s="72" t="str">
        <f>IF(DATEDIF($B687,'Inst summary and ER calculation'!$U$6,"y")=2,"2-3 years","3-4 years")</f>
        <v>3-4 years</v>
      </c>
      <c r="H687" s="69">
        <f t="shared" si="32"/>
        <v>1</v>
      </c>
      <c r="I687" s="142">
        <f>$C687*H687*_xlfn.XLOOKUP($G687,'Sample Size cal and results'!$B$25:$B$26,'Sample Size cal and results'!$D$25:$D$26)</f>
        <v>2308.7189547847001</v>
      </c>
    </row>
    <row r="688" spans="1:9" ht="13">
      <c r="A688" s="131" t="s">
        <v>135</v>
      </c>
      <c r="B688" s="53">
        <v>41988</v>
      </c>
      <c r="C688" s="52">
        <v>729</v>
      </c>
      <c r="D688" s="72" t="str">
        <f>IF(DATEDIF($B688,'Inst summary and ER calculation'!$T$6,"y")=1,"1-2 years","2-3 years")</f>
        <v>2-3 years</v>
      </c>
      <c r="E688" s="69">
        <f t="shared" si="31"/>
        <v>0.58082191780821912</v>
      </c>
      <c r="F688" s="69">
        <f>$C688*E688*_xlfn.XLOOKUP($D688,'Sample Size cal and results'!$B$23:$B$24,'Sample Size cal and results'!$D$23:$D$24)</f>
        <v>431.18457283948572</v>
      </c>
      <c r="G688" s="72" t="str">
        <f>IF(DATEDIF($B688,'Inst summary and ER calculation'!$U$6,"y")=2,"2-3 years","3-4 years")</f>
        <v>3-4 years</v>
      </c>
      <c r="H688" s="69">
        <f t="shared" si="32"/>
        <v>1</v>
      </c>
      <c r="I688" s="142">
        <f>$C688*H688*_xlfn.XLOOKUP($G688,'Sample Size cal and results'!$B$25:$B$26,'Sample Size cal and results'!$D$25:$D$26)</f>
        <v>725.45522329226128</v>
      </c>
    </row>
    <row r="689" spans="1:9" ht="13">
      <c r="A689" s="131" t="s">
        <v>135</v>
      </c>
      <c r="B689" s="53">
        <v>41989</v>
      </c>
      <c r="C689" s="52">
        <v>251</v>
      </c>
      <c r="D689" s="72" t="str">
        <f>IF(DATEDIF($B689,'Inst summary and ER calculation'!$T$6,"y")=1,"1-2 years","2-3 years")</f>
        <v>2-3 years</v>
      </c>
      <c r="E689" s="69">
        <f t="shared" si="31"/>
        <v>0.58082191780821912</v>
      </c>
      <c r="F689" s="69">
        <f>$C689*E689*_xlfn.XLOOKUP($D689,'Sample Size cal and results'!$B$23:$B$24,'Sample Size cal and results'!$D$23:$D$24)</f>
        <v>148.45998324103005</v>
      </c>
      <c r="G689" s="72" t="str">
        <f>IF(DATEDIF($B689,'Inst summary and ER calculation'!$U$6,"y")=2,"2-3 years","3-4 years")</f>
        <v>3-4 years</v>
      </c>
      <c r="H689" s="69">
        <f t="shared" si="32"/>
        <v>1</v>
      </c>
      <c r="I689" s="142">
        <f>$C689*H689*_xlfn.XLOOKUP($G689,'Sample Size cal and results'!$B$25:$B$26,'Sample Size cal and results'!$D$25:$D$26)</f>
        <v>249.77950760817228</v>
      </c>
    </row>
    <row r="690" spans="1:9" ht="13">
      <c r="A690" s="131" t="s">
        <v>135</v>
      </c>
      <c r="B690" s="53">
        <v>41990</v>
      </c>
      <c r="C690" s="52">
        <v>283</v>
      </c>
      <c r="D690" s="72" t="str">
        <f>IF(DATEDIF($B690,'Inst summary and ER calculation'!$T$6,"y")=1,"1-2 years","2-3 years")</f>
        <v>2-3 years</v>
      </c>
      <c r="E690" s="69">
        <f t="shared" si="31"/>
        <v>0.58082191780821912</v>
      </c>
      <c r="F690" s="69">
        <f>$C690*E690*_xlfn.XLOOKUP($D690,'Sample Size cal and results'!$B$23:$B$24,'Sample Size cal and results'!$D$23:$D$24)</f>
        <v>167.38715241916933</v>
      </c>
      <c r="G690" s="72" t="str">
        <f>IF(DATEDIF($B690,'Inst summary and ER calculation'!$U$6,"y")=2,"2-3 years","3-4 years")</f>
        <v>3-4 years</v>
      </c>
      <c r="H690" s="69">
        <f t="shared" si="32"/>
        <v>1</v>
      </c>
      <c r="I690" s="142">
        <f>$C690*H690*_xlfn.XLOOKUP($G690,'Sample Size cal and results'!$B$25:$B$26,'Sample Size cal and results'!$D$25:$D$26)</f>
        <v>281.62390698451298</v>
      </c>
    </row>
    <row r="691" spans="1:9" ht="13">
      <c r="A691" s="131" t="s">
        <v>135</v>
      </c>
      <c r="B691" s="53">
        <v>41991</v>
      </c>
      <c r="C691" s="52">
        <v>1452</v>
      </c>
      <c r="D691" s="72" t="str">
        <f>IF(DATEDIF($B691,'Inst summary and ER calculation'!$T$6,"y")=1,"1-2 years","2-3 years")</f>
        <v>2-3 years</v>
      </c>
      <c r="E691" s="69">
        <f t="shared" si="31"/>
        <v>0.58082191780821912</v>
      </c>
      <c r="F691" s="69">
        <f>$C691*E691*_xlfn.XLOOKUP($D691,'Sample Size cal and results'!$B$23:$B$24,'Sample Size cal and results'!$D$23:$D$24)</f>
        <v>858.82030145807039</v>
      </c>
      <c r="G691" s="72" t="str">
        <f>IF(DATEDIF($B691,'Inst summary and ER calculation'!$U$6,"y")=2,"2-3 years","3-4 years")</f>
        <v>3-4 years</v>
      </c>
      <c r="H691" s="69">
        <f t="shared" si="32"/>
        <v>1</v>
      </c>
      <c r="I691" s="142">
        <f>$C691*H691*_xlfn.XLOOKUP($G691,'Sample Size cal and results'!$B$25:$B$26,'Sample Size cal and results'!$D$25:$D$26)</f>
        <v>1444.9396217014587</v>
      </c>
    </row>
    <row r="692" spans="1:9" ht="13">
      <c r="A692" s="131" t="s">
        <v>135</v>
      </c>
      <c r="B692" s="53">
        <v>41992</v>
      </c>
      <c r="C692" s="52">
        <v>128</v>
      </c>
      <c r="D692" s="72" t="str">
        <f>IF(DATEDIF($B692,'Inst summary and ER calculation'!$T$6,"y")=1,"1-2 years","2-3 years")</f>
        <v>2-3 years</v>
      </c>
      <c r="E692" s="69">
        <f t="shared" si="31"/>
        <v>0.58082191780821912</v>
      </c>
      <c r="F692" s="69">
        <f>$C692*E692*_xlfn.XLOOKUP($D692,'Sample Size cal and results'!$B$23:$B$24,'Sample Size cal and results'!$D$23:$D$24)</f>
        <v>75.708676712557164</v>
      </c>
      <c r="G692" s="72" t="str">
        <f>IF(DATEDIF($B692,'Inst summary and ER calculation'!$U$6,"y")=2,"2-3 years","3-4 years")</f>
        <v>3-4 years</v>
      </c>
      <c r="H692" s="69">
        <f t="shared" si="32"/>
        <v>1</v>
      </c>
      <c r="I692" s="142">
        <f>$C692*H692*_xlfn.XLOOKUP($G692,'Sample Size cal and results'!$B$25:$B$26,'Sample Size cal and results'!$D$25:$D$26)</f>
        <v>127.37759750536276</v>
      </c>
    </row>
    <row r="693" spans="1:9" ht="13">
      <c r="A693" s="131" t="s">
        <v>136</v>
      </c>
      <c r="B693" s="53">
        <v>41992</v>
      </c>
      <c r="C693" s="52">
        <v>109</v>
      </c>
      <c r="D693" s="72" t="str">
        <f>IF(DATEDIF($B693,'Inst summary and ER calculation'!$T$6,"y")=1,"1-2 years","2-3 years")</f>
        <v>2-3 years</v>
      </c>
      <c r="E693" s="69">
        <f t="shared" si="31"/>
        <v>0.58082191780821912</v>
      </c>
      <c r="F693" s="69">
        <f>$C693*E693*_xlfn.XLOOKUP($D693,'Sample Size cal and results'!$B$23:$B$24,'Sample Size cal and results'!$D$23:$D$24)</f>
        <v>64.470670013036951</v>
      </c>
      <c r="G693" s="72" t="str">
        <f>IF(DATEDIF($B693,'Inst summary and ER calculation'!$U$6,"y")=2,"2-3 years","3-4 years")</f>
        <v>3-4 years</v>
      </c>
      <c r="H693" s="69">
        <f t="shared" si="32"/>
        <v>1</v>
      </c>
      <c r="I693" s="142">
        <f>$C693*H693*_xlfn.XLOOKUP($G693,'Sample Size cal and results'!$B$25:$B$26,'Sample Size cal and results'!$D$25:$D$26)</f>
        <v>108.46998537566047</v>
      </c>
    </row>
    <row r="694" spans="1:9" ht="13">
      <c r="A694" s="131" t="s">
        <v>136</v>
      </c>
      <c r="B694" s="53">
        <v>41993</v>
      </c>
      <c r="C694" s="52">
        <v>311</v>
      </c>
      <c r="D694" s="72" t="str">
        <f>IF(DATEDIF($B694,'Inst summary and ER calculation'!$T$6,"y")=1,"1-2 years","2-3 years")</f>
        <v>2-3 years</v>
      </c>
      <c r="E694" s="69">
        <f t="shared" si="31"/>
        <v>0.58082191780821912</v>
      </c>
      <c r="F694" s="69">
        <f>$C694*E694*_xlfn.XLOOKUP($D694,'Sample Size cal and results'!$B$23:$B$24,'Sample Size cal and results'!$D$23:$D$24)</f>
        <v>183.94842545004124</v>
      </c>
      <c r="G694" s="72" t="str">
        <f>IF(DATEDIF($B694,'Inst summary and ER calculation'!$U$6,"y")=2,"2-3 years","3-4 years")</f>
        <v>3-4 years</v>
      </c>
      <c r="H694" s="69">
        <f t="shared" si="32"/>
        <v>1</v>
      </c>
      <c r="I694" s="142">
        <f>$C694*H694*_xlfn.XLOOKUP($G694,'Sample Size cal and results'!$B$25:$B$26,'Sample Size cal and results'!$D$25:$D$26)</f>
        <v>309.48775643881106</v>
      </c>
    </row>
    <row r="695" spans="1:9" ht="13">
      <c r="A695" s="131" t="s">
        <v>136</v>
      </c>
      <c r="B695" s="53">
        <v>41994</v>
      </c>
      <c r="C695" s="52">
        <v>228</v>
      </c>
      <c r="D695" s="72" t="str">
        <f>IF(DATEDIF($B695,'Inst summary and ER calculation'!$T$6,"y")=1,"1-2 years","2-3 years")</f>
        <v>2-3 years</v>
      </c>
      <c r="E695" s="69">
        <f t="shared" si="31"/>
        <v>0.58082191780821912</v>
      </c>
      <c r="F695" s="69">
        <f>$C695*E695*_xlfn.XLOOKUP($D695,'Sample Size cal and results'!$B$23:$B$24,'Sample Size cal and results'!$D$23:$D$24)</f>
        <v>134.85608039424244</v>
      </c>
      <c r="G695" s="72" t="str">
        <f>IF(DATEDIF($B695,'Inst summary and ER calculation'!$U$6,"y")=2,"2-3 years","3-4 years")</f>
        <v>3-4 years</v>
      </c>
      <c r="H695" s="69">
        <f t="shared" si="32"/>
        <v>1</v>
      </c>
      <c r="I695" s="142">
        <f>$C695*H695*_xlfn.XLOOKUP($G695,'Sample Size cal and results'!$B$25:$B$26,'Sample Size cal and results'!$D$25:$D$26)</f>
        <v>226.89134555642741</v>
      </c>
    </row>
    <row r="696" spans="1:9" ht="13">
      <c r="A696" s="131" t="s">
        <v>136</v>
      </c>
      <c r="B696" s="53">
        <v>41995</v>
      </c>
      <c r="C696" s="52">
        <v>265</v>
      </c>
      <c r="D696" s="72" t="str">
        <f>IF(DATEDIF($B696,'Inst summary and ER calculation'!$T$6,"y")=1,"1-2 years","2-3 years")</f>
        <v>2-3 years</v>
      </c>
      <c r="E696" s="69">
        <f t="shared" si="31"/>
        <v>0.58082191780821912</v>
      </c>
      <c r="F696" s="69">
        <f>$C696*E696*_xlfn.XLOOKUP($D696,'Sample Size cal and results'!$B$23:$B$24,'Sample Size cal and results'!$D$23:$D$24)</f>
        <v>156.74061975646597</v>
      </c>
      <c r="G696" s="72" t="str">
        <f>IF(DATEDIF($B696,'Inst summary and ER calculation'!$U$6,"y")=2,"2-3 years","3-4 years")</f>
        <v>3-4 years</v>
      </c>
      <c r="H696" s="69">
        <f t="shared" si="32"/>
        <v>1</v>
      </c>
      <c r="I696" s="142">
        <f>$C696*H696*_xlfn.XLOOKUP($G696,'Sample Size cal and results'!$B$25:$B$26,'Sample Size cal and results'!$D$25:$D$26)</f>
        <v>263.71143233532132</v>
      </c>
    </row>
    <row r="697" spans="1:9" ht="13">
      <c r="A697" s="131" t="s">
        <v>136</v>
      </c>
      <c r="B697" s="53">
        <v>41996</v>
      </c>
      <c r="C697" s="52">
        <v>206</v>
      </c>
      <c r="D697" s="72" t="str">
        <f>IF(DATEDIF($B697,'Inst summary and ER calculation'!$T$6,"y")=1,"1-2 years","2-3 years")</f>
        <v>2-3 years</v>
      </c>
      <c r="E697" s="69">
        <f t="shared" si="31"/>
        <v>0.58082191780821912</v>
      </c>
      <c r="F697" s="69">
        <f>$C697*E697*_xlfn.XLOOKUP($D697,'Sample Size cal and results'!$B$23:$B$24,'Sample Size cal and results'!$D$23:$D$24)</f>
        <v>121.84365158427168</v>
      </c>
      <c r="G697" s="72" t="str">
        <f>IF(DATEDIF($B697,'Inst summary and ER calculation'!$U$6,"y")=2,"2-3 years","3-4 years")</f>
        <v>3-4 years</v>
      </c>
      <c r="H697" s="69">
        <f t="shared" si="32"/>
        <v>1</v>
      </c>
      <c r="I697" s="142">
        <f>$C697*H697*_xlfn.XLOOKUP($G697,'Sample Size cal and results'!$B$25:$B$26,'Sample Size cal and results'!$D$25:$D$26)</f>
        <v>204.99832098519317</v>
      </c>
    </row>
    <row r="698" spans="1:9" ht="13">
      <c r="A698" s="131" t="s">
        <v>136</v>
      </c>
      <c r="B698" s="53">
        <v>41997</v>
      </c>
      <c r="C698" s="52">
        <v>207</v>
      </c>
      <c r="D698" s="72" t="str">
        <f>IF(DATEDIF($B698,'Inst summary and ER calculation'!$T$6,"y")=1,"1-2 years","2-3 years")</f>
        <v>2-3 years</v>
      </c>
      <c r="E698" s="69">
        <f t="shared" si="31"/>
        <v>0.58082191780821912</v>
      </c>
      <c r="F698" s="69">
        <f>$C698*E698*_xlfn.XLOOKUP($D698,'Sample Size cal and results'!$B$23:$B$24,'Sample Size cal and results'!$D$23:$D$24)</f>
        <v>122.43512562108853</v>
      </c>
      <c r="G698" s="72" t="str">
        <f>IF(DATEDIF($B698,'Inst summary and ER calculation'!$U$6,"y")=2,"2-3 years","3-4 years")</f>
        <v>3-4 years</v>
      </c>
      <c r="H698" s="69">
        <f t="shared" si="32"/>
        <v>1</v>
      </c>
      <c r="I698" s="142">
        <f>$C698*H698*_xlfn.XLOOKUP($G698,'Sample Size cal and results'!$B$25:$B$26,'Sample Size cal and results'!$D$25:$D$26)</f>
        <v>205.99345846570384</v>
      </c>
    </row>
    <row r="699" spans="1:9" ht="13">
      <c r="A699" s="131" t="s">
        <v>136</v>
      </c>
      <c r="B699" s="53">
        <v>41998</v>
      </c>
      <c r="C699" s="52">
        <v>404</v>
      </c>
      <c r="D699" s="72" t="str">
        <f>IF(DATEDIF($B699,'Inst summary and ER calculation'!$T$6,"y")=1,"1-2 years","2-3 years")</f>
        <v>2-3 years</v>
      </c>
      <c r="E699" s="69">
        <f t="shared" si="31"/>
        <v>0.58082191780821912</v>
      </c>
      <c r="F699" s="69">
        <f>$C699*E699*_xlfn.XLOOKUP($D699,'Sample Size cal and results'!$B$23:$B$24,'Sample Size cal and results'!$D$23:$D$24)</f>
        <v>238.95551087400852</v>
      </c>
      <c r="G699" s="72" t="str">
        <f>IF(DATEDIF($B699,'Inst summary and ER calculation'!$U$6,"y")=2,"2-3 years","3-4 years")</f>
        <v>3-4 years</v>
      </c>
      <c r="H699" s="69">
        <f t="shared" si="32"/>
        <v>1</v>
      </c>
      <c r="I699" s="142">
        <f>$C699*H699*_xlfn.XLOOKUP($G699,'Sample Size cal and results'!$B$25:$B$26,'Sample Size cal and results'!$D$25:$D$26)</f>
        <v>402.03554212630121</v>
      </c>
    </row>
    <row r="700" spans="1:9" ht="13">
      <c r="A700" s="131" t="s">
        <v>136</v>
      </c>
      <c r="B700" s="53">
        <v>41999</v>
      </c>
      <c r="C700" s="52">
        <v>189</v>
      </c>
      <c r="D700" s="72" t="str">
        <f>IF(DATEDIF($B700,'Inst summary and ER calculation'!$T$6,"y")=1,"1-2 years","2-3 years")</f>
        <v>2-3 years</v>
      </c>
      <c r="E700" s="69">
        <f t="shared" si="31"/>
        <v>0.58082191780821912</v>
      </c>
      <c r="F700" s="69">
        <f>$C700*E700*_xlfn.XLOOKUP($D700,'Sample Size cal and results'!$B$23:$B$24,'Sample Size cal and results'!$D$23:$D$24)</f>
        <v>111.78859295838518</v>
      </c>
      <c r="G700" s="72" t="str">
        <f>IF(DATEDIF($B700,'Inst summary and ER calculation'!$U$6,"y")=2,"2-3 years","3-4 years")</f>
        <v>3-4 years</v>
      </c>
      <c r="H700" s="69">
        <f t="shared" si="32"/>
        <v>1</v>
      </c>
      <c r="I700" s="142">
        <f>$C700*H700*_xlfn.XLOOKUP($G700,'Sample Size cal and results'!$B$25:$B$26,'Sample Size cal and results'!$D$25:$D$26)</f>
        <v>188.0809838165122</v>
      </c>
    </row>
    <row r="701" spans="1:9" ht="13">
      <c r="A701" s="131" t="s">
        <v>136</v>
      </c>
      <c r="B701" s="53">
        <v>42000</v>
      </c>
      <c r="C701" s="52">
        <v>1420</v>
      </c>
      <c r="D701" s="72" t="str">
        <f>IF(DATEDIF($B701,'Inst summary and ER calculation'!$T$6,"y")=1,"1-2 years","2-3 years")</f>
        <v>2-3 years</v>
      </c>
      <c r="E701" s="69">
        <f t="shared" si="31"/>
        <v>0.58082191780821912</v>
      </c>
      <c r="F701" s="69">
        <f>$C701*E701*_xlfn.XLOOKUP($D701,'Sample Size cal and results'!$B$23:$B$24,'Sample Size cal and results'!$D$23:$D$24)</f>
        <v>839.89313227993102</v>
      </c>
      <c r="G701" s="72" t="str">
        <f>IF(DATEDIF($B701,'Inst summary and ER calculation'!$U$6,"y")=2,"2-3 years","3-4 years")</f>
        <v>3-4 years</v>
      </c>
      <c r="H701" s="69">
        <f t="shared" si="32"/>
        <v>1</v>
      </c>
      <c r="I701" s="142">
        <f>$C701*H701*_xlfn.XLOOKUP($G701,'Sample Size cal and results'!$B$25:$B$26,'Sample Size cal and results'!$D$25:$D$26)</f>
        <v>1413.0952223251181</v>
      </c>
    </row>
    <row r="702" spans="1:9" ht="13">
      <c r="A702" s="131" t="s">
        <v>136</v>
      </c>
      <c r="B702" s="53">
        <v>42001</v>
      </c>
      <c r="C702" s="52">
        <v>991</v>
      </c>
      <c r="D702" s="72" t="str">
        <f>IF(DATEDIF($B702,'Inst summary and ER calculation'!$T$6,"y")=1,"1-2 years","2-3 years")</f>
        <v>2-3 years</v>
      </c>
      <c r="E702" s="69">
        <f t="shared" si="31"/>
        <v>0.58082191780821912</v>
      </c>
      <c r="F702" s="69">
        <f>$C702*E702*_xlfn.XLOOKUP($D702,'Sample Size cal and results'!$B$23:$B$24,'Sample Size cal and results'!$D$23:$D$24)</f>
        <v>586.1507704855012</v>
      </c>
      <c r="G702" s="72" t="str">
        <f>IF(DATEDIF($B702,'Inst summary and ER calculation'!$U$6,"y")=2,"2-3 years","3-4 years")</f>
        <v>3-4 years</v>
      </c>
      <c r="H702" s="69">
        <f t="shared" si="32"/>
        <v>1</v>
      </c>
      <c r="I702" s="142">
        <f>$C702*H702*_xlfn.XLOOKUP($G702,'Sample Size cal and results'!$B$25:$B$26,'Sample Size cal and results'!$D$25:$D$26)</f>
        <v>986.18124318605078</v>
      </c>
    </row>
    <row r="703" spans="1:9" ht="13">
      <c r="A703" s="131" t="s">
        <v>137</v>
      </c>
      <c r="B703" s="53">
        <v>42001</v>
      </c>
      <c r="C703" s="52">
        <v>667</v>
      </c>
      <c r="D703" s="72" t="str">
        <f>IF(DATEDIF($B703,'Inst summary and ER calculation'!$T$6,"y")=1,"1-2 years","2-3 years")</f>
        <v>2-3 years</v>
      </c>
      <c r="E703" s="69">
        <f t="shared" si="31"/>
        <v>0.58082191780821912</v>
      </c>
      <c r="F703" s="69">
        <f>$C703*E703*_xlfn.XLOOKUP($D703,'Sample Size cal and results'!$B$23:$B$24,'Sample Size cal and results'!$D$23:$D$24)</f>
        <v>394.51318255684083</v>
      </c>
      <c r="G703" s="72" t="str">
        <f>IF(DATEDIF($B703,'Inst summary and ER calculation'!$U$6,"y")=2,"2-3 years","3-4 years")</f>
        <v>3-4 years</v>
      </c>
      <c r="H703" s="69">
        <f t="shared" si="32"/>
        <v>1</v>
      </c>
      <c r="I703" s="142">
        <f>$C703*H703*_xlfn.XLOOKUP($G703,'Sample Size cal and results'!$B$25:$B$26,'Sample Size cal and results'!$D$25:$D$26)</f>
        <v>663.75669950060126</v>
      </c>
    </row>
    <row r="704" spans="1:9" ht="13">
      <c r="A704" s="131" t="s">
        <v>137</v>
      </c>
      <c r="B704" s="53">
        <v>42002</v>
      </c>
      <c r="C704" s="52">
        <v>169</v>
      </c>
      <c r="D704" s="72" t="str">
        <f>IF(DATEDIF($B704,'Inst summary and ER calculation'!$T$6,"y")=1,"1-2 years","2-3 years")</f>
        <v>2-3 years</v>
      </c>
      <c r="E704" s="69">
        <f t="shared" si="31"/>
        <v>0.58082191780821912</v>
      </c>
      <c r="F704" s="69">
        <f>$C704*E704*_xlfn.XLOOKUP($D704,'Sample Size cal and results'!$B$23:$B$24,'Sample Size cal and results'!$D$23:$D$24)</f>
        <v>99.95911222204812</v>
      </c>
      <c r="G704" s="72" t="str">
        <f>IF(DATEDIF($B704,'Inst summary and ER calculation'!$U$6,"y")=2,"2-3 years","3-4 years")</f>
        <v>3-4 years</v>
      </c>
      <c r="H704" s="69">
        <f t="shared" si="32"/>
        <v>1</v>
      </c>
      <c r="I704" s="142">
        <f>$C704*H704*_xlfn.XLOOKUP($G704,'Sample Size cal and results'!$B$25:$B$26,'Sample Size cal and results'!$D$25:$D$26)</f>
        <v>168.17823420629927</v>
      </c>
    </row>
    <row r="705" spans="1:9" ht="13">
      <c r="A705" s="131" t="s">
        <v>137</v>
      </c>
      <c r="B705" s="53">
        <v>42003</v>
      </c>
      <c r="C705" s="52">
        <v>1497</v>
      </c>
      <c r="D705" s="72" t="str">
        <f>IF(DATEDIF($B705,'Inst summary and ER calculation'!$T$6,"y")=1,"1-2 years","2-3 years")</f>
        <v>2-3 years</v>
      </c>
      <c r="E705" s="69">
        <f t="shared" si="31"/>
        <v>0.58082191780821912</v>
      </c>
      <c r="F705" s="69">
        <f>$C705*E705*_xlfn.XLOOKUP($D705,'Sample Size cal and results'!$B$23:$B$24,'Sample Size cal and results'!$D$23:$D$24)</f>
        <v>885.43663311482862</v>
      </c>
      <c r="G705" s="72" t="str">
        <f>IF(DATEDIF($B705,'Inst summary and ER calculation'!$U$6,"y")=2,"2-3 years","3-4 years")</f>
        <v>3-4 years</v>
      </c>
      <c r="H705" s="69">
        <f t="shared" si="32"/>
        <v>1</v>
      </c>
      <c r="I705" s="142">
        <f>$C705*H705*_xlfn.XLOOKUP($G705,'Sample Size cal and results'!$B$25:$B$26,'Sample Size cal and results'!$D$25:$D$26)</f>
        <v>1489.7208083244379</v>
      </c>
    </row>
    <row r="706" spans="1:9" ht="13">
      <c r="A706" s="131" t="s">
        <v>137</v>
      </c>
      <c r="B706" s="53">
        <v>42004</v>
      </c>
      <c r="C706" s="52">
        <v>99</v>
      </c>
      <c r="D706" s="72" t="str">
        <f>IF(DATEDIF($B706,'Inst summary and ER calculation'!$T$6,"y")=1,"1-2 years","2-3 years")</f>
        <v>2-3 years</v>
      </c>
      <c r="E706" s="69">
        <f t="shared" si="31"/>
        <v>0.58082191780821912</v>
      </c>
      <c r="F706" s="69">
        <f>$C706*E706*_xlfn.XLOOKUP($D706,'Sample Size cal and results'!$B$23:$B$24,'Sample Size cal and results'!$D$23:$D$24)</f>
        <v>58.555929644868428</v>
      </c>
      <c r="G706" s="72" t="str">
        <f>IF(DATEDIF($B706,'Inst summary and ER calculation'!$U$6,"y")=2,"2-3 years","3-4 years")</f>
        <v>3-4 years</v>
      </c>
      <c r="H706" s="69">
        <f t="shared" si="32"/>
        <v>1</v>
      </c>
      <c r="I706" s="142">
        <f>$C706*H706*_xlfn.XLOOKUP($G706,'Sample Size cal and results'!$B$25:$B$26,'Sample Size cal and results'!$D$25:$D$26)</f>
        <v>98.518610570554003</v>
      </c>
    </row>
    <row r="707" spans="1:9" ht="13">
      <c r="A707" s="131" t="s">
        <v>137</v>
      </c>
      <c r="B707" s="53">
        <v>42005</v>
      </c>
      <c r="C707" s="52">
        <v>194</v>
      </c>
      <c r="D707" s="72" t="str">
        <f>IF(DATEDIF($B707,'Inst summary and ER calculation'!$T$6,"y")=1,"1-2 years","2-3 years")</f>
        <v>2-3 years</v>
      </c>
      <c r="E707" s="69">
        <f t="shared" si="31"/>
        <v>0.58082191780821912</v>
      </c>
      <c r="F707" s="69">
        <f>$C707*E707*_xlfn.XLOOKUP($D707,'Sample Size cal and results'!$B$23:$B$24,'Sample Size cal and results'!$D$23:$D$24)</f>
        <v>114.74596314246945</v>
      </c>
      <c r="G707" s="72" t="str">
        <f>IF(DATEDIF($B707,'Inst summary and ER calculation'!$U$6,"y")=2,"2-3 years","3-4 years")</f>
        <v>3-4 years</v>
      </c>
      <c r="H707" s="69">
        <f t="shared" si="32"/>
        <v>1</v>
      </c>
      <c r="I707" s="142">
        <f>$C707*H707*_xlfn.XLOOKUP($G707,'Sample Size cal and results'!$B$25:$B$26,'Sample Size cal and results'!$D$25:$D$26)</f>
        <v>193.05667121906544</v>
      </c>
    </row>
    <row r="708" spans="1:9" ht="13">
      <c r="A708" s="131" t="s">
        <v>137</v>
      </c>
      <c r="B708" s="53">
        <v>42006</v>
      </c>
      <c r="C708" s="52">
        <v>215</v>
      </c>
      <c r="D708" s="72" t="str">
        <f>IF(DATEDIF($B708,'Inst summary and ER calculation'!$T$6,"y")=1,"1-2 years","2-3 years")</f>
        <v>2-3 years</v>
      </c>
      <c r="E708" s="69">
        <f t="shared" si="31"/>
        <v>0.58082191780821912</v>
      </c>
      <c r="F708" s="69">
        <f>$C708*E708*_xlfn.XLOOKUP($D708,'Sample Size cal and results'!$B$23:$B$24,'Sample Size cal and results'!$D$23:$D$24)</f>
        <v>127.16691791562336</v>
      </c>
      <c r="G708" s="72" t="str">
        <f>IF(DATEDIF($B708,'Inst summary and ER calculation'!$U$6,"y")=2,"2-3 years","3-4 years")</f>
        <v>3-4 years</v>
      </c>
      <c r="H708" s="69">
        <f t="shared" si="32"/>
        <v>1</v>
      </c>
      <c r="I708" s="142">
        <f>$C708*H708*_xlfn.XLOOKUP($G708,'Sample Size cal and results'!$B$25:$B$26,'Sample Size cal and results'!$D$25:$D$26)</f>
        <v>213.95455830978901</v>
      </c>
    </row>
    <row r="709" spans="1:9" ht="13">
      <c r="A709" s="131" t="s">
        <v>137</v>
      </c>
      <c r="B709" s="53">
        <v>42007</v>
      </c>
      <c r="C709" s="52">
        <v>194</v>
      </c>
      <c r="D709" s="72" t="str">
        <f>IF(DATEDIF($B709,'Inst summary and ER calculation'!$T$6,"y")=1,"1-2 years","2-3 years")</f>
        <v>2-3 years</v>
      </c>
      <c r="E709" s="69">
        <f t="shared" si="31"/>
        <v>0.58082191780821912</v>
      </c>
      <c r="F709" s="69">
        <f>$C709*E709*_xlfn.XLOOKUP($D709,'Sample Size cal and results'!$B$23:$B$24,'Sample Size cal and results'!$D$23:$D$24)</f>
        <v>114.74596314246945</v>
      </c>
      <c r="G709" s="72" t="str">
        <f>IF(DATEDIF($B709,'Inst summary and ER calculation'!$U$6,"y")=2,"2-3 years","3-4 years")</f>
        <v>3-4 years</v>
      </c>
      <c r="H709" s="69">
        <f t="shared" si="32"/>
        <v>1</v>
      </c>
      <c r="I709" s="142">
        <f>$C709*H709*_xlfn.XLOOKUP($G709,'Sample Size cal and results'!$B$25:$B$26,'Sample Size cal and results'!$D$25:$D$26)</f>
        <v>193.05667121906544</v>
      </c>
    </row>
    <row r="710" spans="1:9" ht="13">
      <c r="A710" s="131" t="s">
        <v>137</v>
      </c>
      <c r="B710" s="53">
        <v>42008</v>
      </c>
      <c r="C710" s="52">
        <v>174</v>
      </c>
      <c r="D710" s="72" t="str">
        <f>IF(DATEDIF($B710,'Inst summary and ER calculation'!$T$6,"y")=1,"1-2 years","2-3 years")</f>
        <v>2-3 years</v>
      </c>
      <c r="E710" s="69">
        <f t="shared" si="31"/>
        <v>0.58082191780821912</v>
      </c>
      <c r="F710" s="69">
        <f>$C710*E710*_xlfn.XLOOKUP($D710,'Sample Size cal and results'!$B$23:$B$24,'Sample Size cal and results'!$D$23:$D$24)</f>
        <v>102.91648240613239</v>
      </c>
      <c r="G710" s="72" t="str">
        <f>IF(DATEDIF($B710,'Inst summary and ER calculation'!$U$6,"y")=2,"2-3 years","3-4 years")</f>
        <v>3-4 years</v>
      </c>
      <c r="H710" s="69">
        <f t="shared" si="32"/>
        <v>1</v>
      </c>
      <c r="I710" s="142">
        <f>$C710*H710*_xlfn.XLOOKUP($G710,'Sample Size cal and results'!$B$25:$B$26,'Sample Size cal and results'!$D$25:$D$26)</f>
        <v>173.1539216088525</v>
      </c>
    </row>
    <row r="711" spans="1:9" ht="13">
      <c r="A711" s="131" t="s">
        <v>137</v>
      </c>
      <c r="B711" s="53">
        <v>42009</v>
      </c>
      <c r="C711" s="52">
        <v>242</v>
      </c>
      <c r="D711" s="72" t="str">
        <f>IF(DATEDIF($B711,'Inst summary and ER calculation'!$T$6,"y")=1,"1-2 years","2-3 years")</f>
        <v>2-3 years</v>
      </c>
      <c r="E711" s="69">
        <f t="shared" si="31"/>
        <v>0.58082191780821912</v>
      </c>
      <c r="F711" s="69">
        <f>$C711*E711*_xlfn.XLOOKUP($D711,'Sample Size cal and results'!$B$23:$B$24,'Sample Size cal and results'!$D$23:$D$24)</f>
        <v>143.1367169096784</v>
      </c>
      <c r="G711" s="72" t="str">
        <f>IF(DATEDIF($B711,'Inst summary and ER calculation'!$U$6,"y")=2,"2-3 years","3-4 years")</f>
        <v>3-4 years</v>
      </c>
      <c r="H711" s="69">
        <f t="shared" si="32"/>
        <v>1</v>
      </c>
      <c r="I711" s="142">
        <f>$C711*H711*_xlfn.XLOOKUP($G711,'Sample Size cal and results'!$B$25:$B$26,'Sample Size cal and results'!$D$25:$D$26)</f>
        <v>240.82327028357648</v>
      </c>
    </row>
    <row r="712" spans="1:9" ht="13">
      <c r="A712" s="131" t="s">
        <v>137</v>
      </c>
      <c r="B712" s="53">
        <v>42010</v>
      </c>
      <c r="C712" s="52">
        <v>201</v>
      </c>
      <c r="D712" s="72" t="str">
        <f>IF(DATEDIF($B712,'Inst summary and ER calculation'!$T$6,"y")=1,"1-2 years","2-3 years")</f>
        <v>2-3 years</v>
      </c>
      <c r="E712" s="69">
        <f t="shared" si="31"/>
        <v>0.58082191780821912</v>
      </c>
      <c r="F712" s="69">
        <f>$C712*E712*_xlfn.XLOOKUP($D712,'Sample Size cal and results'!$B$23:$B$24,'Sample Size cal and results'!$D$23:$D$24)</f>
        <v>118.88628140018741</v>
      </c>
      <c r="G712" s="72" t="str">
        <f>IF(DATEDIF($B712,'Inst summary and ER calculation'!$U$6,"y")=2,"2-3 years","3-4 years")</f>
        <v>3-4 years</v>
      </c>
      <c r="H712" s="69">
        <f t="shared" si="32"/>
        <v>1</v>
      </c>
      <c r="I712" s="142">
        <f>$C712*H712*_xlfn.XLOOKUP($G712,'Sample Size cal and results'!$B$25:$B$26,'Sample Size cal and results'!$D$25:$D$26)</f>
        <v>200.02263358263997</v>
      </c>
    </row>
    <row r="713" spans="1:9" ht="13">
      <c r="A713" s="131" t="s">
        <v>137</v>
      </c>
      <c r="B713" s="53">
        <v>42011</v>
      </c>
      <c r="C713" s="52">
        <v>149</v>
      </c>
      <c r="D713" s="72" t="str">
        <f>IF(DATEDIF($B713,'Inst summary and ER calculation'!$T$6,"y")=1,"1-2 years","2-3 years")</f>
        <v>2-3 years</v>
      </c>
      <c r="E713" s="69">
        <f t="shared" si="31"/>
        <v>0.58082191780821912</v>
      </c>
      <c r="F713" s="69">
        <f>$C713*E713*_xlfn.XLOOKUP($D713,'Sample Size cal and results'!$B$23:$B$24,'Sample Size cal and results'!$D$23:$D$24)</f>
        <v>88.129631485711073</v>
      </c>
      <c r="G713" s="72" t="str">
        <f>IF(DATEDIF($B713,'Inst summary and ER calculation'!$U$6,"y")=2,"2-3 years","3-4 years")</f>
        <v>3-4 years</v>
      </c>
      <c r="H713" s="69">
        <f t="shared" si="32"/>
        <v>1</v>
      </c>
      <c r="I713" s="142">
        <f>$C713*H713*_xlfn.XLOOKUP($G713,'Sample Size cal and results'!$B$25:$B$26,'Sample Size cal and results'!$D$25:$D$26)</f>
        <v>148.27548459608633</v>
      </c>
    </row>
    <row r="714" spans="1:9" ht="13">
      <c r="A714" s="131" t="s">
        <v>138</v>
      </c>
      <c r="B714" s="53">
        <v>42011</v>
      </c>
      <c r="C714" s="52">
        <v>1249</v>
      </c>
      <c r="D714" s="72" t="str">
        <f>IF(DATEDIF($B714,'Inst summary and ER calculation'!$T$6,"y")=1,"1-2 years","2-3 years")</f>
        <v>2-3 years</v>
      </c>
      <c r="E714" s="69">
        <f t="shared" si="31"/>
        <v>0.58082191780821912</v>
      </c>
      <c r="F714" s="69">
        <f>$C714*E714*_xlfn.XLOOKUP($D714,'Sample Size cal and results'!$B$23:$B$24,'Sample Size cal and results'!$D$23:$D$24)</f>
        <v>738.75107198424917</v>
      </c>
      <c r="G714" s="72" t="str">
        <f>IF(DATEDIF($B714,'Inst summary and ER calculation'!$U$6,"y")=2,"2-3 years","3-4 years")</f>
        <v>3-4 years</v>
      </c>
      <c r="H714" s="69">
        <f t="shared" si="32"/>
        <v>1</v>
      </c>
      <c r="I714" s="142">
        <f>$C714*H714*_xlfn.XLOOKUP($G714,'Sample Size cal and results'!$B$25:$B$26,'Sample Size cal and results'!$D$25:$D$26)</f>
        <v>1242.9267131577976</v>
      </c>
    </row>
    <row r="715" spans="1:9" ht="13">
      <c r="A715" s="131" t="s">
        <v>138</v>
      </c>
      <c r="B715" s="53">
        <v>42012</v>
      </c>
      <c r="C715" s="52">
        <v>223</v>
      </c>
      <c r="D715" s="72" t="str">
        <f>IF(DATEDIF($B715,'Inst summary and ER calculation'!$T$6,"y")=1,"1-2 years","2-3 years")</f>
        <v>2-3 years</v>
      </c>
      <c r="E715" s="69">
        <f t="shared" si="31"/>
        <v>0.58082191780821912</v>
      </c>
      <c r="F715" s="69">
        <f>$C715*E715*_xlfn.XLOOKUP($D715,'Sample Size cal and results'!$B$23:$B$24,'Sample Size cal and results'!$D$23:$D$24)</f>
        <v>131.89871021015816</v>
      </c>
      <c r="G715" s="72" t="str">
        <f>IF(DATEDIF($B715,'Inst summary and ER calculation'!$U$6,"y")=2,"2-3 years","3-4 years")</f>
        <v>3-4 years</v>
      </c>
      <c r="H715" s="69">
        <f t="shared" si="32"/>
        <v>1</v>
      </c>
      <c r="I715" s="142">
        <f>$C715*H715*_xlfn.XLOOKUP($G715,'Sample Size cal and results'!$B$25:$B$26,'Sample Size cal and results'!$D$25:$D$26)</f>
        <v>221.91565815387418</v>
      </c>
    </row>
    <row r="716" spans="1:9" ht="13">
      <c r="A716" s="131" t="s">
        <v>138</v>
      </c>
      <c r="B716" s="53">
        <v>42013</v>
      </c>
      <c r="C716" s="52">
        <v>205</v>
      </c>
      <c r="D716" s="72" t="str">
        <f>IF(DATEDIF($B716,'Inst summary and ER calculation'!$T$6,"y")=1,"1-2 years","2-3 years")</f>
        <v>2-3 years</v>
      </c>
      <c r="E716" s="69">
        <f t="shared" si="31"/>
        <v>0.58082191780821912</v>
      </c>
      <c r="F716" s="69">
        <f>$C716*E716*_xlfn.XLOOKUP($D716,'Sample Size cal and results'!$B$23:$B$24,'Sample Size cal and results'!$D$23:$D$24)</f>
        <v>121.25217754745482</v>
      </c>
      <c r="G716" s="72" t="str">
        <f>IF(DATEDIF($B716,'Inst summary and ER calculation'!$U$6,"y")=2,"2-3 years","3-4 years")</f>
        <v>3-4 years</v>
      </c>
      <c r="H716" s="69">
        <f t="shared" si="32"/>
        <v>1</v>
      </c>
      <c r="I716" s="142">
        <f>$C716*H716*_xlfn.XLOOKUP($G716,'Sample Size cal and results'!$B$25:$B$26,'Sample Size cal and results'!$D$25:$D$26)</f>
        <v>204.00318350468254</v>
      </c>
    </row>
    <row r="717" spans="1:9" ht="13">
      <c r="A717" s="131" t="s">
        <v>138</v>
      </c>
      <c r="B717" s="53">
        <v>42014</v>
      </c>
      <c r="C717" s="52">
        <v>286</v>
      </c>
      <c r="D717" s="72" t="str">
        <f>IF(DATEDIF($B717,'Inst summary and ER calculation'!$T$6,"y")=1,"1-2 years","2-3 years")</f>
        <v>2-3 years</v>
      </c>
      <c r="E717" s="69">
        <f t="shared" si="31"/>
        <v>0.58082191780821912</v>
      </c>
      <c r="F717" s="69">
        <f>$C717*E717*_xlfn.XLOOKUP($D717,'Sample Size cal and results'!$B$23:$B$24,'Sample Size cal and results'!$D$23:$D$24)</f>
        <v>169.16157452961988</v>
      </c>
      <c r="G717" s="72" t="str">
        <f>IF(DATEDIF($B717,'Inst summary and ER calculation'!$U$6,"y")=2,"2-3 years","3-4 years")</f>
        <v>3-4 years</v>
      </c>
      <c r="H717" s="69">
        <f t="shared" si="32"/>
        <v>1</v>
      </c>
      <c r="I717" s="142">
        <f>$C717*H717*_xlfn.XLOOKUP($G717,'Sample Size cal and results'!$B$25:$B$26,'Sample Size cal and results'!$D$25:$D$26)</f>
        <v>284.60931942604492</v>
      </c>
    </row>
    <row r="718" spans="1:9" ht="13">
      <c r="A718" s="131" t="s">
        <v>138</v>
      </c>
      <c r="B718" s="53">
        <v>42015</v>
      </c>
      <c r="C718" s="52">
        <v>262</v>
      </c>
      <c r="D718" s="72" t="str">
        <f>IF(DATEDIF($B718,'Inst summary and ER calculation'!$T$6,"y")=1,"1-2 years","2-3 years")</f>
        <v>2-3 years</v>
      </c>
      <c r="E718" s="69">
        <f t="shared" si="31"/>
        <v>0.58082191780821912</v>
      </c>
      <c r="F718" s="69">
        <f>$C718*E718*_xlfn.XLOOKUP($D718,'Sample Size cal and results'!$B$23:$B$24,'Sample Size cal and results'!$D$23:$D$24)</f>
        <v>154.96619764601542</v>
      </c>
      <c r="G718" s="72" t="str">
        <f>IF(DATEDIF($B718,'Inst summary and ER calculation'!$U$6,"y")=2,"2-3 years","3-4 years")</f>
        <v>3-4 years</v>
      </c>
      <c r="H718" s="69">
        <f t="shared" si="32"/>
        <v>1</v>
      </c>
      <c r="I718" s="142">
        <f>$C718*H718*_xlfn.XLOOKUP($G718,'Sample Size cal and results'!$B$25:$B$26,'Sample Size cal and results'!$D$25:$D$26)</f>
        <v>260.72601989378938</v>
      </c>
    </row>
    <row r="719" spans="1:9" ht="13">
      <c r="A719" s="131" t="s">
        <v>138</v>
      </c>
      <c r="B719" s="53">
        <v>42016</v>
      </c>
      <c r="C719" s="52">
        <v>288</v>
      </c>
      <c r="D719" s="72" t="str">
        <f>IF(DATEDIF($B719,'Inst summary and ER calculation'!$T$6,"y")=1,"1-2 years","2-3 years")</f>
        <v>2-3 years</v>
      </c>
      <c r="E719" s="69">
        <f t="shared" si="31"/>
        <v>0.58082191780821912</v>
      </c>
      <c r="F719" s="69">
        <f>$C719*E719*_xlfn.XLOOKUP($D719,'Sample Size cal and results'!$B$23:$B$24,'Sample Size cal and results'!$D$23:$D$24)</f>
        <v>170.34452260325361</v>
      </c>
      <c r="G719" s="72" t="str">
        <f>IF(DATEDIF($B719,'Inst summary and ER calculation'!$U$6,"y")=2,"2-3 years","3-4 years")</f>
        <v>3-4 years</v>
      </c>
      <c r="H719" s="69">
        <f t="shared" si="32"/>
        <v>1</v>
      </c>
      <c r="I719" s="142">
        <f>$C719*H719*_xlfn.XLOOKUP($G719,'Sample Size cal and results'!$B$25:$B$26,'Sample Size cal and results'!$D$25:$D$26)</f>
        <v>286.59959438706619</v>
      </c>
    </row>
    <row r="720" spans="1:9" ht="13">
      <c r="A720" s="131" t="s">
        <v>138</v>
      </c>
      <c r="B720" s="53">
        <v>42017</v>
      </c>
      <c r="C720" s="52">
        <v>2241</v>
      </c>
      <c r="D720" s="72" t="str">
        <f>IF(DATEDIF($B720,'Inst summary and ER calculation'!$T$6,"y")=1,"1-2 years","2-3 years")</f>
        <v>2-3 years</v>
      </c>
      <c r="E720" s="69">
        <f t="shared" si="31"/>
        <v>0.58082191780821912</v>
      </c>
      <c r="F720" s="69">
        <f>$C720*E720*_xlfn.XLOOKUP($D720,'Sample Size cal and results'!$B$23:$B$24,'Sample Size cal and results'!$D$23:$D$24)</f>
        <v>1325.493316506567</v>
      </c>
      <c r="G720" s="72" t="str">
        <f>IF(DATEDIF($B720,'Inst summary and ER calculation'!$U$6,"y")=2,"2-3 years","3-4 years")</f>
        <v>3-4 years</v>
      </c>
      <c r="H720" s="69">
        <f t="shared" si="32"/>
        <v>1</v>
      </c>
      <c r="I720" s="142">
        <f>$C720*H720*_xlfn.XLOOKUP($G720,'Sample Size cal and results'!$B$25:$B$26,'Sample Size cal and results'!$D$25:$D$26)</f>
        <v>2230.1030938243589</v>
      </c>
    </row>
    <row r="721" spans="1:9" ht="13">
      <c r="A721" s="131" t="s">
        <v>138</v>
      </c>
      <c r="B721" s="53">
        <v>42018</v>
      </c>
      <c r="C721" s="52">
        <v>226</v>
      </c>
      <c r="D721" s="72" t="str">
        <f>IF(DATEDIF($B721,'Inst summary and ER calculation'!$T$6,"y")=1,"1-2 years","2-3 years")</f>
        <v>2-3 years</v>
      </c>
      <c r="E721" s="69">
        <f t="shared" si="31"/>
        <v>0.58082191780821912</v>
      </c>
      <c r="F721" s="69">
        <f>$C721*E721*_xlfn.XLOOKUP($D721,'Sample Size cal and results'!$B$23:$B$24,'Sample Size cal and results'!$D$23:$D$24)</f>
        <v>133.67313232060874</v>
      </c>
      <c r="G721" s="72" t="str">
        <f>IF(DATEDIF($B721,'Inst summary and ER calculation'!$U$6,"y")=2,"2-3 years","3-4 years")</f>
        <v>3-4 years</v>
      </c>
      <c r="H721" s="69">
        <f t="shared" si="32"/>
        <v>1</v>
      </c>
      <c r="I721" s="142">
        <f>$C721*H721*_xlfn.XLOOKUP($G721,'Sample Size cal and results'!$B$25:$B$26,'Sample Size cal and results'!$D$25:$D$26)</f>
        <v>224.90107059540611</v>
      </c>
    </row>
    <row r="722" spans="1:9" ht="13">
      <c r="A722" s="131" t="s">
        <v>138</v>
      </c>
      <c r="B722" s="53">
        <v>42019</v>
      </c>
      <c r="C722" s="52">
        <v>2642</v>
      </c>
      <c r="D722" s="72" t="str">
        <f>IF(DATEDIF($B722,'Inst summary and ER calculation'!$T$6,"y")=1,"1-2 years","2-3 years")</f>
        <v>2-3 years</v>
      </c>
      <c r="E722" s="69">
        <f t="shared" si="31"/>
        <v>0.58082191780821912</v>
      </c>
      <c r="F722" s="69">
        <f>$C722*E722*_xlfn.XLOOKUP($D722,'Sample Size cal and results'!$B$23:$B$24,'Sample Size cal and results'!$D$23:$D$24)</f>
        <v>1562.6744052701251</v>
      </c>
      <c r="G722" s="72" t="str">
        <f>IF(DATEDIF($B722,'Inst summary and ER calculation'!$U$6,"y")=2,"2-3 years","3-4 years")</f>
        <v>3-4 years</v>
      </c>
      <c r="H722" s="69">
        <f t="shared" si="32"/>
        <v>1</v>
      </c>
      <c r="I722" s="142">
        <f>$C722*H722*_xlfn.XLOOKUP($G722,'Sample Size cal and results'!$B$25:$B$26,'Sample Size cal and results'!$D$25:$D$26)</f>
        <v>2629.1532235091281</v>
      </c>
    </row>
    <row r="723" spans="1:9" ht="13">
      <c r="A723" s="131" t="s">
        <v>139</v>
      </c>
      <c r="B723" s="53">
        <v>42019</v>
      </c>
      <c r="C723" s="52">
        <v>36</v>
      </c>
      <c r="D723" s="72" t="str">
        <f>IF(DATEDIF($B723,'Inst summary and ER calculation'!$T$6,"y")=1,"1-2 years","2-3 years")</f>
        <v>2-3 years</v>
      </c>
      <c r="E723" s="69">
        <f t="shared" si="31"/>
        <v>0.58082191780821912</v>
      </c>
      <c r="F723" s="69">
        <f>$C723*E723*_xlfn.XLOOKUP($D723,'Sample Size cal and results'!$B$23:$B$24,'Sample Size cal and results'!$D$23:$D$24)</f>
        <v>21.293065325406701</v>
      </c>
      <c r="G723" s="72" t="str">
        <f>IF(DATEDIF($B723,'Inst summary and ER calculation'!$U$6,"y")=2,"2-3 years","3-4 years")</f>
        <v>3-4 years</v>
      </c>
      <c r="H723" s="69">
        <f t="shared" si="32"/>
        <v>1</v>
      </c>
      <c r="I723" s="142">
        <f>$C723*H723*_xlfn.XLOOKUP($G723,'Sample Size cal and results'!$B$25:$B$26,'Sample Size cal and results'!$D$25:$D$26)</f>
        <v>35.824949298383274</v>
      </c>
    </row>
    <row r="724" spans="1:9" ht="13">
      <c r="A724" s="131" t="s">
        <v>139</v>
      </c>
      <c r="B724" s="53">
        <v>42020</v>
      </c>
      <c r="C724" s="52">
        <v>401</v>
      </c>
      <c r="D724" s="72" t="str">
        <f>IF(DATEDIF($B724,'Inst summary and ER calculation'!$T$6,"y")=1,"1-2 years","2-3 years")</f>
        <v>2-3 years</v>
      </c>
      <c r="E724" s="69">
        <f t="shared" si="31"/>
        <v>0.58082191780821912</v>
      </c>
      <c r="F724" s="69">
        <f>$C724*E724*_xlfn.XLOOKUP($D724,'Sample Size cal and results'!$B$23:$B$24,'Sample Size cal and results'!$D$23:$D$24)</f>
        <v>237.18108876355797</v>
      </c>
      <c r="G724" s="72" t="str">
        <f>IF(DATEDIF($B724,'Inst summary and ER calculation'!$U$6,"y")=2,"2-3 years","3-4 years")</f>
        <v>3-4 years</v>
      </c>
      <c r="H724" s="69">
        <f t="shared" si="32"/>
        <v>1</v>
      </c>
      <c r="I724" s="142">
        <f>$C724*H724*_xlfn.XLOOKUP($G724,'Sample Size cal and results'!$B$25:$B$26,'Sample Size cal and results'!$D$25:$D$26)</f>
        <v>399.05012968476927</v>
      </c>
    </row>
    <row r="725" spans="1:9" ht="13">
      <c r="A725" s="131" t="s">
        <v>139</v>
      </c>
      <c r="B725" s="53">
        <v>42021</v>
      </c>
      <c r="C725" s="52">
        <v>703</v>
      </c>
      <c r="D725" s="72" t="str">
        <f>IF(DATEDIF($B725,'Inst summary and ER calculation'!$T$6,"y")=1,"1-2 years","2-3 years")</f>
        <v>2-3 years</v>
      </c>
      <c r="E725" s="69">
        <f t="shared" si="31"/>
        <v>0.58082191780821912</v>
      </c>
      <c r="F725" s="69">
        <f>$C725*E725*_xlfn.XLOOKUP($D725,'Sample Size cal and results'!$B$23:$B$24,'Sample Size cal and results'!$D$23:$D$24)</f>
        <v>415.80624788224753</v>
      </c>
      <c r="G725" s="72" t="str">
        <f>IF(DATEDIF($B725,'Inst summary and ER calculation'!$U$6,"y")=2,"2-3 years","3-4 years")</f>
        <v>3-4 years</v>
      </c>
      <c r="H725" s="69">
        <f t="shared" si="32"/>
        <v>1</v>
      </c>
      <c r="I725" s="142">
        <f>$C725*H725*_xlfn.XLOOKUP($G725,'Sample Size cal and results'!$B$25:$B$26,'Sample Size cal and results'!$D$25:$D$26)</f>
        <v>699.58164879898447</v>
      </c>
    </row>
    <row r="726" spans="1:9" ht="13">
      <c r="A726" s="131" t="s">
        <v>139</v>
      </c>
      <c r="B726" s="53">
        <v>42022</v>
      </c>
      <c r="C726" s="52">
        <v>272</v>
      </c>
      <c r="D726" s="72" t="str">
        <f>IF(DATEDIF($B726,'Inst summary and ER calculation'!$T$6,"y")=1,"1-2 years","2-3 years")</f>
        <v>2-3 years</v>
      </c>
      <c r="E726" s="69">
        <f t="shared" si="31"/>
        <v>0.58082191780821912</v>
      </c>
      <c r="F726" s="69">
        <f>$C726*E726*_xlfn.XLOOKUP($D726,'Sample Size cal and results'!$B$23:$B$24,'Sample Size cal and results'!$D$23:$D$24)</f>
        <v>160.88093801418395</v>
      </c>
      <c r="G726" s="72" t="str">
        <f>IF(DATEDIF($B726,'Inst summary and ER calculation'!$U$6,"y")=2,"2-3 years","3-4 years")</f>
        <v>3-4 years</v>
      </c>
      <c r="H726" s="69">
        <f t="shared" si="32"/>
        <v>1</v>
      </c>
      <c r="I726" s="142">
        <f>$C726*H726*_xlfn.XLOOKUP($G726,'Sample Size cal and results'!$B$25:$B$26,'Sample Size cal and results'!$D$25:$D$26)</f>
        <v>270.67739469889585</v>
      </c>
    </row>
    <row r="727" spans="1:9" ht="13">
      <c r="A727" s="131" t="s">
        <v>139</v>
      </c>
      <c r="B727" s="53">
        <v>42023</v>
      </c>
      <c r="C727" s="52">
        <v>1485</v>
      </c>
      <c r="D727" s="72" t="str">
        <f>IF(DATEDIF($B727,'Inst summary and ER calculation'!$T$6,"y")=1,"1-2 years","2-3 years")</f>
        <v>2-3 years</v>
      </c>
      <c r="E727" s="69">
        <f t="shared" si="31"/>
        <v>0.58082191780821912</v>
      </c>
      <c r="F727" s="69">
        <f>$C727*E727*_xlfn.XLOOKUP($D727,'Sample Size cal and results'!$B$23:$B$24,'Sample Size cal and results'!$D$23:$D$24)</f>
        <v>878.33894467302639</v>
      </c>
      <c r="G727" s="72" t="str">
        <f>IF(DATEDIF($B727,'Inst summary and ER calculation'!$U$6,"y")=2,"2-3 years","3-4 years")</f>
        <v>3-4 years</v>
      </c>
      <c r="H727" s="69">
        <f t="shared" si="32"/>
        <v>1</v>
      </c>
      <c r="I727" s="142">
        <f>$C727*H727*_xlfn.XLOOKUP($G727,'Sample Size cal and results'!$B$25:$B$26,'Sample Size cal and results'!$D$25:$D$26)</f>
        <v>1477.7791585583102</v>
      </c>
    </row>
    <row r="728" spans="1:9" ht="13">
      <c r="A728" s="131" t="s">
        <v>139</v>
      </c>
      <c r="B728" s="53">
        <v>42024</v>
      </c>
      <c r="C728" s="52">
        <v>1146</v>
      </c>
      <c r="D728" s="72" t="str">
        <f>IF(DATEDIF($B728,'Inst summary and ER calculation'!$T$6,"y")=1,"1-2 years","2-3 years")</f>
        <v>2-3 years</v>
      </c>
      <c r="E728" s="69">
        <f t="shared" si="31"/>
        <v>0.58082191780821912</v>
      </c>
      <c r="F728" s="69">
        <f>$C728*E728*_xlfn.XLOOKUP($D728,'Sample Size cal and results'!$B$23:$B$24,'Sample Size cal and results'!$D$23:$D$24)</f>
        <v>677.82924619211326</v>
      </c>
      <c r="G728" s="72" t="str">
        <f>IF(DATEDIF($B728,'Inst summary and ER calculation'!$U$6,"y")=2,"2-3 years","3-4 years")</f>
        <v>3-4 years</v>
      </c>
      <c r="H728" s="69">
        <f t="shared" si="32"/>
        <v>1</v>
      </c>
      <c r="I728" s="142">
        <f>$C728*H728*_xlfn.XLOOKUP($G728,'Sample Size cal and results'!$B$25:$B$26,'Sample Size cal and results'!$D$25:$D$26)</f>
        <v>1140.4275526652009</v>
      </c>
    </row>
    <row r="729" spans="1:9" ht="13">
      <c r="A729" s="131" t="s">
        <v>139</v>
      </c>
      <c r="B729" s="53">
        <v>42025</v>
      </c>
      <c r="C729" s="52">
        <v>742</v>
      </c>
      <c r="D729" s="72" t="str">
        <f>IF(DATEDIF($B729,'Inst summary and ER calculation'!$T$6,"y")=1,"1-2 years","2-3 years")</f>
        <v>2-3 years</v>
      </c>
      <c r="E729" s="69">
        <f t="shared" si="31"/>
        <v>0.58082191780821912</v>
      </c>
      <c r="F729" s="69">
        <f>$C729*E729*_xlfn.XLOOKUP($D729,'Sample Size cal and results'!$B$23:$B$24,'Sample Size cal and results'!$D$23:$D$24)</f>
        <v>438.87373531810482</v>
      </c>
      <c r="G729" s="72" t="str">
        <f>IF(DATEDIF($B729,'Inst summary and ER calculation'!$U$6,"y")=2,"2-3 years","3-4 years")</f>
        <v>3-4 years</v>
      </c>
      <c r="H729" s="69">
        <f t="shared" si="32"/>
        <v>1</v>
      </c>
      <c r="I729" s="142">
        <f>$C729*H729*_xlfn.XLOOKUP($G729,'Sample Size cal and results'!$B$25:$B$26,'Sample Size cal and results'!$D$25:$D$26)</f>
        <v>738.39201053889974</v>
      </c>
    </row>
    <row r="730" spans="1:9" ht="13">
      <c r="A730" s="131" t="s">
        <v>139</v>
      </c>
      <c r="B730" s="53">
        <v>42026</v>
      </c>
      <c r="C730" s="52">
        <v>253</v>
      </c>
      <c r="D730" s="72" t="str">
        <f>IF(DATEDIF($B730,'Inst summary and ER calculation'!$T$6,"y")=1,"1-2 years","2-3 years")</f>
        <v>2-3 years</v>
      </c>
      <c r="E730" s="69">
        <f t="shared" si="31"/>
        <v>0.58082191780821912</v>
      </c>
      <c r="F730" s="69">
        <f>$C730*E730*_xlfn.XLOOKUP($D730,'Sample Size cal and results'!$B$23:$B$24,'Sample Size cal and results'!$D$23:$D$24)</f>
        <v>149.64293131466377</v>
      </c>
      <c r="G730" s="72" t="str">
        <f>IF(DATEDIF($B730,'Inst summary and ER calculation'!$U$6,"y")=2,"2-3 years","3-4 years")</f>
        <v>3-4 years</v>
      </c>
      <c r="H730" s="69">
        <f t="shared" si="32"/>
        <v>1</v>
      </c>
      <c r="I730" s="142">
        <f>$C730*H730*_xlfn.XLOOKUP($G730,'Sample Size cal and results'!$B$25:$B$26,'Sample Size cal and results'!$D$25:$D$26)</f>
        <v>251.76978256919358</v>
      </c>
    </row>
    <row r="731" spans="1:9" ht="13">
      <c r="A731" s="131" t="s">
        <v>139</v>
      </c>
      <c r="B731" s="53">
        <v>42027</v>
      </c>
      <c r="C731" s="52">
        <v>218</v>
      </c>
      <c r="D731" s="72" t="str">
        <f>IF(DATEDIF($B731,'Inst summary and ER calculation'!$T$6,"y")=1,"1-2 years","2-3 years")</f>
        <v>2-3 years</v>
      </c>
      <c r="E731" s="69">
        <f t="shared" si="31"/>
        <v>0.58082191780821912</v>
      </c>
      <c r="F731" s="69">
        <f>$C731*E731*_xlfn.XLOOKUP($D731,'Sample Size cal and results'!$B$23:$B$24,'Sample Size cal and results'!$D$23:$D$24)</f>
        <v>128.9413400260739</v>
      </c>
      <c r="G731" s="72" t="str">
        <f>IF(DATEDIF($B731,'Inst summary and ER calculation'!$U$6,"y")=2,"2-3 years","3-4 years")</f>
        <v>3-4 years</v>
      </c>
      <c r="H731" s="69">
        <f t="shared" si="32"/>
        <v>1</v>
      </c>
      <c r="I731" s="142">
        <f>$C731*H731*_xlfn.XLOOKUP($G731,'Sample Size cal and results'!$B$25:$B$26,'Sample Size cal and results'!$D$25:$D$26)</f>
        <v>216.93997075132094</v>
      </c>
    </row>
    <row r="732" spans="1:9" ht="13">
      <c r="A732" s="131" t="s">
        <v>139</v>
      </c>
      <c r="B732" s="53">
        <v>42028</v>
      </c>
      <c r="C732" s="52">
        <v>76</v>
      </c>
      <c r="D732" s="72" t="str">
        <f>IF(DATEDIF($B732,'Inst summary and ER calculation'!$T$6,"y")=1,"1-2 years","2-3 years")</f>
        <v>2-3 years</v>
      </c>
      <c r="E732" s="69">
        <f t="shared" si="31"/>
        <v>0.58082191780821912</v>
      </c>
      <c r="F732" s="69">
        <f>$C732*E732*_xlfn.XLOOKUP($D732,'Sample Size cal and results'!$B$23:$B$24,'Sample Size cal and results'!$D$23:$D$24)</f>
        <v>44.952026798080816</v>
      </c>
      <c r="G732" s="72" t="str">
        <f>IF(DATEDIF($B732,'Inst summary and ER calculation'!$U$6,"y")=2,"2-3 years","3-4 years")</f>
        <v>3-4 years</v>
      </c>
      <c r="H732" s="69">
        <f t="shared" si="32"/>
        <v>1</v>
      </c>
      <c r="I732" s="142">
        <f>$C732*H732*_xlfn.XLOOKUP($G732,'Sample Size cal and results'!$B$25:$B$26,'Sample Size cal and results'!$D$25:$D$26)</f>
        <v>75.630448518809132</v>
      </c>
    </row>
    <row r="733" spans="1:9" ht="13">
      <c r="A733" s="131" t="s">
        <v>140</v>
      </c>
      <c r="B733" s="53">
        <v>42028</v>
      </c>
      <c r="C733" s="52">
        <v>138</v>
      </c>
      <c r="D733" s="72" t="str">
        <f>IF(DATEDIF($B733,'Inst summary and ER calculation'!$T$6,"y")=1,"1-2 years","2-3 years")</f>
        <v>2-3 years</v>
      </c>
      <c r="E733" s="69">
        <f t="shared" ref="E733:E796" si="33">MAX(MIN($T$6)-MAX($T$5,$B733,_xlfn.XLOOKUP($A733,$W$1:$W$36,$X$1:$X$36))+1,0)/365</f>
        <v>0.58082191780821912</v>
      </c>
      <c r="F733" s="69">
        <f>$C733*E733*_xlfn.XLOOKUP($D733,'Sample Size cal and results'!$B$23:$B$24,'Sample Size cal and results'!$D$23:$D$24)</f>
        <v>81.623417080725687</v>
      </c>
      <c r="G733" s="72" t="str">
        <f>IF(DATEDIF($B733,'Inst summary and ER calculation'!$U$6,"y")=2,"2-3 years","3-4 years")</f>
        <v>3-4 years</v>
      </c>
      <c r="H733" s="69">
        <f t="shared" ref="H733:H796" si="34">MAX(MIN($U$6)-MAX($U$5,$B733,_xlfn.XLOOKUP($A733,$W$1:$W$36,$X$1:$X$36))+1,0)/365</f>
        <v>1</v>
      </c>
      <c r="I733" s="142">
        <f>$C733*H733*_xlfn.XLOOKUP($G733,'Sample Size cal and results'!$B$25:$B$26,'Sample Size cal and results'!$D$25:$D$26)</f>
        <v>137.32897231046923</v>
      </c>
    </row>
    <row r="734" spans="1:9" ht="13">
      <c r="A734" s="131" t="s">
        <v>140</v>
      </c>
      <c r="B734" s="53">
        <v>42029</v>
      </c>
      <c r="C734" s="52">
        <v>307</v>
      </c>
      <c r="D734" s="72" t="str">
        <f>IF(DATEDIF($B734,'Inst summary and ER calculation'!$T$6,"y")=1,"1-2 years","2-3 years")</f>
        <v>2-3 years</v>
      </c>
      <c r="E734" s="69">
        <f t="shared" si="33"/>
        <v>0.58082191780821912</v>
      </c>
      <c r="F734" s="69">
        <f>$C734*E734*_xlfn.XLOOKUP($D734,'Sample Size cal and results'!$B$23:$B$24,'Sample Size cal and results'!$D$23:$D$24)</f>
        <v>181.58252930277379</v>
      </c>
      <c r="G734" s="72" t="str">
        <f>IF(DATEDIF($B734,'Inst summary and ER calculation'!$U$6,"y")=2,"2-3 years","3-4 years")</f>
        <v>3-4 years</v>
      </c>
      <c r="H734" s="69">
        <f t="shared" si="34"/>
        <v>1</v>
      </c>
      <c r="I734" s="142">
        <f>$C734*H734*_xlfn.XLOOKUP($G734,'Sample Size cal and results'!$B$25:$B$26,'Sample Size cal and results'!$D$25:$D$26)</f>
        <v>305.50720651676846</v>
      </c>
    </row>
    <row r="735" spans="1:9" ht="13">
      <c r="A735" s="131" t="s">
        <v>140</v>
      </c>
      <c r="B735" s="53">
        <v>42030</v>
      </c>
      <c r="C735" s="52">
        <v>340</v>
      </c>
      <c r="D735" s="72" t="str">
        <f>IF(DATEDIF($B735,'Inst summary and ER calculation'!$T$6,"y")=1,"1-2 years","2-3 years")</f>
        <v>2-3 years</v>
      </c>
      <c r="E735" s="69">
        <f t="shared" si="33"/>
        <v>0.58082191780821912</v>
      </c>
      <c r="F735" s="69">
        <f>$C735*E735*_xlfn.XLOOKUP($D735,'Sample Size cal and results'!$B$23:$B$24,'Sample Size cal and results'!$D$23:$D$24)</f>
        <v>201.10117251772996</v>
      </c>
      <c r="G735" s="72" t="str">
        <f>IF(DATEDIF($B735,'Inst summary and ER calculation'!$U$6,"y")=2,"2-3 years","3-4 years")</f>
        <v>3-4 years</v>
      </c>
      <c r="H735" s="69">
        <f t="shared" si="34"/>
        <v>1</v>
      </c>
      <c r="I735" s="142">
        <f>$C735*H735*_xlfn.XLOOKUP($G735,'Sample Size cal and results'!$B$25:$B$26,'Sample Size cal and results'!$D$25:$D$26)</f>
        <v>338.3467433736198</v>
      </c>
    </row>
    <row r="736" spans="1:9" ht="13">
      <c r="A736" s="131" t="s">
        <v>140</v>
      </c>
      <c r="B736" s="53">
        <v>42031</v>
      </c>
      <c r="C736" s="52">
        <v>242</v>
      </c>
      <c r="D736" s="72" t="str">
        <f>IF(DATEDIF($B736,'Inst summary and ER calculation'!$T$6,"y")=1,"1-2 years","2-3 years")</f>
        <v>2-3 years</v>
      </c>
      <c r="E736" s="69">
        <f t="shared" si="33"/>
        <v>0.58082191780821912</v>
      </c>
      <c r="F736" s="69">
        <f>$C736*E736*_xlfn.XLOOKUP($D736,'Sample Size cal and results'!$B$23:$B$24,'Sample Size cal and results'!$D$23:$D$24)</f>
        <v>143.1367169096784</v>
      </c>
      <c r="G736" s="72" t="str">
        <f>IF(DATEDIF($B736,'Inst summary and ER calculation'!$U$6,"y")=2,"2-3 years","3-4 years")</f>
        <v>3-4 years</v>
      </c>
      <c r="H736" s="69">
        <f t="shared" si="34"/>
        <v>1</v>
      </c>
      <c r="I736" s="142">
        <f>$C736*H736*_xlfn.XLOOKUP($G736,'Sample Size cal and results'!$B$25:$B$26,'Sample Size cal and results'!$D$25:$D$26)</f>
        <v>240.82327028357648</v>
      </c>
    </row>
    <row r="737" spans="1:9" ht="13">
      <c r="A737" s="131" t="s">
        <v>140</v>
      </c>
      <c r="B737" s="53">
        <v>42032</v>
      </c>
      <c r="C737" s="52">
        <v>445</v>
      </c>
      <c r="D737" s="72" t="str">
        <f>IF(DATEDIF($B737,'Inst summary and ER calculation'!$T$6,"y")=1,"1-2 years","2-3 years")</f>
        <v>2-3 years</v>
      </c>
      <c r="E737" s="69">
        <f t="shared" si="33"/>
        <v>0.58082191780821912</v>
      </c>
      <c r="F737" s="69">
        <f>$C737*E737*_xlfn.XLOOKUP($D737,'Sample Size cal and results'!$B$23:$B$24,'Sample Size cal and results'!$D$23:$D$24)</f>
        <v>263.20594638349951</v>
      </c>
      <c r="G737" s="72" t="str">
        <f>IF(DATEDIF($B737,'Inst summary and ER calculation'!$U$6,"y")=2,"2-3 years","3-4 years")</f>
        <v>3-4 years</v>
      </c>
      <c r="H737" s="69">
        <f t="shared" si="34"/>
        <v>1</v>
      </c>
      <c r="I737" s="142">
        <f>$C737*H737*_xlfn.XLOOKUP($G737,'Sample Size cal and results'!$B$25:$B$26,'Sample Size cal and results'!$D$25:$D$26)</f>
        <v>442.83617882723769</v>
      </c>
    </row>
    <row r="738" spans="1:9" ht="13">
      <c r="A738" s="131" t="s">
        <v>140</v>
      </c>
      <c r="B738" s="53">
        <v>42033</v>
      </c>
      <c r="C738" s="52">
        <v>241</v>
      </c>
      <c r="D738" s="72" t="str">
        <f>IF(DATEDIF($B738,'Inst summary and ER calculation'!$T$6,"y")=1,"1-2 years","2-3 years")</f>
        <v>2-3 years</v>
      </c>
      <c r="E738" s="69">
        <f t="shared" si="33"/>
        <v>0.58082191780821912</v>
      </c>
      <c r="F738" s="69">
        <f>$C738*E738*_xlfn.XLOOKUP($D738,'Sample Size cal and results'!$B$23:$B$24,'Sample Size cal and results'!$D$23:$D$24)</f>
        <v>142.54524287286151</v>
      </c>
      <c r="G738" s="72" t="str">
        <f>IF(DATEDIF($B738,'Inst summary and ER calculation'!$U$6,"y")=2,"2-3 years","3-4 years")</f>
        <v>3-4 years</v>
      </c>
      <c r="H738" s="69">
        <f t="shared" si="34"/>
        <v>1</v>
      </c>
      <c r="I738" s="142">
        <f>$C738*H738*_xlfn.XLOOKUP($G738,'Sample Size cal and results'!$B$25:$B$26,'Sample Size cal and results'!$D$25:$D$26)</f>
        <v>239.82813280306581</v>
      </c>
    </row>
    <row r="739" spans="1:9" ht="13">
      <c r="A739" s="131" t="s">
        <v>140</v>
      </c>
      <c r="B739" s="53">
        <v>42034</v>
      </c>
      <c r="C739" s="52">
        <v>174</v>
      </c>
      <c r="D739" s="72" t="str">
        <f>IF(DATEDIF($B739,'Inst summary and ER calculation'!$T$6,"y")=1,"1-2 years","2-3 years")</f>
        <v>2-3 years</v>
      </c>
      <c r="E739" s="69">
        <f t="shared" si="33"/>
        <v>0.58082191780821912</v>
      </c>
      <c r="F739" s="69">
        <f>$C739*E739*_xlfn.XLOOKUP($D739,'Sample Size cal and results'!$B$23:$B$24,'Sample Size cal and results'!$D$23:$D$24)</f>
        <v>102.91648240613239</v>
      </c>
      <c r="G739" s="72" t="str">
        <f>IF(DATEDIF($B739,'Inst summary and ER calculation'!$U$6,"y")=2,"2-3 years","3-4 years")</f>
        <v>3-4 years</v>
      </c>
      <c r="H739" s="69">
        <f t="shared" si="34"/>
        <v>1</v>
      </c>
      <c r="I739" s="142">
        <f>$C739*H739*_xlfn.XLOOKUP($G739,'Sample Size cal and results'!$B$25:$B$26,'Sample Size cal and results'!$D$25:$D$26)</f>
        <v>173.1539216088525</v>
      </c>
    </row>
    <row r="740" spans="1:9" ht="13">
      <c r="A740" s="131" t="s">
        <v>140</v>
      </c>
      <c r="B740" s="53">
        <v>42035</v>
      </c>
      <c r="C740" s="52">
        <v>175</v>
      </c>
      <c r="D740" s="72" t="str">
        <f>IF(DATEDIF($B740,'Inst summary and ER calculation'!$T$6,"y")=1,"1-2 years","2-3 years")</f>
        <v>2-3 years</v>
      </c>
      <c r="E740" s="69">
        <f t="shared" si="33"/>
        <v>0.58082191780821912</v>
      </c>
      <c r="F740" s="69">
        <f>$C740*E740*_xlfn.XLOOKUP($D740,'Sample Size cal and results'!$B$23:$B$24,'Sample Size cal and results'!$D$23:$D$24)</f>
        <v>103.50795644294925</v>
      </c>
      <c r="G740" s="72" t="str">
        <f>IF(DATEDIF($B740,'Inst summary and ER calculation'!$U$6,"y")=2,"2-3 years","3-4 years")</f>
        <v>3-4 years</v>
      </c>
      <c r="H740" s="69">
        <f t="shared" si="34"/>
        <v>1</v>
      </c>
      <c r="I740" s="142">
        <f>$C740*H740*_xlfn.XLOOKUP($G740,'Sample Size cal and results'!$B$25:$B$26,'Sample Size cal and results'!$D$25:$D$26)</f>
        <v>174.14905908936313</v>
      </c>
    </row>
    <row r="741" spans="1:9" ht="13">
      <c r="A741" s="131" t="s">
        <v>140</v>
      </c>
      <c r="B741" s="53">
        <v>42036</v>
      </c>
      <c r="C741" s="52">
        <v>713</v>
      </c>
      <c r="D741" s="72" t="str">
        <f>IF(DATEDIF($B741,'Inst summary and ER calculation'!$T$6,"y")=1,"1-2 years","2-3 years")</f>
        <v>2-3 years</v>
      </c>
      <c r="E741" s="69">
        <f t="shared" si="33"/>
        <v>0.58082191780821912</v>
      </c>
      <c r="F741" s="69">
        <f>$C741*E741*_xlfn.XLOOKUP($D741,'Sample Size cal and results'!$B$23:$B$24,'Sample Size cal and results'!$D$23:$D$24)</f>
        <v>421.7209882504161</v>
      </c>
      <c r="G741" s="72" t="str">
        <f>IF(DATEDIF($B741,'Inst summary and ER calculation'!$U$6,"y")=2,"2-3 years","3-4 years")</f>
        <v>3-4 years</v>
      </c>
      <c r="H741" s="69">
        <f t="shared" si="34"/>
        <v>1</v>
      </c>
      <c r="I741" s="142">
        <f>$C741*H741*_xlfn.XLOOKUP($G741,'Sample Size cal and results'!$B$25:$B$26,'Sample Size cal and results'!$D$25:$D$26)</f>
        <v>709.533023604091</v>
      </c>
    </row>
    <row r="742" spans="1:9" ht="13">
      <c r="A742" s="131" t="s">
        <v>140</v>
      </c>
      <c r="B742" s="53">
        <v>42037</v>
      </c>
      <c r="C742" s="52">
        <v>234</v>
      </c>
      <c r="D742" s="72" t="str">
        <f>IF(DATEDIF($B742,'Inst summary and ER calculation'!$T$6,"y")=1,"1-2 years","2-3 years")</f>
        <v>2-3 years</v>
      </c>
      <c r="E742" s="69">
        <f t="shared" si="33"/>
        <v>0.58082191780821912</v>
      </c>
      <c r="F742" s="69">
        <f>$C742*E742*_xlfn.XLOOKUP($D742,'Sample Size cal and results'!$B$23:$B$24,'Sample Size cal and results'!$D$23:$D$24)</f>
        <v>138.40492461514356</v>
      </c>
      <c r="G742" s="72" t="str">
        <f>IF(DATEDIF($B742,'Inst summary and ER calculation'!$U$6,"y")=2,"2-3 years","3-4 years")</f>
        <v>3-4 years</v>
      </c>
      <c r="H742" s="69">
        <f t="shared" si="34"/>
        <v>1</v>
      </c>
      <c r="I742" s="142">
        <f>$C742*H742*_xlfn.XLOOKUP($G742,'Sample Size cal and results'!$B$25:$B$26,'Sample Size cal and results'!$D$25:$D$26)</f>
        <v>232.86217043949128</v>
      </c>
    </row>
    <row r="743" spans="1:9" ht="13">
      <c r="A743" s="131" t="s">
        <v>140</v>
      </c>
      <c r="B743" s="53">
        <v>42038</v>
      </c>
      <c r="C743" s="52">
        <v>212</v>
      </c>
      <c r="D743" s="72" t="str">
        <f>IF(DATEDIF($B743,'Inst summary and ER calculation'!$T$6,"y")=1,"1-2 years","2-3 years")</f>
        <v>2-3 years</v>
      </c>
      <c r="E743" s="69">
        <f t="shared" si="33"/>
        <v>0.58082191780821912</v>
      </c>
      <c r="F743" s="69">
        <f>$C743*E743*_xlfn.XLOOKUP($D743,'Sample Size cal and results'!$B$23:$B$24,'Sample Size cal and results'!$D$23:$D$24)</f>
        <v>125.3924958051728</v>
      </c>
      <c r="G743" s="72" t="str">
        <f>IF(DATEDIF($B743,'Inst summary and ER calculation'!$U$6,"y")=2,"2-3 years","3-4 years")</f>
        <v>3-4 years</v>
      </c>
      <c r="H743" s="69">
        <f t="shared" si="34"/>
        <v>1</v>
      </c>
      <c r="I743" s="142">
        <f>$C743*H743*_xlfn.XLOOKUP($G743,'Sample Size cal and results'!$B$25:$B$26,'Sample Size cal and results'!$D$25:$D$26)</f>
        <v>210.96914586825707</v>
      </c>
    </row>
    <row r="744" spans="1:9" ht="13">
      <c r="A744" s="131" t="s">
        <v>140</v>
      </c>
      <c r="B744" s="53">
        <v>42039</v>
      </c>
      <c r="C744" s="52">
        <v>198</v>
      </c>
      <c r="D744" s="72" t="str">
        <f>IF(DATEDIF($B744,'Inst summary and ER calculation'!$T$6,"y")=1,"1-2 years","2-3 years")</f>
        <v>2-3 years</v>
      </c>
      <c r="E744" s="69">
        <f t="shared" si="33"/>
        <v>0.58082191780821912</v>
      </c>
      <c r="F744" s="69">
        <f>$C744*E744*_xlfn.XLOOKUP($D744,'Sample Size cal and results'!$B$23:$B$24,'Sample Size cal and results'!$D$23:$D$24)</f>
        <v>117.11185928973686</v>
      </c>
      <c r="G744" s="72" t="str">
        <f>IF(DATEDIF($B744,'Inst summary and ER calculation'!$U$6,"y")=2,"2-3 years","3-4 years")</f>
        <v>3-4 years</v>
      </c>
      <c r="H744" s="69">
        <f t="shared" si="34"/>
        <v>1</v>
      </c>
      <c r="I744" s="142">
        <f>$C744*H744*_xlfn.XLOOKUP($G744,'Sample Size cal and results'!$B$25:$B$26,'Sample Size cal and results'!$D$25:$D$26)</f>
        <v>197.03722114110801</v>
      </c>
    </row>
    <row r="745" spans="1:9" ht="13">
      <c r="A745" s="131" t="s">
        <v>140</v>
      </c>
      <c r="B745" s="53">
        <v>42040</v>
      </c>
      <c r="C745" s="52">
        <v>239</v>
      </c>
      <c r="D745" s="72" t="str">
        <f>IF(DATEDIF($B745,'Inst summary and ER calculation'!$T$6,"y")=1,"1-2 years","2-3 years")</f>
        <v>2-3 years</v>
      </c>
      <c r="E745" s="69">
        <f t="shared" si="33"/>
        <v>0.58082191780821912</v>
      </c>
      <c r="F745" s="69">
        <f>$C745*E745*_xlfn.XLOOKUP($D745,'Sample Size cal and results'!$B$23:$B$24,'Sample Size cal and results'!$D$23:$D$24)</f>
        <v>141.36229479922784</v>
      </c>
      <c r="G745" s="72" t="str">
        <f>IF(DATEDIF($B745,'Inst summary and ER calculation'!$U$6,"y")=2,"2-3 years","3-4 years")</f>
        <v>3-4 years</v>
      </c>
      <c r="H745" s="69">
        <f t="shared" si="34"/>
        <v>1</v>
      </c>
      <c r="I745" s="142">
        <f>$C745*H745*_xlfn.XLOOKUP($G745,'Sample Size cal and results'!$B$25:$B$26,'Sample Size cal and results'!$D$25:$D$26)</f>
        <v>237.83785784204451</v>
      </c>
    </row>
    <row r="746" spans="1:9" ht="13">
      <c r="A746" s="131" t="s">
        <v>140</v>
      </c>
      <c r="B746" s="53">
        <v>42041</v>
      </c>
      <c r="C746" s="52">
        <v>183</v>
      </c>
      <c r="D746" s="72" t="str">
        <f>IF(DATEDIF($B746,'Inst summary and ER calculation'!$T$6,"y")=1,"1-2 years","2-3 years")</f>
        <v>2-3 years</v>
      </c>
      <c r="E746" s="69">
        <f t="shared" si="33"/>
        <v>0.58082191780821912</v>
      </c>
      <c r="F746" s="69">
        <f>$C746*E746*_xlfn.XLOOKUP($D746,'Sample Size cal and results'!$B$23:$B$24,'Sample Size cal and results'!$D$23:$D$24)</f>
        <v>108.23974873748406</v>
      </c>
      <c r="G746" s="72" t="str">
        <f>IF(DATEDIF($B746,'Inst summary and ER calculation'!$U$6,"y")=2,"2-3 years","3-4 years")</f>
        <v>3-4 years</v>
      </c>
      <c r="H746" s="69">
        <f t="shared" si="34"/>
        <v>1</v>
      </c>
      <c r="I746" s="142">
        <f>$C746*H746*_xlfn.XLOOKUP($G746,'Sample Size cal and results'!$B$25:$B$26,'Sample Size cal and results'!$D$25:$D$26)</f>
        <v>182.1101589334483</v>
      </c>
    </row>
    <row r="747" spans="1:9" ht="13">
      <c r="A747" s="131" t="s">
        <v>140</v>
      </c>
      <c r="B747" s="53">
        <v>42042</v>
      </c>
      <c r="C747" s="52">
        <v>231</v>
      </c>
      <c r="D747" s="72" t="str">
        <f>IF(DATEDIF($B747,'Inst summary and ER calculation'!$T$6,"y")=1,"1-2 years","2-3 years")</f>
        <v>2-3 years</v>
      </c>
      <c r="E747" s="69">
        <f t="shared" si="33"/>
        <v>0.58082191780821912</v>
      </c>
      <c r="F747" s="69">
        <f>$C747*E747*_xlfn.XLOOKUP($D747,'Sample Size cal and results'!$B$23:$B$24,'Sample Size cal and results'!$D$23:$D$24)</f>
        <v>136.63050250469303</v>
      </c>
      <c r="G747" s="72" t="str">
        <f>IF(DATEDIF($B747,'Inst summary and ER calculation'!$U$6,"y")=2,"2-3 years","3-4 years")</f>
        <v>3-4 years</v>
      </c>
      <c r="H747" s="69">
        <f t="shared" si="34"/>
        <v>1</v>
      </c>
      <c r="I747" s="142">
        <f>$C747*H747*_xlfn.XLOOKUP($G747,'Sample Size cal and results'!$B$25:$B$26,'Sample Size cal and results'!$D$25:$D$26)</f>
        <v>229.87675799795934</v>
      </c>
    </row>
    <row r="748" spans="1:9" ht="13">
      <c r="A748" s="131" t="s">
        <v>140</v>
      </c>
      <c r="B748" s="53">
        <v>42043</v>
      </c>
      <c r="C748" s="52">
        <v>226</v>
      </c>
      <c r="D748" s="72" t="str">
        <f>IF(DATEDIF($B748,'Inst summary and ER calculation'!$T$6,"y")=1,"1-2 years","2-3 years")</f>
        <v>2-3 years</v>
      </c>
      <c r="E748" s="69">
        <f t="shared" si="33"/>
        <v>0.58082191780821912</v>
      </c>
      <c r="F748" s="69">
        <f>$C748*E748*_xlfn.XLOOKUP($D748,'Sample Size cal and results'!$B$23:$B$24,'Sample Size cal and results'!$D$23:$D$24)</f>
        <v>133.67313232060874</v>
      </c>
      <c r="G748" s="72" t="str">
        <f>IF(DATEDIF($B748,'Inst summary and ER calculation'!$U$6,"y")=2,"2-3 years","3-4 years")</f>
        <v>3-4 years</v>
      </c>
      <c r="H748" s="69">
        <f t="shared" si="34"/>
        <v>1</v>
      </c>
      <c r="I748" s="142">
        <f>$C748*H748*_xlfn.XLOOKUP($G748,'Sample Size cal and results'!$B$25:$B$26,'Sample Size cal and results'!$D$25:$D$26)</f>
        <v>224.90107059540611</v>
      </c>
    </row>
    <row r="749" spans="1:9" ht="13">
      <c r="A749" s="131" t="s">
        <v>140</v>
      </c>
      <c r="B749" s="53">
        <v>42044</v>
      </c>
      <c r="C749" s="52">
        <v>224</v>
      </c>
      <c r="D749" s="72" t="str">
        <f>IF(DATEDIF($B749,'Inst summary and ER calculation'!$T$6,"y")=1,"1-2 years","2-3 years")</f>
        <v>2-3 years</v>
      </c>
      <c r="E749" s="69">
        <f t="shared" si="33"/>
        <v>0.58082191780821912</v>
      </c>
      <c r="F749" s="69">
        <f>$C749*E749*_xlfn.XLOOKUP($D749,'Sample Size cal and results'!$B$23:$B$24,'Sample Size cal and results'!$D$23:$D$24)</f>
        <v>132.49018424697502</v>
      </c>
      <c r="G749" s="72" t="str">
        <f>IF(DATEDIF($B749,'Inst summary and ER calculation'!$U$6,"y")=2,"2-3 years","3-4 years")</f>
        <v>3-4 years</v>
      </c>
      <c r="H749" s="69">
        <f t="shared" si="34"/>
        <v>1</v>
      </c>
      <c r="I749" s="142">
        <f>$C749*H749*_xlfn.XLOOKUP($G749,'Sample Size cal and results'!$B$25:$B$26,'Sample Size cal and results'!$D$25:$D$26)</f>
        <v>222.91079563438484</v>
      </c>
    </row>
    <row r="750" spans="1:9" ht="13">
      <c r="A750" s="131" t="s">
        <v>140</v>
      </c>
      <c r="B750" s="53">
        <v>42045</v>
      </c>
      <c r="C750" s="52">
        <v>306</v>
      </c>
      <c r="D750" s="72" t="str">
        <f>IF(DATEDIF($B750,'Inst summary and ER calculation'!$T$6,"y")=1,"1-2 years","2-3 years")</f>
        <v>2-3 years</v>
      </c>
      <c r="E750" s="69">
        <f t="shared" si="33"/>
        <v>0.58082191780821912</v>
      </c>
      <c r="F750" s="69">
        <f>$C750*E750*_xlfn.XLOOKUP($D750,'Sample Size cal and results'!$B$23:$B$24,'Sample Size cal and results'!$D$23:$D$24)</f>
        <v>180.99105526595696</v>
      </c>
      <c r="G750" s="72" t="str">
        <f>IF(DATEDIF($B750,'Inst summary and ER calculation'!$U$6,"y")=2,"2-3 years","3-4 years")</f>
        <v>3-4 years</v>
      </c>
      <c r="H750" s="69">
        <f t="shared" si="34"/>
        <v>1</v>
      </c>
      <c r="I750" s="142">
        <f>$C750*H750*_xlfn.XLOOKUP($G750,'Sample Size cal and results'!$B$25:$B$26,'Sample Size cal and results'!$D$25:$D$26)</f>
        <v>304.51206903625786</v>
      </c>
    </row>
    <row r="751" spans="1:9" ht="13">
      <c r="A751" s="131" t="s">
        <v>140</v>
      </c>
      <c r="B751" s="53">
        <v>42046</v>
      </c>
      <c r="C751" s="52">
        <v>243</v>
      </c>
      <c r="D751" s="72" t="str">
        <f>IF(DATEDIF($B751,'Inst summary and ER calculation'!$T$6,"y")=1,"1-2 years","2-3 years")</f>
        <v>2-3 years</v>
      </c>
      <c r="E751" s="69">
        <f t="shared" si="33"/>
        <v>0.58082191780821912</v>
      </c>
      <c r="F751" s="69">
        <f>$C751*E751*_xlfn.XLOOKUP($D751,'Sample Size cal and results'!$B$23:$B$24,'Sample Size cal and results'!$D$23:$D$24)</f>
        <v>143.72819094649523</v>
      </c>
      <c r="G751" s="72" t="str">
        <f>IF(DATEDIF($B751,'Inst summary and ER calculation'!$U$6,"y")=2,"2-3 years","3-4 years")</f>
        <v>3-4 years</v>
      </c>
      <c r="H751" s="69">
        <f t="shared" si="34"/>
        <v>1</v>
      </c>
      <c r="I751" s="142">
        <f>$C751*H751*_xlfn.XLOOKUP($G751,'Sample Size cal and results'!$B$25:$B$26,'Sample Size cal and results'!$D$25:$D$26)</f>
        <v>241.81840776408711</v>
      </c>
    </row>
    <row r="752" spans="1:9" ht="13">
      <c r="A752" s="131" t="s">
        <v>140</v>
      </c>
      <c r="B752" s="53">
        <v>42047</v>
      </c>
      <c r="C752" s="52">
        <v>307</v>
      </c>
      <c r="D752" s="72" t="str">
        <f>IF(DATEDIF($B752,'Inst summary and ER calculation'!$T$6,"y")=1,"1-2 years","2-3 years")</f>
        <v>2-3 years</v>
      </c>
      <c r="E752" s="69">
        <f t="shared" si="33"/>
        <v>0.58082191780821912</v>
      </c>
      <c r="F752" s="69">
        <f>$C752*E752*_xlfn.XLOOKUP($D752,'Sample Size cal and results'!$B$23:$B$24,'Sample Size cal and results'!$D$23:$D$24)</f>
        <v>181.58252930277379</v>
      </c>
      <c r="G752" s="72" t="str">
        <f>IF(DATEDIF($B752,'Inst summary and ER calculation'!$U$6,"y")=2,"2-3 years","3-4 years")</f>
        <v>3-4 years</v>
      </c>
      <c r="H752" s="69">
        <f t="shared" si="34"/>
        <v>1</v>
      </c>
      <c r="I752" s="142">
        <f>$C752*H752*_xlfn.XLOOKUP($G752,'Sample Size cal and results'!$B$25:$B$26,'Sample Size cal and results'!$D$25:$D$26)</f>
        <v>305.50720651676846</v>
      </c>
    </row>
    <row r="753" spans="1:9" ht="13">
      <c r="A753" s="131" t="s">
        <v>140</v>
      </c>
      <c r="B753" s="53">
        <v>42048</v>
      </c>
      <c r="C753" s="52">
        <v>248</v>
      </c>
      <c r="D753" s="72" t="str">
        <f>IF(DATEDIF($B753,'Inst summary and ER calculation'!$T$6,"y")=1,"1-2 years","2-3 years")</f>
        <v>2-3 years</v>
      </c>
      <c r="E753" s="69">
        <f t="shared" si="33"/>
        <v>0.58082191780821912</v>
      </c>
      <c r="F753" s="69">
        <f>$C753*E753*_xlfn.XLOOKUP($D753,'Sample Size cal and results'!$B$23:$B$24,'Sample Size cal and results'!$D$23:$D$24)</f>
        <v>146.68556113057949</v>
      </c>
      <c r="G753" s="72" t="str">
        <f>IF(DATEDIF($B753,'Inst summary and ER calculation'!$U$6,"y")=2,"2-3 years","3-4 years")</f>
        <v>3-4 years</v>
      </c>
      <c r="H753" s="69">
        <f t="shared" si="34"/>
        <v>1</v>
      </c>
      <c r="I753" s="142">
        <f>$C753*H753*_xlfn.XLOOKUP($G753,'Sample Size cal and results'!$B$25:$B$26,'Sample Size cal and results'!$D$25:$D$26)</f>
        <v>246.79409516664035</v>
      </c>
    </row>
    <row r="754" spans="1:9" ht="13">
      <c r="A754" s="131" t="s">
        <v>140</v>
      </c>
      <c r="B754" s="53">
        <v>42049</v>
      </c>
      <c r="C754" s="52">
        <v>173</v>
      </c>
      <c r="D754" s="72" t="str">
        <f>IF(DATEDIF($B754,'Inst summary and ER calculation'!$T$6,"y")=1,"1-2 years","2-3 years")</f>
        <v>2-3 years</v>
      </c>
      <c r="E754" s="69">
        <f t="shared" si="33"/>
        <v>0.58082191780821912</v>
      </c>
      <c r="F754" s="69">
        <f>$C754*E754*_xlfn.XLOOKUP($D754,'Sample Size cal and results'!$B$23:$B$24,'Sample Size cal and results'!$D$23:$D$24)</f>
        <v>102.32500836931554</v>
      </c>
      <c r="G754" s="72" t="str">
        <f>IF(DATEDIF($B754,'Inst summary and ER calculation'!$U$6,"y")=2,"2-3 years","3-4 years")</f>
        <v>3-4 years</v>
      </c>
      <c r="H754" s="69">
        <f t="shared" si="34"/>
        <v>1</v>
      </c>
      <c r="I754" s="142">
        <f>$C754*H754*_xlfn.XLOOKUP($G754,'Sample Size cal and results'!$B$25:$B$26,'Sample Size cal and results'!$D$25:$D$26)</f>
        <v>172.15878412834186</v>
      </c>
    </row>
    <row r="755" spans="1:9" ht="13">
      <c r="A755" s="131" t="s">
        <v>141</v>
      </c>
      <c r="B755" s="53">
        <v>42049</v>
      </c>
      <c r="C755" s="52">
        <v>246</v>
      </c>
      <c r="D755" s="72" t="str">
        <f>IF(DATEDIF($B755,'Inst summary and ER calculation'!$T$6,"y")=1,"1-2 years","2-3 years")</f>
        <v>2-3 years</v>
      </c>
      <c r="E755" s="69">
        <f t="shared" si="33"/>
        <v>0.58082191780821912</v>
      </c>
      <c r="F755" s="69">
        <f>$C755*E755*_xlfn.XLOOKUP($D755,'Sample Size cal and results'!$B$23:$B$24,'Sample Size cal and results'!$D$23:$D$24)</f>
        <v>145.50261305694579</v>
      </c>
      <c r="G755" s="72" t="str">
        <f>IF(DATEDIF($B755,'Inst summary and ER calculation'!$U$6,"y")=2,"2-3 years","3-4 years")</f>
        <v>3-4 years</v>
      </c>
      <c r="H755" s="69">
        <f t="shared" si="34"/>
        <v>1</v>
      </c>
      <c r="I755" s="142">
        <f>$C755*H755*_xlfn.XLOOKUP($G755,'Sample Size cal and results'!$B$25:$B$26,'Sample Size cal and results'!$D$25:$D$26)</f>
        <v>244.80382020561905</v>
      </c>
    </row>
    <row r="756" spans="1:9" ht="13">
      <c r="A756" s="131" t="s">
        <v>141</v>
      </c>
      <c r="B756" s="53">
        <v>42050</v>
      </c>
      <c r="C756" s="52">
        <v>2257</v>
      </c>
      <c r="D756" s="72" t="str">
        <f>IF(DATEDIF($B756,'Inst summary and ER calculation'!$T$6,"y")=1,"1-2 years","2-3 years")</f>
        <v>2-3 years</v>
      </c>
      <c r="E756" s="69">
        <f t="shared" si="33"/>
        <v>0.58082191780821912</v>
      </c>
      <c r="F756" s="69">
        <f>$C756*E756*_xlfn.XLOOKUP($D756,'Sample Size cal and results'!$B$23:$B$24,'Sample Size cal and results'!$D$23:$D$24)</f>
        <v>1334.9569010956368</v>
      </c>
      <c r="G756" s="72" t="str">
        <f>IF(DATEDIF($B756,'Inst summary and ER calculation'!$U$6,"y")=2,"2-3 years","3-4 years")</f>
        <v>3-4 years</v>
      </c>
      <c r="H756" s="69">
        <f t="shared" si="34"/>
        <v>1</v>
      </c>
      <c r="I756" s="142">
        <f>$C756*H756*_xlfn.XLOOKUP($G756,'Sample Size cal and results'!$B$25:$B$26,'Sample Size cal and results'!$D$25:$D$26)</f>
        <v>2246.0252935125291</v>
      </c>
    </row>
    <row r="757" spans="1:9" ht="13">
      <c r="A757" s="131" t="s">
        <v>141</v>
      </c>
      <c r="B757" s="53">
        <v>42051</v>
      </c>
      <c r="C757" s="52">
        <v>303</v>
      </c>
      <c r="D757" s="72" t="str">
        <f>IF(DATEDIF($B757,'Inst summary and ER calculation'!$T$6,"y")=1,"1-2 years","2-3 years")</f>
        <v>2-3 years</v>
      </c>
      <c r="E757" s="69">
        <f t="shared" si="33"/>
        <v>0.58082191780821912</v>
      </c>
      <c r="F757" s="69">
        <f>$C757*E757*_xlfn.XLOOKUP($D757,'Sample Size cal and results'!$B$23:$B$24,'Sample Size cal and results'!$D$23:$D$24)</f>
        <v>179.2166331555064</v>
      </c>
      <c r="G757" s="72" t="str">
        <f>IF(DATEDIF($B757,'Inst summary and ER calculation'!$U$6,"y")=2,"2-3 years","3-4 years")</f>
        <v>3-4 years</v>
      </c>
      <c r="H757" s="69">
        <f t="shared" si="34"/>
        <v>1</v>
      </c>
      <c r="I757" s="142">
        <f>$C757*H757*_xlfn.XLOOKUP($G757,'Sample Size cal and results'!$B$25:$B$26,'Sample Size cal and results'!$D$25:$D$26)</f>
        <v>301.52665659472592</v>
      </c>
    </row>
    <row r="758" spans="1:9" ht="13">
      <c r="A758" s="131" t="s">
        <v>141</v>
      </c>
      <c r="B758" s="53">
        <v>42052</v>
      </c>
      <c r="C758" s="52">
        <v>290</v>
      </c>
      <c r="D758" s="72" t="str">
        <f>IF(DATEDIF($B758,'Inst summary and ER calculation'!$T$6,"y")=1,"1-2 years","2-3 years")</f>
        <v>2-3 years</v>
      </c>
      <c r="E758" s="69">
        <f t="shared" si="33"/>
        <v>0.58082191780821912</v>
      </c>
      <c r="F758" s="69">
        <f>$C758*E758*_xlfn.XLOOKUP($D758,'Sample Size cal and results'!$B$23:$B$24,'Sample Size cal and results'!$D$23:$D$24)</f>
        <v>171.5274706768873</v>
      </c>
      <c r="G758" s="72" t="str">
        <f>IF(DATEDIF($B758,'Inst summary and ER calculation'!$U$6,"y")=2,"2-3 years","3-4 years")</f>
        <v>3-4 years</v>
      </c>
      <c r="H758" s="69">
        <f t="shared" si="34"/>
        <v>1</v>
      </c>
      <c r="I758" s="142">
        <f>$C758*H758*_xlfn.XLOOKUP($G758,'Sample Size cal and results'!$B$25:$B$26,'Sample Size cal and results'!$D$25:$D$26)</f>
        <v>288.58986934808752</v>
      </c>
    </row>
    <row r="759" spans="1:9" ht="13">
      <c r="A759" s="131" t="s">
        <v>141</v>
      </c>
      <c r="B759" s="53">
        <v>42053</v>
      </c>
      <c r="C759" s="52">
        <v>300</v>
      </c>
      <c r="D759" s="72" t="str">
        <f>IF(DATEDIF($B759,'Inst summary and ER calculation'!$T$6,"y")=1,"1-2 years","2-3 years")</f>
        <v>2-3 years</v>
      </c>
      <c r="E759" s="69">
        <f t="shared" si="33"/>
        <v>0.58082191780821912</v>
      </c>
      <c r="F759" s="69">
        <f>$C759*E759*_xlfn.XLOOKUP($D759,'Sample Size cal and results'!$B$23:$B$24,'Sample Size cal and results'!$D$23:$D$24)</f>
        <v>177.44221104505584</v>
      </c>
      <c r="G759" s="72" t="str">
        <f>IF(DATEDIF($B759,'Inst summary and ER calculation'!$U$6,"y")=2,"2-3 years","3-4 years")</f>
        <v>3-4 years</v>
      </c>
      <c r="H759" s="69">
        <f t="shared" si="34"/>
        <v>1</v>
      </c>
      <c r="I759" s="142">
        <f>$C759*H759*_xlfn.XLOOKUP($G759,'Sample Size cal and results'!$B$25:$B$26,'Sample Size cal and results'!$D$25:$D$26)</f>
        <v>298.54124415319399</v>
      </c>
    </row>
    <row r="760" spans="1:9" ht="13">
      <c r="A760" s="131" t="s">
        <v>141</v>
      </c>
      <c r="B760" s="53">
        <v>42054</v>
      </c>
      <c r="C760" s="52">
        <v>281</v>
      </c>
      <c r="D760" s="72" t="str">
        <f>IF(DATEDIF($B760,'Inst summary and ER calculation'!$T$6,"y")=1,"1-2 years","2-3 years")</f>
        <v>2-3 years</v>
      </c>
      <c r="E760" s="69">
        <f t="shared" si="33"/>
        <v>0.58082191780821912</v>
      </c>
      <c r="F760" s="69">
        <f>$C760*E760*_xlfn.XLOOKUP($D760,'Sample Size cal and results'!$B$23:$B$24,'Sample Size cal and results'!$D$23:$D$24)</f>
        <v>166.20420434553563</v>
      </c>
      <c r="G760" s="72" t="str">
        <f>IF(DATEDIF($B760,'Inst summary and ER calculation'!$U$6,"y")=2,"2-3 years","3-4 years")</f>
        <v>3-4 years</v>
      </c>
      <c r="H760" s="69">
        <f t="shared" si="34"/>
        <v>1</v>
      </c>
      <c r="I760" s="142">
        <f>$C760*H760*_xlfn.XLOOKUP($G760,'Sample Size cal and results'!$B$25:$B$26,'Sample Size cal and results'!$D$25:$D$26)</f>
        <v>279.63363202349166</v>
      </c>
    </row>
    <row r="761" spans="1:9" ht="13">
      <c r="A761" s="131" t="s">
        <v>141</v>
      </c>
      <c r="B761" s="53">
        <v>42055</v>
      </c>
      <c r="C761" s="52">
        <v>309</v>
      </c>
      <c r="D761" s="72" t="str">
        <f>IF(DATEDIF($B761,'Inst summary and ER calculation'!$T$6,"y")=1,"1-2 years","2-3 years")</f>
        <v>2-3 years</v>
      </c>
      <c r="E761" s="69">
        <f t="shared" si="33"/>
        <v>0.58082191780821912</v>
      </c>
      <c r="F761" s="69">
        <f>$C761*E761*_xlfn.XLOOKUP($D761,'Sample Size cal and results'!$B$23:$B$24,'Sample Size cal and results'!$D$23:$D$24)</f>
        <v>182.76547737640752</v>
      </c>
      <c r="G761" s="72" t="str">
        <f>IF(DATEDIF($B761,'Inst summary and ER calculation'!$U$6,"y")=2,"2-3 years","3-4 years")</f>
        <v>3-4 years</v>
      </c>
      <c r="H761" s="69">
        <f t="shared" si="34"/>
        <v>1</v>
      </c>
      <c r="I761" s="142">
        <f>$C761*H761*_xlfn.XLOOKUP($G761,'Sample Size cal and results'!$B$25:$B$26,'Sample Size cal and results'!$D$25:$D$26)</f>
        <v>307.49748147778979</v>
      </c>
    </row>
    <row r="762" spans="1:9" ht="13">
      <c r="A762" s="131" t="s">
        <v>141</v>
      </c>
      <c r="B762" s="53">
        <v>42056</v>
      </c>
      <c r="C762" s="52">
        <v>807</v>
      </c>
      <c r="D762" s="72" t="str">
        <f>IF(DATEDIF($B762,'Inst summary and ER calculation'!$T$6,"y")=1,"1-2 years","2-3 years")</f>
        <v>2-3 years</v>
      </c>
      <c r="E762" s="69">
        <f t="shared" si="33"/>
        <v>0.58082191780821912</v>
      </c>
      <c r="F762" s="69">
        <f>$C762*E762*_xlfn.XLOOKUP($D762,'Sample Size cal and results'!$B$23:$B$24,'Sample Size cal and results'!$D$23:$D$24)</f>
        <v>477.31954771120019</v>
      </c>
      <c r="G762" s="72" t="str">
        <f>IF(DATEDIF($B762,'Inst summary and ER calculation'!$U$6,"y")=2,"2-3 years","3-4 years")</f>
        <v>3-4 years</v>
      </c>
      <c r="H762" s="69">
        <f t="shared" si="34"/>
        <v>1</v>
      </c>
      <c r="I762" s="142">
        <f>$C762*H762*_xlfn.XLOOKUP($G762,'Sample Size cal and results'!$B$25:$B$26,'Sample Size cal and results'!$D$25:$D$26)</f>
        <v>803.07594677209181</v>
      </c>
    </row>
    <row r="763" spans="1:9" ht="13">
      <c r="A763" s="131" t="s">
        <v>142</v>
      </c>
      <c r="B763" s="53">
        <v>42056</v>
      </c>
      <c r="C763" s="52">
        <v>619</v>
      </c>
      <c r="D763" s="72" t="str">
        <f>IF(DATEDIF($B763,'Inst summary and ER calculation'!$T$6,"y")=1,"1-2 years","2-3 years")</f>
        <v>2-3 years</v>
      </c>
      <c r="E763" s="69">
        <f t="shared" si="33"/>
        <v>0.58082191780821912</v>
      </c>
      <c r="F763" s="69">
        <f>$C763*E763*_xlfn.XLOOKUP($D763,'Sample Size cal and results'!$B$23:$B$24,'Sample Size cal and results'!$D$23:$D$24)</f>
        <v>366.1224287896319</v>
      </c>
      <c r="G763" s="72" t="str">
        <f>IF(DATEDIF($B763,'Inst summary and ER calculation'!$U$6,"y")=2,"2-3 years","3-4 years")</f>
        <v>3-4 years</v>
      </c>
      <c r="H763" s="69">
        <f t="shared" si="34"/>
        <v>1</v>
      </c>
      <c r="I763" s="142">
        <f>$C763*H763*_xlfn.XLOOKUP($G763,'Sample Size cal and results'!$B$25:$B$26,'Sample Size cal and results'!$D$25:$D$26)</f>
        <v>615.99010043609019</v>
      </c>
    </row>
    <row r="764" spans="1:9" ht="13">
      <c r="A764" s="131" t="s">
        <v>143</v>
      </c>
      <c r="B764" s="53">
        <v>42056</v>
      </c>
      <c r="C764" s="52">
        <v>178</v>
      </c>
      <c r="D764" s="72" t="str">
        <f>IF(DATEDIF($B764,'Inst summary and ER calculation'!$T$6,"y")=1,"1-2 years","2-3 years")</f>
        <v>2-3 years</v>
      </c>
      <c r="E764" s="69">
        <f t="shared" si="33"/>
        <v>0.58082191780821912</v>
      </c>
      <c r="F764" s="69">
        <f>$C764*E764*_xlfn.XLOOKUP($D764,'Sample Size cal and results'!$B$23:$B$24,'Sample Size cal and results'!$D$23:$D$24)</f>
        <v>105.28237855339979</v>
      </c>
      <c r="G764" s="72" t="str">
        <f>IF(DATEDIF($B764,'Inst summary and ER calculation'!$U$6,"y")=2,"2-3 years","3-4 years")</f>
        <v>3-4 years</v>
      </c>
      <c r="H764" s="69">
        <f t="shared" si="34"/>
        <v>1</v>
      </c>
      <c r="I764" s="142">
        <f>$C764*H764*_xlfn.XLOOKUP($G764,'Sample Size cal and results'!$B$25:$B$26,'Sample Size cal and results'!$D$25:$D$26)</f>
        <v>177.1344715308951</v>
      </c>
    </row>
    <row r="765" spans="1:9" ht="13">
      <c r="A765" s="131" t="s">
        <v>143</v>
      </c>
      <c r="B765" s="53">
        <v>42057</v>
      </c>
      <c r="C765" s="52">
        <v>281</v>
      </c>
      <c r="D765" s="72" t="str">
        <f>IF(DATEDIF($B765,'Inst summary and ER calculation'!$T$6,"y")=1,"1-2 years","2-3 years")</f>
        <v>2-3 years</v>
      </c>
      <c r="E765" s="69">
        <f t="shared" si="33"/>
        <v>0.58082191780821912</v>
      </c>
      <c r="F765" s="69">
        <f>$C765*E765*_xlfn.XLOOKUP($D765,'Sample Size cal and results'!$B$23:$B$24,'Sample Size cal and results'!$D$23:$D$24)</f>
        <v>166.20420434553563</v>
      </c>
      <c r="G765" s="72" t="str">
        <f>IF(DATEDIF($B765,'Inst summary and ER calculation'!$U$6,"y")=2,"2-3 years","3-4 years")</f>
        <v>3-4 years</v>
      </c>
      <c r="H765" s="69">
        <f t="shared" si="34"/>
        <v>1</v>
      </c>
      <c r="I765" s="142">
        <f>$C765*H765*_xlfn.XLOOKUP($G765,'Sample Size cal and results'!$B$25:$B$26,'Sample Size cal and results'!$D$25:$D$26)</f>
        <v>279.63363202349166</v>
      </c>
    </row>
    <row r="766" spans="1:9" ht="13">
      <c r="A766" s="131" t="s">
        <v>143</v>
      </c>
      <c r="B766" s="53">
        <v>42058</v>
      </c>
      <c r="C766" s="52">
        <v>273</v>
      </c>
      <c r="D766" s="72" t="str">
        <f>IF(DATEDIF($B766,'Inst summary and ER calculation'!$T$6,"y")=1,"1-2 years","2-3 years")</f>
        <v>2-3 years</v>
      </c>
      <c r="E766" s="69">
        <f t="shared" si="33"/>
        <v>0.58082191780821912</v>
      </c>
      <c r="F766" s="69">
        <f>$C766*E766*_xlfn.XLOOKUP($D766,'Sample Size cal and results'!$B$23:$B$24,'Sample Size cal and results'!$D$23:$D$24)</f>
        <v>161.47241205100082</v>
      </c>
      <c r="G766" s="72" t="str">
        <f>IF(DATEDIF($B766,'Inst summary and ER calculation'!$U$6,"y")=2,"2-3 years","3-4 years")</f>
        <v>3-4 years</v>
      </c>
      <c r="H766" s="69">
        <f t="shared" si="34"/>
        <v>1</v>
      </c>
      <c r="I766" s="142">
        <f>$C766*H766*_xlfn.XLOOKUP($G766,'Sample Size cal and results'!$B$25:$B$26,'Sample Size cal and results'!$D$25:$D$26)</f>
        <v>271.67253217940652</v>
      </c>
    </row>
    <row r="767" spans="1:9" ht="13">
      <c r="A767" s="131" t="s">
        <v>143</v>
      </c>
      <c r="B767" s="53">
        <v>42059</v>
      </c>
      <c r="C767" s="52">
        <v>313</v>
      </c>
      <c r="D767" s="72" t="str">
        <f>IF(DATEDIF($B767,'Inst summary and ER calculation'!$T$6,"y")=1,"1-2 years","2-3 years")</f>
        <v>2-3 years</v>
      </c>
      <c r="E767" s="69">
        <f t="shared" si="33"/>
        <v>0.58082191780821912</v>
      </c>
      <c r="F767" s="69">
        <f>$C767*E767*_xlfn.XLOOKUP($D767,'Sample Size cal and results'!$B$23:$B$24,'Sample Size cal and results'!$D$23:$D$24)</f>
        <v>185.13137352367494</v>
      </c>
      <c r="G767" s="72" t="str">
        <f>IF(DATEDIF($B767,'Inst summary and ER calculation'!$U$6,"y")=2,"2-3 years","3-4 years")</f>
        <v>3-4 years</v>
      </c>
      <c r="H767" s="69">
        <f t="shared" si="34"/>
        <v>1</v>
      </c>
      <c r="I767" s="142">
        <f>$C767*H767*_xlfn.XLOOKUP($G767,'Sample Size cal and results'!$B$25:$B$26,'Sample Size cal and results'!$D$25:$D$26)</f>
        <v>311.47803139983239</v>
      </c>
    </row>
    <row r="768" spans="1:9" ht="13">
      <c r="A768" s="131" t="s">
        <v>143</v>
      </c>
      <c r="B768" s="53">
        <v>42060</v>
      </c>
      <c r="C768" s="52">
        <v>373</v>
      </c>
      <c r="D768" s="72" t="str">
        <f>IF(DATEDIF($B768,'Inst summary and ER calculation'!$T$6,"y")=1,"1-2 years","2-3 years")</f>
        <v>2-3 years</v>
      </c>
      <c r="E768" s="69">
        <f t="shared" si="33"/>
        <v>0.58082191780821912</v>
      </c>
      <c r="F768" s="69">
        <f>$C768*E768*_xlfn.XLOOKUP($D768,'Sample Size cal and results'!$B$23:$B$24,'Sample Size cal and results'!$D$23:$D$24)</f>
        <v>220.61981573268608</v>
      </c>
      <c r="G768" s="72" t="str">
        <f>IF(DATEDIF($B768,'Inst summary and ER calculation'!$U$6,"y")=2,"2-3 years","3-4 years")</f>
        <v>3-4 years</v>
      </c>
      <c r="H768" s="69">
        <f t="shared" si="34"/>
        <v>1</v>
      </c>
      <c r="I768" s="142">
        <f>$C768*H768*_xlfn.XLOOKUP($G768,'Sample Size cal and results'!$B$25:$B$26,'Sample Size cal and results'!$D$25:$D$26)</f>
        <v>371.18628023047114</v>
      </c>
    </row>
    <row r="769" spans="1:9" ht="13">
      <c r="A769" s="131" t="s">
        <v>143</v>
      </c>
      <c r="B769" s="53">
        <v>42061</v>
      </c>
      <c r="C769" s="52">
        <v>272</v>
      </c>
      <c r="D769" s="72" t="str">
        <f>IF(DATEDIF($B769,'Inst summary and ER calculation'!$T$6,"y")=1,"1-2 years","2-3 years")</f>
        <v>2-3 years</v>
      </c>
      <c r="E769" s="69">
        <f t="shared" si="33"/>
        <v>0.58082191780821912</v>
      </c>
      <c r="F769" s="69">
        <f>$C769*E769*_xlfn.XLOOKUP($D769,'Sample Size cal and results'!$B$23:$B$24,'Sample Size cal and results'!$D$23:$D$24)</f>
        <v>160.88093801418395</v>
      </c>
      <c r="G769" s="72" t="str">
        <f>IF(DATEDIF($B769,'Inst summary and ER calculation'!$U$6,"y")=2,"2-3 years","3-4 years")</f>
        <v>3-4 years</v>
      </c>
      <c r="H769" s="69">
        <f t="shared" si="34"/>
        <v>1</v>
      </c>
      <c r="I769" s="142">
        <f>$C769*H769*_xlfn.XLOOKUP($G769,'Sample Size cal and results'!$B$25:$B$26,'Sample Size cal and results'!$D$25:$D$26)</f>
        <v>270.67739469889585</v>
      </c>
    </row>
    <row r="770" spans="1:9" ht="13">
      <c r="A770" s="131" t="s">
        <v>143</v>
      </c>
      <c r="B770" s="53">
        <v>42062</v>
      </c>
      <c r="C770" s="52">
        <v>262</v>
      </c>
      <c r="D770" s="72" t="str">
        <f>IF(DATEDIF($B770,'Inst summary and ER calculation'!$T$6,"y")=1,"1-2 years","2-3 years")</f>
        <v>2-3 years</v>
      </c>
      <c r="E770" s="69">
        <f t="shared" si="33"/>
        <v>0.58082191780821912</v>
      </c>
      <c r="F770" s="69">
        <f>$C770*E770*_xlfn.XLOOKUP($D770,'Sample Size cal and results'!$B$23:$B$24,'Sample Size cal and results'!$D$23:$D$24)</f>
        <v>154.96619764601542</v>
      </c>
      <c r="G770" s="72" t="str">
        <f>IF(DATEDIF($B770,'Inst summary and ER calculation'!$U$6,"y")=2,"2-3 years","3-4 years")</f>
        <v>3-4 years</v>
      </c>
      <c r="H770" s="69">
        <f t="shared" si="34"/>
        <v>1</v>
      </c>
      <c r="I770" s="142">
        <f>$C770*H770*_xlfn.XLOOKUP($G770,'Sample Size cal and results'!$B$25:$B$26,'Sample Size cal and results'!$D$25:$D$26)</f>
        <v>260.72601989378938</v>
      </c>
    </row>
    <row r="771" spans="1:9" ht="13">
      <c r="A771" s="131" t="s">
        <v>143</v>
      </c>
      <c r="B771" s="53">
        <v>42063</v>
      </c>
      <c r="C771" s="52">
        <v>443</v>
      </c>
      <c r="D771" s="72" t="str">
        <f>IF(DATEDIF($B771,'Inst summary and ER calculation'!$T$6,"y")=1,"1-2 years","2-3 years")</f>
        <v>2-3 years</v>
      </c>
      <c r="E771" s="69">
        <f t="shared" si="33"/>
        <v>0.58082191780821912</v>
      </c>
      <c r="F771" s="69">
        <f>$C771*E771*_xlfn.XLOOKUP($D771,'Sample Size cal and results'!$B$23:$B$24,'Sample Size cal and results'!$D$23:$D$24)</f>
        <v>262.02299830986578</v>
      </c>
      <c r="G771" s="72" t="str">
        <f>IF(DATEDIF($B771,'Inst summary and ER calculation'!$U$6,"y")=2,"2-3 years","3-4 years")</f>
        <v>3-4 years</v>
      </c>
      <c r="H771" s="69">
        <f t="shared" si="34"/>
        <v>1</v>
      </c>
      <c r="I771" s="142">
        <f>$C771*H771*_xlfn.XLOOKUP($G771,'Sample Size cal and results'!$B$25:$B$26,'Sample Size cal and results'!$D$25:$D$26)</f>
        <v>440.84590386621642</v>
      </c>
    </row>
    <row r="772" spans="1:9" ht="13">
      <c r="A772" s="131" t="s">
        <v>143</v>
      </c>
      <c r="B772" s="53">
        <v>42064</v>
      </c>
      <c r="C772" s="52">
        <v>122</v>
      </c>
      <c r="D772" s="72" t="str">
        <f>IF(DATEDIF($B772,'Inst summary and ER calculation'!$T$6,"y")=1,"1-2 years","2-3 years")</f>
        <v>1-2 years</v>
      </c>
      <c r="E772" s="69">
        <f t="shared" si="33"/>
        <v>0.58082191780821912</v>
      </c>
      <c r="F772" s="69">
        <f>$C772*E772*_xlfn.XLOOKUP($D772,'Sample Size cal and results'!$B$23:$B$24,'Sample Size cal and results'!$D$23:$D$24)</f>
        <v>73.993334140638439</v>
      </c>
      <c r="G772" s="72" t="str">
        <f>IF(DATEDIF($B772,'Inst summary and ER calculation'!$U$6,"y")=2,"2-3 years","3-4 years")</f>
        <v>2-3 years</v>
      </c>
      <c r="H772" s="69">
        <f t="shared" si="34"/>
        <v>1</v>
      </c>
      <c r="I772" s="142">
        <f>$C772*H772*_xlfn.XLOOKUP($G772,'Sample Size cal and results'!$B$25:$B$26,'Sample Size cal and results'!$D$25:$D$26)</f>
        <v>124.17598467010347</v>
      </c>
    </row>
    <row r="773" spans="1:9" ht="13">
      <c r="A773" s="131" t="s">
        <v>143</v>
      </c>
      <c r="B773" s="53">
        <v>42065</v>
      </c>
      <c r="C773" s="52">
        <v>201</v>
      </c>
      <c r="D773" s="72" t="str">
        <f>IF(DATEDIF($B773,'Inst summary and ER calculation'!$T$6,"y")=1,"1-2 years","2-3 years")</f>
        <v>1-2 years</v>
      </c>
      <c r="E773" s="69">
        <f t="shared" si="33"/>
        <v>0.58082191780821912</v>
      </c>
      <c r="F773" s="69">
        <f>$C773*E773*_xlfn.XLOOKUP($D773,'Sample Size cal and results'!$B$23:$B$24,'Sample Size cal and results'!$D$23:$D$24)</f>
        <v>121.90705051039612</v>
      </c>
      <c r="G773" s="72" t="str">
        <f>IF(DATEDIF($B773,'Inst summary and ER calculation'!$U$6,"y")=2,"2-3 years","3-4 years")</f>
        <v>2-3 years</v>
      </c>
      <c r="H773" s="69">
        <f t="shared" si="34"/>
        <v>1</v>
      </c>
      <c r="I773" s="142">
        <f>$C773*H773*_xlfn.XLOOKUP($G773,'Sample Size cal and results'!$B$25:$B$26,'Sample Size cal and results'!$D$25:$D$26)</f>
        <v>204.58502392369508</v>
      </c>
    </row>
    <row r="774" spans="1:9" ht="13">
      <c r="A774" s="131" t="s">
        <v>143</v>
      </c>
      <c r="B774" s="53">
        <v>42066</v>
      </c>
      <c r="C774" s="52">
        <v>242</v>
      </c>
      <c r="D774" s="72" t="str">
        <f>IF(DATEDIF($B774,'Inst summary and ER calculation'!$T$6,"y")=1,"1-2 years","2-3 years")</f>
        <v>1-2 years</v>
      </c>
      <c r="E774" s="69">
        <f t="shared" si="33"/>
        <v>0.58082191780821912</v>
      </c>
      <c r="F774" s="69">
        <f>$C774*E774*_xlfn.XLOOKUP($D774,'Sample Size cal and results'!$B$23:$B$24,'Sample Size cal and results'!$D$23:$D$24)</f>
        <v>146.77366280356151</v>
      </c>
      <c r="G774" s="72" t="str">
        <f>IF(DATEDIF($B774,'Inst summary and ER calculation'!$U$6,"y")=2,"2-3 years","3-4 years")</f>
        <v>2-3 years</v>
      </c>
      <c r="H774" s="69">
        <f t="shared" si="34"/>
        <v>1</v>
      </c>
      <c r="I774" s="142">
        <f>$C774*H774*_xlfn.XLOOKUP($G774,'Sample Size cal and results'!$B$25:$B$26,'Sample Size cal and results'!$D$25:$D$26)</f>
        <v>246.31629746036921</v>
      </c>
    </row>
    <row r="775" spans="1:9" ht="13">
      <c r="A775" s="131" t="s">
        <v>143</v>
      </c>
      <c r="B775" s="53">
        <v>42067</v>
      </c>
      <c r="C775" s="52">
        <v>197</v>
      </c>
      <c r="D775" s="72" t="str">
        <f>IF(DATEDIF($B775,'Inst summary and ER calculation'!$T$6,"y")=1,"1-2 years","2-3 years")</f>
        <v>1-2 years</v>
      </c>
      <c r="E775" s="69">
        <f t="shared" si="33"/>
        <v>0.58082191780821912</v>
      </c>
      <c r="F775" s="69">
        <f>$C775*E775*_xlfn.XLOOKUP($D775,'Sample Size cal and results'!$B$23:$B$24,'Sample Size cal and results'!$D$23:$D$24)</f>
        <v>119.48103955496535</v>
      </c>
      <c r="G775" s="72" t="str">
        <f>IF(DATEDIF($B775,'Inst summary and ER calculation'!$U$6,"y")=2,"2-3 years","3-4 years")</f>
        <v>2-3 years</v>
      </c>
      <c r="H775" s="69">
        <f t="shared" si="34"/>
        <v>1</v>
      </c>
      <c r="I775" s="142">
        <f>$C775*H775*_xlfn.XLOOKUP($G775,'Sample Size cal and results'!$B$25:$B$26,'Sample Size cal and results'!$D$25:$D$26)</f>
        <v>200.51368016401955</v>
      </c>
    </row>
    <row r="776" spans="1:9" ht="13">
      <c r="A776" s="131" t="s">
        <v>143</v>
      </c>
      <c r="B776" s="53">
        <v>42068</v>
      </c>
      <c r="C776" s="52">
        <v>288</v>
      </c>
      <c r="D776" s="72" t="str">
        <f>IF(DATEDIF($B776,'Inst summary and ER calculation'!$T$6,"y")=1,"1-2 years","2-3 years")</f>
        <v>1-2 years</v>
      </c>
      <c r="E776" s="69">
        <f t="shared" si="33"/>
        <v>0.58082191780821912</v>
      </c>
      <c r="F776" s="69">
        <f>$C776*E776*_xlfn.XLOOKUP($D776,'Sample Size cal and results'!$B$23:$B$24,'Sample Size cal and results'!$D$23:$D$24)</f>
        <v>174.67278879101534</v>
      </c>
      <c r="G776" s="72" t="str">
        <f>IF(DATEDIF($B776,'Inst summary and ER calculation'!$U$6,"y")=2,"2-3 years","3-4 years")</f>
        <v>2-3 years</v>
      </c>
      <c r="H776" s="69">
        <f t="shared" si="34"/>
        <v>1</v>
      </c>
      <c r="I776" s="142">
        <f>$C776*H776*_xlfn.XLOOKUP($G776,'Sample Size cal and results'!$B$25:$B$26,'Sample Size cal and results'!$D$25:$D$26)</f>
        <v>293.13675069663771</v>
      </c>
    </row>
    <row r="777" spans="1:9" ht="13">
      <c r="A777" s="131" t="s">
        <v>143</v>
      </c>
      <c r="B777" s="53">
        <v>42069</v>
      </c>
      <c r="C777" s="52">
        <v>200</v>
      </c>
      <c r="D777" s="72" t="str">
        <f>IF(DATEDIF($B777,'Inst summary and ER calculation'!$T$6,"y")=1,"1-2 years","2-3 years")</f>
        <v>1-2 years</v>
      </c>
      <c r="E777" s="69">
        <f t="shared" si="33"/>
        <v>0.58082191780821912</v>
      </c>
      <c r="F777" s="69">
        <f>$C777*E777*_xlfn.XLOOKUP($D777,'Sample Size cal and results'!$B$23:$B$24,'Sample Size cal and results'!$D$23:$D$24)</f>
        <v>121.30054777153845</v>
      </c>
      <c r="G777" s="72" t="str">
        <f>IF(DATEDIF($B777,'Inst summary and ER calculation'!$U$6,"y")=2,"2-3 years","3-4 years")</f>
        <v>2-3 years</v>
      </c>
      <c r="H777" s="69">
        <f t="shared" si="34"/>
        <v>1</v>
      </c>
      <c r="I777" s="142">
        <f>$C777*H777*_xlfn.XLOOKUP($G777,'Sample Size cal and results'!$B$25:$B$26,'Sample Size cal and results'!$D$25:$D$26)</f>
        <v>203.56718798377619</v>
      </c>
    </row>
    <row r="778" spans="1:9" ht="13">
      <c r="A778" s="131" t="s">
        <v>143</v>
      </c>
      <c r="B778" s="53">
        <v>42070</v>
      </c>
      <c r="C778" s="52">
        <v>233</v>
      </c>
      <c r="D778" s="72" t="str">
        <f>IF(DATEDIF($B778,'Inst summary and ER calculation'!$T$6,"y")=1,"1-2 years","2-3 years")</f>
        <v>1-2 years</v>
      </c>
      <c r="E778" s="69">
        <f t="shared" si="33"/>
        <v>0.58082191780821912</v>
      </c>
      <c r="F778" s="69">
        <f>$C778*E778*_xlfn.XLOOKUP($D778,'Sample Size cal and results'!$B$23:$B$24,'Sample Size cal and results'!$D$23:$D$24)</f>
        <v>141.31513815384227</v>
      </c>
      <c r="G778" s="72" t="str">
        <f>IF(DATEDIF($B778,'Inst summary and ER calculation'!$U$6,"y")=2,"2-3 years","3-4 years")</f>
        <v>2-3 years</v>
      </c>
      <c r="H778" s="69">
        <f t="shared" si="34"/>
        <v>1</v>
      </c>
      <c r="I778" s="142">
        <f>$C778*H778*_xlfn.XLOOKUP($G778,'Sample Size cal and results'!$B$25:$B$26,'Sample Size cal and results'!$D$25:$D$26)</f>
        <v>237.15577400109927</v>
      </c>
    </row>
    <row r="779" spans="1:9" ht="13">
      <c r="A779" s="131" t="s">
        <v>143</v>
      </c>
      <c r="B779" s="53">
        <v>42071</v>
      </c>
      <c r="C779" s="52">
        <v>250</v>
      </c>
      <c r="D779" s="72" t="str">
        <f>IF(DATEDIF($B779,'Inst summary and ER calculation'!$T$6,"y")=1,"1-2 years","2-3 years")</f>
        <v>1-2 years</v>
      </c>
      <c r="E779" s="69">
        <f t="shared" si="33"/>
        <v>0.58082191780821912</v>
      </c>
      <c r="F779" s="69">
        <f>$C779*E779*_xlfn.XLOOKUP($D779,'Sample Size cal and results'!$B$23:$B$24,'Sample Size cal and results'!$D$23:$D$24)</f>
        <v>151.62568471442304</v>
      </c>
      <c r="G779" s="72" t="str">
        <f>IF(DATEDIF($B779,'Inst summary and ER calculation'!$U$6,"y")=2,"2-3 years","3-4 years")</f>
        <v>2-3 years</v>
      </c>
      <c r="H779" s="69">
        <f t="shared" si="34"/>
        <v>1</v>
      </c>
      <c r="I779" s="142">
        <f>$C779*H779*_xlfn.XLOOKUP($G779,'Sample Size cal and results'!$B$25:$B$26,'Sample Size cal and results'!$D$25:$D$26)</f>
        <v>254.45898497972024</v>
      </c>
    </row>
    <row r="780" spans="1:9" ht="13">
      <c r="A780" s="131" t="s">
        <v>143</v>
      </c>
      <c r="B780" s="53">
        <v>42072</v>
      </c>
      <c r="C780" s="52">
        <v>234</v>
      </c>
      <c r="D780" s="72" t="str">
        <f>IF(DATEDIF($B780,'Inst summary and ER calculation'!$T$6,"y")=1,"1-2 years","2-3 years")</f>
        <v>1-2 years</v>
      </c>
      <c r="E780" s="69">
        <f t="shared" si="33"/>
        <v>0.58082191780821912</v>
      </c>
      <c r="F780" s="69">
        <f>$C780*E780*_xlfn.XLOOKUP($D780,'Sample Size cal and results'!$B$23:$B$24,'Sample Size cal and results'!$D$23:$D$24)</f>
        <v>141.92164089269997</v>
      </c>
      <c r="G780" s="72" t="str">
        <f>IF(DATEDIF($B780,'Inst summary and ER calculation'!$U$6,"y")=2,"2-3 years","3-4 years")</f>
        <v>2-3 years</v>
      </c>
      <c r="H780" s="69">
        <f t="shared" si="34"/>
        <v>1</v>
      </c>
      <c r="I780" s="142">
        <f>$C780*H780*_xlfn.XLOOKUP($G780,'Sample Size cal and results'!$B$25:$B$26,'Sample Size cal and results'!$D$25:$D$26)</f>
        <v>238.17360994101816</v>
      </c>
    </row>
    <row r="781" spans="1:9" ht="13">
      <c r="A781" s="131" t="s">
        <v>143</v>
      </c>
      <c r="B781" s="53">
        <v>42073</v>
      </c>
      <c r="C781" s="52">
        <v>298</v>
      </c>
      <c r="D781" s="72" t="str">
        <f>IF(DATEDIF($B781,'Inst summary and ER calculation'!$T$6,"y")=1,"1-2 years","2-3 years")</f>
        <v>1-2 years</v>
      </c>
      <c r="E781" s="69">
        <f t="shared" si="33"/>
        <v>0.58082191780821912</v>
      </c>
      <c r="F781" s="69">
        <f>$C781*E781*_xlfn.XLOOKUP($D781,'Sample Size cal and results'!$B$23:$B$24,'Sample Size cal and results'!$D$23:$D$24)</f>
        <v>180.73781617959227</v>
      </c>
      <c r="G781" s="72" t="str">
        <f>IF(DATEDIF($B781,'Inst summary and ER calculation'!$U$6,"y")=2,"2-3 years","3-4 years")</f>
        <v>2-3 years</v>
      </c>
      <c r="H781" s="69">
        <f t="shared" si="34"/>
        <v>1</v>
      </c>
      <c r="I781" s="142">
        <f>$C781*H781*_xlfn.XLOOKUP($G781,'Sample Size cal and results'!$B$25:$B$26,'Sample Size cal and results'!$D$25:$D$26)</f>
        <v>303.31511009582653</v>
      </c>
    </row>
    <row r="782" spans="1:9" ht="13">
      <c r="A782" s="131" t="s">
        <v>143</v>
      </c>
      <c r="B782" s="53">
        <v>42074</v>
      </c>
      <c r="C782" s="52">
        <v>229</v>
      </c>
      <c r="D782" s="72" t="str">
        <f>IF(DATEDIF($B782,'Inst summary and ER calculation'!$T$6,"y")=1,"1-2 years","2-3 years")</f>
        <v>1-2 years</v>
      </c>
      <c r="E782" s="69">
        <f t="shared" si="33"/>
        <v>0.58082191780821912</v>
      </c>
      <c r="F782" s="69">
        <f>$C782*E782*_xlfn.XLOOKUP($D782,'Sample Size cal and results'!$B$23:$B$24,'Sample Size cal and results'!$D$23:$D$24)</f>
        <v>138.88912719841153</v>
      </c>
      <c r="G782" s="72" t="str">
        <f>IF(DATEDIF($B782,'Inst summary and ER calculation'!$U$6,"y")=2,"2-3 years","3-4 years")</f>
        <v>2-3 years</v>
      </c>
      <c r="H782" s="69">
        <f t="shared" si="34"/>
        <v>1</v>
      </c>
      <c r="I782" s="142">
        <f>$C782*H782*_xlfn.XLOOKUP($G782,'Sample Size cal and results'!$B$25:$B$26,'Sample Size cal and results'!$D$25:$D$26)</f>
        <v>233.08443024142375</v>
      </c>
    </row>
    <row r="783" spans="1:9" ht="13">
      <c r="A783" s="131" t="s">
        <v>143</v>
      </c>
      <c r="B783" s="53">
        <v>42075</v>
      </c>
      <c r="C783" s="52">
        <v>313</v>
      </c>
      <c r="D783" s="72" t="str">
        <f>IF(DATEDIF($B783,'Inst summary and ER calculation'!$T$6,"y")=1,"1-2 years","2-3 years")</f>
        <v>1-2 years</v>
      </c>
      <c r="E783" s="69">
        <f t="shared" si="33"/>
        <v>0.58082191780821912</v>
      </c>
      <c r="F783" s="69">
        <f>$C783*E783*_xlfn.XLOOKUP($D783,'Sample Size cal and results'!$B$23:$B$24,'Sample Size cal and results'!$D$23:$D$24)</f>
        <v>189.83535726245768</v>
      </c>
      <c r="G783" s="72" t="str">
        <f>IF(DATEDIF($B783,'Inst summary and ER calculation'!$U$6,"y")=2,"2-3 years","3-4 years")</f>
        <v>2-3 years</v>
      </c>
      <c r="H783" s="69">
        <f t="shared" si="34"/>
        <v>1</v>
      </c>
      <c r="I783" s="142">
        <f>$C783*H783*_xlfn.XLOOKUP($G783,'Sample Size cal and results'!$B$25:$B$26,'Sample Size cal and results'!$D$25:$D$26)</f>
        <v>318.58264919460976</v>
      </c>
    </row>
    <row r="784" spans="1:9" ht="13">
      <c r="A784" s="131" t="s">
        <v>143</v>
      </c>
      <c r="B784" s="53">
        <v>42076</v>
      </c>
      <c r="C784" s="52">
        <v>214</v>
      </c>
      <c r="D784" s="72" t="str">
        <f>IF(DATEDIF($B784,'Inst summary and ER calculation'!$T$6,"y")=1,"1-2 years","2-3 years")</f>
        <v>1-2 years</v>
      </c>
      <c r="E784" s="69">
        <f t="shared" si="33"/>
        <v>0.58082191780821912</v>
      </c>
      <c r="F784" s="69">
        <f>$C784*E784*_xlfn.XLOOKUP($D784,'Sample Size cal and results'!$B$23:$B$24,'Sample Size cal and results'!$D$23:$D$24)</f>
        <v>129.79158611554612</v>
      </c>
      <c r="G784" s="72" t="str">
        <f>IF(DATEDIF($B784,'Inst summary and ER calculation'!$U$6,"y")=2,"2-3 years","3-4 years")</f>
        <v>2-3 years</v>
      </c>
      <c r="H784" s="69">
        <f t="shared" si="34"/>
        <v>1</v>
      </c>
      <c r="I784" s="142">
        <f>$C784*H784*_xlfn.XLOOKUP($G784,'Sample Size cal and results'!$B$25:$B$26,'Sample Size cal and results'!$D$25:$D$26)</f>
        <v>217.81689114264054</v>
      </c>
    </row>
    <row r="785" spans="1:9" ht="13">
      <c r="A785" s="131" t="s">
        <v>143</v>
      </c>
      <c r="B785" s="53">
        <v>42077</v>
      </c>
      <c r="C785" s="52">
        <v>252</v>
      </c>
      <c r="D785" s="72" t="str">
        <f>IF(DATEDIF($B785,'Inst summary and ER calculation'!$T$6,"y")=1,"1-2 years","2-3 years")</f>
        <v>1-2 years</v>
      </c>
      <c r="E785" s="69">
        <f t="shared" si="33"/>
        <v>0.58082191780821912</v>
      </c>
      <c r="F785" s="69">
        <f>$C785*E785*_xlfn.XLOOKUP($D785,'Sample Size cal and results'!$B$23:$B$24,'Sample Size cal and results'!$D$23:$D$24)</f>
        <v>152.83869019213842</v>
      </c>
      <c r="G785" s="72" t="str">
        <f>IF(DATEDIF($B785,'Inst summary and ER calculation'!$U$6,"y")=2,"2-3 years","3-4 years")</f>
        <v>2-3 years</v>
      </c>
      <c r="H785" s="69">
        <f t="shared" si="34"/>
        <v>1</v>
      </c>
      <c r="I785" s="142">
        <f>$C785*H785*_xlfn.XLOOKUP($G785,'Sample Size cal and results'!$B$25:$B$26,'Sample Size cal and results'!$D$25:$D$26)</f>
        <v>256.49465685955801</v>
      </c>
    </row>
    <row r="786" spans="1:9" ht="13">
      <c r="A786" s="131" t="s">
        <v>143</v>
      </c>
      <c r="B786" s="53">
        <v>42078</v>
      </c>
      <c r="C786" s="52">
        <v>300</v>
      </c>
      <c r="D786" s="72" t="str">
        <f>IF(DATEDIF($B786,'Inst summary and ER calculation'!$T$6,"y")=1,"1-2 years","2-3 years")</f>
        <v>1-2 years</v>
      </c>
      <c r="E786" s="69">
        <f t="shared" si="33"/>
        <v>0.58082191780821912</v>
      </c>
      <c r="F786" s="69">
        <f>$C786*E786*_xlfn.XLOOKUP($D786,'Sample Size cal and results'!$B$23:$B$24,'Sample Size cal and results'!$D$23:$D$24)</f>
        <v>181.95082165730767</v>
      </c>
      <c r="G786" s="72" t="str">
        <f>IF(DATEDIF($B786,'Inst summary and ER calculation'!$U$6,"y")=2,"2-3 years","3-4 years")</f>
        <v>2-3 years</v>
      </c>
      <c r="H786" s="69">
        <f t="shared" si="34"/>
        <v>1</v>
      </c>
      <c r="I786" s="142">
        <f>$C786*H786*_xlfn.XLOOKUP($G786,'Sample Size cal and results'!$B$25:$B$26,'Sample Size cal and results'!$D$25:$D$26)</f>
        <v>305.35078197566429</v>
      </c>
    </row>
    <row r="787" spans="1:9" ht="13">
      <c r="A787" s="131" t="s">
        <v>144</v>
      </c>
      <c r="B787" s="53">
        <v>42078</v>
      </c>
      <c r="C787" s="52">
        <v>1642</v>
      </c>
      <c r="D787" s="72" t="str">
        <f>IF(DATEDIF($B787,'Inst summary and ER calculation'!$T$6,"y")=1,"1-2 years","2-3 years")</f>
        <v>1-2 years</v>
      </c>
      <c r="E787" s="69">
        <f t="shared" si="33"/>
        <v>0.58082191780821912</v>
      </c>
      <c r="F787" s="69">
        <f>$C787*E787*_xlfn.XLOOKUP($D787,'Sample Size cal and results'!$B$23:$B$24,'Sample Size cal and results'!$D$23:$D$24)</f>
        <v>995.87749720433055</v>
      </c>
      <c r="G787" s="72" t="str">
        <f>IF(DATEDIF($B787,'Inst summary and ER calculation'!$U$6,"y")=2,"2-3 years","3-4 years")</f>
        <v>2-3 years</v>
      </c>
      <c r="H787" s="69">
        <f t="shared" si="34"/>
        <v>1</v>
      </c>
      <c r="I787" s="142">
        <f>$C787*H787*_xlfn.XLOOKUP($G787,'Sample Size cal and results'!$B$25:$B$26,'Sample Size cal and results'!$D$25:$D$26)</f>
        <v>1671.2866133468026</v>
      </c>
    </row>
    <row r="788" spans="1:9" ht="13">
      <c r="A788" s="131" t="s">
        <v>145</v>
      </c>
      <c r="B788" s="53">
        <v>42078</v>
      </c>
      <c r="C788" s="52">
        <v>1291</v>
      </c>
      <c r="D788" s="72" t="str">
        <f>IF(DATEDIF($B788,'Inst summary and ER calculation'!$T$6,"y")=1,"1-2 years","2-3 years")</f>
        <v>1-2 years</v>
      </c>
      <c r="E788" s="69">
        <f t="shared" si="33"/>
        <v>0.58082191780821912</v>
      </c>
      <c r="F788" s="69">
        <f>$C788*E788*_xlfn.XLOOKUP($D788,'Sample Size cal and results'!$B$23:$B$24,'Sample Size cal and results'!$D$23:$D$24)</f>
        <v>782.99503586528056</v>
      </c>
      <c r="G788" s="72" t="str">
        <f>IF(DATEDIF($B788,'Inst summary and ER calculation'!$U$6,"y")=2,"2-3 years","3-4 years")</f>
        <v>2-3 years</v>
      </c>
      <c r="H788" s="69">
        <f t="shared" si="34"/>
        <v>1</v>
      </c>
      <c r="I788" s="142">
        <f>$C788*H788*_xlfn.XLOOKUP($G788,'Sample Size cal and results'!$B$25:$B$26,'Sample Size cal and results'!$D$25:$D$26)</f>
        <v>1314.0261984352753</v>
      </c>
    </row>
    <row r="789" spans="1:9" ht="13">
      <c r="A789" s="131" t="s">
        <v>145</v>
      </c>
      <c r="B789" s="53">
        <v>42079</v>
      </c>
      <c r="C789" s="52">
        <v>342</v>
      </c>
      <c r="D789" s="72" t="str">
        <f>IF(DATEDIF($B789,'Inst summary and ER calculation'!$T$6,"y")=1,"1-2 years","2-3 years")</f>
        <v>1-2 years</v>
      </c>
      <c r="E789" s="69">
        <f t="shared" si="33"/>
        <v>0.58082191780821912</v>
      </c>
      <c r="F789" s="69">
        <f>$C789*E789*_xlfn.XLOOKUP($D789,'Sample Size cal and results'!$B$23:$B$24,'Sample Size cal and results'!$D$23:$D$24)</f>
        <v>207.42393668933073</v>
      </c>
      <c r="G789" s="72" t="str">
        <f>IF(DATEDIF($B789,'Inst summary and ER calculation'!$U$6,"y")=2,"2-3 years","3-4 years")</f>
        <v>2-3 years</v>
      </c>
      <c r="H789" s="69">
        <f t="shared" si="34"/>
        <v>1</v>
      </c>
      <c r="I789" s="142">
        <f>$C789*H789*_xlfn.XLOOKUP($G789,'Sample Size cal and results'!$B$25:$B$26,'Sample Size cal and results'!$D$25:$D$26)</f>
        <v>348.09989145225728</v>
      </c>
    </row>
    <row r="790" spans="1:9" ht="13">
      <c r="A790" s="131" t="s">
        <v>145</v>
      </c>
      <c r="B790" s="53">
        <v>42080</v>
      </c>
      <c r="C790" s="52">
        <v>281</v>
      </c>
      <c r="D790" s="72" t="str">
        <f>IF(DATEDIF($B790,'Inst summary and ER calculation'!$T$6,"y")=1,"1-2 years","2-3 years")</f>
        <v>1-2 years</v>
      </c>
      <c r="E790" s="69">
        <f t="shared" si="33"/>
        <v>0.58082191780821912</v>
      </c>
      <c r="F790" s="69">
        <f>$C790*E790*_xlfn.XLOOKUP($D790,'Sample Size cal and results'!$B$23:$B$24,'Sample Size cal and results'!$D$23:$D$24)</f>
        <v>170.4272696190115</v>
      </c>
      <c r="G790" s="72" t="str">
        <f>IF(DATEDIF($B790,'Inst summary and ER calculation'!$U$6,"y")=2,"2-3 years","3-4 years")</f>
        <v>2-3 years</v>
      </c>
      <c r="H790" s="69">
        <f t="shared" si="34"/>
        <v>1</v>
      </c>
      <c r="I790" s="142">
        <f>$C790*H790*_xlfn.XLOOKUP($G790,'Sample Size cal and results'!$B$25:$B$26,'Sample Size cal and results'!$D$25:$D$26)</f>
        <v>286.01189911720559</v>
      </c>
    </row>
    <row r="791" spans="1:9" ht="13">
      <c r="A791" s="131" t="s">
        <v>145</v>
      </c>
      <c r="B791" s="53">
        <v>42081</v>
      </c>
      <c r="C791" s="52">
        <v>338</v>
      </c>
      <c r="D791" s="72" t="str">
        <f>IF(DATEDIF($B791,'Inst summary and ER calculation'!$T$6,"y")=1,"1-2 years","2-3 years")</f>
        <v>1-2 years</v>
      </c>
      <c r="E791" s="69">
        <f t="shared" si="33"/>
        <v>0.58082191780821912</v>
      </c>
      <c r="F791" s="69">
        <f>$C791*E791*_xlfn.XLOOKUP($D791,'Sample Size cal and results'!$B$23:$B$24,'Sample Size cal and results'!$D$23:$D$24)</f>
        <v>204.99792573389996</v>
      </c>
      <c r="G791" s="72" t="str">
        <f>IF(DATEDIF($B791,'Inst summary and ER calculation'!$U$6,"y")=2,"2-3 years","3-4 years")</f>
        <v>2-3 years</v>
      </c>
      <c r="H791" s="69">
        <f t="shared" si="34"/>
        <v>1</v>
      </c>
      <c r="I791" s="142">
        <f>$C791*H791*_xlfn.XLOOKUP($G791,'Sample Size cal and results'!$B$25:$B$26,'Sample Size cal and results'!$D$25:$D$26)</f>
        <v>344.02854769258175</v>
      </c>
    </row>
    <row r="792" spans="1:9" ht="13">
      <c r="A792" s="131" t="s">
        <v>145</v>
      </c>
      <c r="B792" s="53">
        <v>42082</v>
      </c>
      <c r="C792" s="52">
        <v>283</v>
      </c>
      <c r="D792" s="72" t="str">
        <f>IF(DATEDIF($B792,'Inst summary and ER calculation'!$T$6,"y")=1,"1-2 years","2-3 years")</f>
        <v>1-2 years</v>
      </c>
      <c r="E792" s="69">
        <f t="shared" si="33"/>
        <v>0.58082191780821912</v>
      </c>
      <c r="F792" s="69">
        <f>$C792*E792*_xlfn.XLOOKUP($D792,'Sample Size cal and results'!$B$23:$B$24,'Sample Size cal and results'!$D$23:$D$24)</f>
        <v>171.64027509672687</v>
      </c>
      <c r="G792" s="72" t="str">
        <f>IF(DATEDIF($B792,'Inst summary and ER calculation'!$U$6,"y")=2,"2-3 years","3-4 years")</f>
        <v>2-3 years</v>
      </c>
      <c r="H792" s="69">
        <f t="shared" si="34"/>
        <v>1</v>
      </c>
      <c r="I792" s="142">
        <f>$C792*H792*_xlfn.XLOOKUP($G792,'Sample Size cal and results'!$B$25:$B$26,'Sample Size cal and results'!$D$25:$D$26)</f>
        <v>288.04757099704329</v>
      </c>
    </row>
    <row r="793" spans="1:9" ht="13">
      <c r="A793" s="131" t="s">
        <v>145</v>
      </c>
      <c r="B793" s="53">
        <v>42083</v>
      </c>
      <c r="C793" s="52">
        <v>315</v>
      </c>
      <c r="D793" s="72" t="str">
        <f>IF(DATEDIF($B793,'Inst summary and ER calculation'!$T$6,"y")=1,"1-2 years","2-3 years")</f>
        <v>1-2 years</v>
      </c>
      <c r="E793" s="69">
        <f t="shared" si="33"/>
        <v>0.58082191780821912</v>
      </c>
      <c r="F793" s="69">
        <f>$C793*E793*_xlfn.XLOOKUP($D793,'Sample Size cal and results'!$B$23:$B$24,'Sample Size cal and results'!$D$23:$D$24)</f>
        <v>191.04836274017302</v>
      </c>
      <c r="G793" s="72" t="str">
        <f>IF(DATEDIF($B793,'Inst summary and ER calculation'!$U$6,"y")=2,"2-3 years","3-4 years")</f>
        <v>2-3 years</v>
      </c>
      <c r="H793" s="69">
        <f t="shared" si="34"/>
        <v>1</v>
      </c>
      <c r="I793" s="142">
        <f>$C793*H793*_xlfn.XLOOKUP($G793,'Sample Size cal and results'!$B$25:$B$26,'Sample Size cal and results'!$D$25:$D$26)</f>
        <v>320.61832107444752</v>
      </c>
    </row>
    <row r="794" spans="1:9" ht="13">
      <c r="A794" s="131" t="s">
        <v>145</v>
      </c>
      <c r="B794" s="53">
        <v>42084</v>
      </c>
      <c r="C794" s="52">
        <v>276</v>
      </c>
      <c r="D794" s="72" t="str">
        <f>IF(DATEDIF($B794,'Inst summary and ER calculation'!$T$6,"y")=1,"1-2 years","2-3 years")</f>
        <v>1-2 years</v>
      </c>
      <c r="E794" s="69">
        <f t="shared" si="33"/>
        <v>0.58082191780821912</v>
      </c>
      <c r="F794" s="69">
        <f>$C794*E794*_xlfn.XLOOKUP($D794,'Sample Size cal and results'!$B$23:$B$24,'Sample Size cal and results'!$D$23:$D$24)</f>
        <v>167.39475592472306</v>
      </c>
      <c r="G794" s="72" t="str">
        <f>IF(DATEDIF($B794,'Inst summary and ER calculation'!$U$6,"y")=2,"2-3 years","3-4 years")</f>
        <v>2-3 years</v>
      </c>
      <c r="H794" s="69">
        <f t="shared" si="34"/>
        <v>1</v>
      </c>
      <c r="I794" s="142">
        <f>$C794*H794*_xlfn.XLOOKUP($G794,'Sample Size cal and results'!$B$25:$B$26,'Sample Size cal and results'!$D$25:$D$26)</f>
        <v>280.92271941761118</v>
      </c>
    </row>
    <row r="795" spans="1:9" ht="13">
      <c r="A795" s="131" t="s">
        <v>145</v>
      </c>
      <c r="B795" s="53">
        <v>42085</v>
      </c>
      <c r="C795" s="52">
        <v>326</v>
      </c>
      <c r="D795" s="72" t="str">
        <f>IF(DATEDIF($B795,'Inst summary and ER calculation'!$T$6,"y")=1,"1-2 years","2-3 years")</f>
        <v>1-2 years</v>
      </c>
      <c r="E795" s="69">
        <f t="shared" si="33"/>
        <v>0.58082191780821912</v>
      </c>
      <c r="F795" s="69">
        <f>$C795*E795*_xlfn.XLOOKUP($D795,'Sample Size cal and results'!$B$23:$B$24,'Sample Size cal and results'!$D$23:$D$24)</f>
        <v>197.71989286760765</v>
      </c>
      <c r="G795" s="72" t="str">
        <f>IF(DATEDIF($B795,'Inst summary and ER calculation'!$U$6,"y")=2,"2-3 years","3-4 years")</f>
        <v>2-3 years</v>
      </c>
      <c r="H795" s="69">
        <f t="shared" si="34"/>
        <v>1</v>
      </c>
      <c r="I795" s="142">
        <f>$C795*H795*_xlfn.XLOOKUP($G795,'Sample Size cal and results'!$B$25:$B$26,'Sample Size cal and results'!$D$25:$D$26)</f>
        <v>331.81451641355522</v>
      </c>
    </row>
    <row r="796" spans="1:9" ht="13">
      <c r="A796" s="131" t="s">
        <v>145</v>
      </c>
      <c r="B796" s="53">
        <v>42086</v>
      </c>
      <c r="C796" s="52">
        <v>345</v>
      </c>
      <c r="D796" s="72" t="str">
        <f>IF(DATEDIF($B796,'Inst summary and ER calculation'!$T$6,"y")=1,"1-2 years","2-3 years")</f>
        <v>1-2 years</v>
      </c>
      <c r="E796" s="69">
        <f t="shared" si="33"/>
        <v>0.58082191780821912</v>
      </c>
      <c r="F796" s="69">
        <f>$C796*E796*_xlfn.XLOOKUP($D796,'Sample Size cal and results'!$B$23:$B$24,'Sample Size cal and results'!$D$23:$D$24)</f>
        <v>209.2434449059038</v>
      </c>
      <c r="G796" s="72" t="str">
        <f>IF(DATEDIF($B796,'Inst summary and ER calculation'!$U$6,"y")=2,"2-3 years","3-4 years")</f>
        <v>2-3 years</v>
      </c>
      <c r="H796" s="69">
        <f t="shared" si="34"/>
        <v>1</v>
      </c>
      <c r="I796" s="142">
        <f>$C796*H796*_xlfn.XLOOKUP($G796,'Sample Size cal and results'!$B$25:$B$26,'Sample Size cal and results'!$D$25:$D$26)</f>
        <v>351.15339927201393</v>
      </c>
    </row>
    <row r="797" spans="1:9" ht="13">
      <c r="A797" s="131" t="s">
        <v>145</v>
      </c>
      <c r="B797" s="53">
        <v>42087</v>
      </c>
      <c r="C797" s="52">
        <v>169</v>
      </c>
      <c r="D797" s="72" t="str">
        <f>IF(DATEDIF($B797,'Inst summary and ER calculation'!$T$6,"y")=1,"1-2 years","2-3 years")</f>
        <v>1-2 years</v>
      </c>
      <c r="E797" s="69">
        <f t="shared" ref="E797:E860" si="35">MAX(MIN($T$6)-MAX($T$5,$B797,_xlfn.XLOOKUP($A797,$W$1:$W$36,$X$1:$X$36))+1,0)/365</f>
        <v>0.58082191780821912</v>
      </c>
      <c r="F797" s="69">
        <f>$C797*E797*_xlfn.XLOOKUP($D797,'Sample Size cal and results'!$B$23:$B$24,'Sample Size cal and results'!$D$23:$D$24)</f>
        <v>102.49896286694998</v>
      </c>
      <c r="G797" s="72" t="str">
        <f>IF(DATEDIF($B797,'Inst summary and ER calculation'!$U$6,"y")=2,"2-3 years","3-4 years")</f>
        <v>2-3 years</v>
      </c>
      <c r="H797" s="69">
        <f t="shared" ref="H797:H860" si="36">MAX(MIN($U$6)-MAX($U$5,$B797,_xlfn.XLOOKUP($A797,$W$1:$W$36,$X$1:$X$36))+1,0)/365</f>
        <v>1</v>
      </c>
      <c r="I797" s="142">
        <f>$C797*H797*_xlfn.XLOOKUP($G797,'Sample Size cal and results'!$B$25:$B$26,'Sample Size cal and results'!$D$25:$D$26)</f>
        <v>172.01427384629088</v>
      </c>
    </row>
    <row r="798" spans="1:9" ht="13">
      <c r="A798" s="131" t="s">
        <v>146</v>
      </c>
      <c r="B798" s="53">
        <v>42087</v>
      </c>
      <c r="C798" s="52">
        <v>144</v>
      </c>
      <c r="D798" s="72" t="str">
        <f>IF(DATEDIF($B798,'Inst summary and ER calculation'!$T$6,"y")=1,"1-2 years","2-3 years")</f>
        <v>1-2 years</v>
      </c>
      <c r="E798" s="69">
        <f t="shared" si="35"/>
        <v>0.58082191780821912</v>
      </c>
      <c r="F798" s="69">
        <f>$C798*E798*_xlfn.XLOOKUP($D798,'Sample Size cal and results'!$B$23:$B$24,'Sample Size cal and results'!$D$23:$D$24)</f>
        <v>87.336394395507668</v>
      </c>
      <c r="G798" s="72" t="str">
        <f>IF(DATEDIF($B798,'Inst summary and ER calculation'!$U$6,"y")=2,"2-3 years","3-4 years")</f>
        <v>2-3 years</v>
      </c>
      <c r="H798" s="69">
        <f t="shared" si="36"/>
        <v>1</v>
      </c>
      <c r="I798" s="142">
        <f>$C798*H798*_xlfn.XLOOKUP($G798,'Sample Size cal and results'!$B$25:$B$26,'Sample Size cal and results'!$D$25:$D$26)</f>
        <v>146.56837534831885</v>
      </c>
    </row>
    <row r="799" spans="1:9" ht="13">
      <c r="A799" s="131" t="s">
        <v>146</v>
      </c>
      <c r="B799" s="53">
        <v>42088</v>
      </c>
      <c r="C799" s="52">
        <v>379</v>
      </c>
      <c r="D799" s="72" t="str">
        <f>IF(DATEDIF($B799,'Inst summary and ER calculation'!$T$6,"y")=1,"1-2 years","2-3 years")</f>
        <v>1-2 years</v>
      </c>
      <c r="E799" s="69">
        <f t="shared" si="35"/>
        <v>0.58082191780821912</v>
      </c>
      <c r="F799" s="69">
        <f>$C799*E799*_xlfn.XLOOKUP($D799,'Sample Size cal and results'!$B$23:$B$24,'Sample Size cal and results'!$D$23:$D$24)</f>
        <v>229.86453802706535</v>
      </c>
      <c r="G799" s="72" t="str">
        <f>IF(DATEDIF($B799,'Inst summary and ER calculation'!$U$6,"y")=2,"2-3 years","3-4 years")</f>
        <v>2-3 years</v>
      </c>
      <c r="H799" s="69">
        <f t="shared" si="36"/>
        <v>1</v>
      </c>
      <c r="I799" s="142">
        <f>$C799*H799*_xlfn.XLOOKUP($G799,'Sample Size cal and results'!$B$25:$B$26,'Sample Size cal and results'!$D$25:$D$26)</f>
        <v>385.75982122925592</v>
      </c>
    </row>
    <row r="800" spans="1:9" ht="13">
      <c r="A800" s="131" t="s">
        <v>146</v>
      </c>
      <c r="B800" s="53">
        <v>42089</v>
      </c>
      <c r="C800" s="52">
        <v>247</v>
      </c>
      <c r="D800" s="72" t="str">
        <f>IF(DATEDIF($B800,'Inst summary and ER calculation'!$T$6,"y")=1,"1-2 years","2-3 years")</f>
        <v>1-2 years</v>
      </c>
      <c r="E800" s="69">
        <f t="shared" si="35"/>
        <v>0.58082191780821912</v>
      </c>
      <c r="F800" s="69">
        <f>$C800*E800*_xlfn.XLOOKUP($D800,'Sample Size cal and results'!$B$23:$B$24,'Sample Size cal and results'!$D$23:$D$24)</f>
        <v>149.80617649784998</v>
      </c>
      <c r="G800" s="72" t="str">
        <f>IF(DATEDIF($B800,'Inst summary and ER calculation'!$U$6,"y")=2,"2-3 years","3-4 years")</f>
        <v>2-3 years</v>
      </c>
      <c r="H800" s="69">
        <f t="shared" si="36"/>
        <v>1</v>
      </c>
      <c r="I800" s="142">
        <f>$C800*H800*_xlfn.XLOOKUP($G800,'Sample Size cal and results'!$B$25:$B$26,'Sample Size cal and results'!$D$25:$D$26)</f>
        <v>251.4054771599636</v>
      </c>
    </row>
    <row r="801" spans="1:9" ht="13">
      <c r="A801" s="131" t="s">
        <v>146</v>
      </c>
      <c r="B801" s="53">
        <v>42090</v>
      </c>
      <c r="C801" s="52">
        <v>256</v>
      </c>
      <c r="D801" s="72" t="str">
        <f>IF(DATEDIF($B801,'Inst summary and ER calculation'!$T$6,"y")=1,"1-2 years","2-3 years")</f>
        <v>1-2 years</v>
      </c>
      <c r="E801" s="69">
        <f t="shared" si="35"/>
        <v>0.58082191780821912</v>
      </c>
      <c r="F801" s="69">
        <f>$C801*E801*_xlfn.XLOOKUP($D801,'Sample Size cal and results'!$B$23:$B$24,'Sample Size cal and results'!$D$23:$D$24)</f>
        <v>155.26470114756921</v>
      </c>
      <c r="G801" s="72" t="str">
        <f>IF(DATEDIF($B801,'Inst summary and ER calculation'!$U$6,"y")=2,"2-3 years","3-4 years")</f>
        <v>2-3 years</v>
      </c>
      <c r="H801" s="69">
        <f t="shared" si="36"/>
        <v>1</v>
      </c>
      <c r="I801" s="142">
        <f>$C801*H801*_xlfn.XLOOKUP($G801,'Sample Size cal and results'!$B$25:$B$26,'Sample Size cal and results'!$D$25:$D$26)</f>
        <v>260.56600061923353</v>
      </c>
    </row>
    <row r="802" spans="1:9" ht="13">
      <c r="A802" s="131" t="s">
        <v>146</v>
      </c>
      <c r="B802" s="53">
        <v>42091</v>
      </c>
      <c r="C802" s="52">
        <v>340</v>
      </c>
      <c r="D802" s="72" t="str">
        <f>IF(DATEDIF($B802,'Inst summary and ER calculation'!$T$6,"y")=1,"1-2 years","2-3 years")</f>
        <v>1-2 years</v>
      </c>
      <c r="E802" s="69">
        <f t="shared" si="35"/>
        <v>0.58082191780821912</v>
      </c>
      <c r="F802" s="69">
        <f>$C802*E802*_xlfn.XLOOKUP($D802,'Sample Size cal and results'!$B$23:$B$24,'Sample Size cal and results'!$D$23:$D$24)</f>
        <v>206.21093121161536</v>
      </c>
      <c r="G802" s="72" t="str">
        <f>IF(DATEDIF($B802,'Inst summary and ER calculation'!$U$6,"y")=2,"2-3 years","3-4 years")</f>
        <v>2-3 years</v>
      </c>
      <c r="H802" s="69">
        <f t="shared" si="36"/>
        <v>1</v>
      </c>
      <c r="I802" s="142">
        <f>$C802*H802*_xlfn.XLOOKUP($G802,'Sample Size cal and results'!$B$25:$B$26,'Sample Size cal and results'!$D$25:$D$26)</f>
        <v>346.06421957241952</v>
      </c>
    </row>
    <row r="803" spans="1:9" ht="13">
      <c r="A803" s="131" t="s">
        <v>146</v>
      </c>
      <c r="B803" s="53">
        <v>42092</v>
      </c>
      <c r="C803" s="52">
        <v>277</v>
      </c>
      <c r="D803" s="72" t="str">
        <f>IF(DATEDIF($B803,'Inst summary and ER calculation'!$T$6,"y")=1,"1-2 years","2-3 years")</f>
        <v>1-2 years</v>
      </c>
      <c r="E803" s="69">
        <f t="shared" si="35"/>
        <v>0.58082191780821912</v>
      </c>
      <c r="F803" s="69">
        <f>$C803*E803*_xlfn.XLOOKUP($D803,'Sample Size cal and results'!$B$23:$B$24,'Sample Size cal and results'!$D$23:$D$24)</f>
        <v>168.00125866358073</v>
      </c>
      <c r="G803" s="72" t="str">
        <f>IF(DATEDIF($B803,'Inst summary and ER calculation'!$U$6,"y")=2,"2-3 years","3-4 years")</f>
        <v>2-3 years</v>
      </c>
      <c r="H803" s="69">
        <f t="shared" si="36"/>
        <v>1</v>
      </c>
      <c r="I803" s="142">
        <f>$C803*H803*_xlfn.XLOOKUP($G803,'Sample Size cal and results'!$B$25:$B$26,'Sample Size cal and results'!$D$25:$D$26)</f>
        <v>281.94055535753006</v>
      </c>
    </row>
    <row r="804" spans="1:9" ht="13">
      <c r="A804" s="131" t="s">
        <v>146</v>
      </c>
      <c r="B804" s="53">
        <v>42093</v>
      </c>
      <c r="C804" s="52">
        <v>271</v>
      </c>
      <c r="D804" s="72" t="str">
        <f>IF(DATEDIF($B804,'Inst summary and ER calculation'!$T$6,"y")=1,"1-2 years","2-3 years")</f>
        <v>1-2 years</v>
      </c>
      <c r="E804" s="69">
        <f t="shared" si="35"/>
        <v>0.58082191780821912</v>
      </c>
      <c r="F804" s="69">
        <f>$C804*E804*_xlfn.XLOOKUP($D804,'Sample Size cal and results'!$B$23:$B$24,'Sample Size cal and results'!$D$23:$D$24)</f>
        <v>164.36224223043459</v>
      </c>
      <c r="G804" s="72" t="str">
        <f>IF(DATEDIF($B804,'Inst summary and ER calculation'!$U$6,"y")=2,"2-3 years","3-4 years")</f>
        <v>2-3 years</v>
      </c>
      <c r="H804" s="69">
        <f t="shared" si="36"/>
        <v>1</v>
      </c>
      <c r="I804" s="142">
        <f>$C804*H804*_xlfn.XLOOKUP($G804,'Sample Size cal and results'!$B$25:$B$26,'Sample Size cal and results'!$D$25:$D$26)</f>
        <v>275.83353971801677</v>
      </c>
    </row>
    <row r="805" spans="1:9" ht="13">
      <c r="A805" s="131" t="s">
        <v>146</v>
      </c>
      <c r="B805" s="53">
        <v>42094</v>
      </c>
      <c r="C805" s="52">
        <v>237</v>
      </c>
      <c r="D805" s="72" t="str">
        <f>IF(DATEDIF($B805,'Inst summary and ER calculation'!$T$6,"y")=1,"1-2 years","2-3 years")</f>
        <v>1-2 years</v>
      </c>
      <c r="E805" s="69">
        <f t="shared" si="35"/>
        <v>0.58082191780821912</v>
      </c>
      <c r="F805" s="69">
        <f>$C805*E805*_xlfn.XLOOKUP($D805,'Sample Size cal and results'!$B$23:$B$24,'Sample Size cal and results'!$D$23:$D$24)</f>
        <v>143.74114910927307</v>
      </c>
      <c r="G805" s="72" t="str">
        <f>IF(DATEDIF($B805,'Inst summary and ER calculation'!$U$6,"y")=2,"2-3 years","3-4 years")</f>
        <v>2-3 years</v>
      </c>
      <c r="H805" s="69">
        <f t="shared" si="36"/>
        <v>1</v>
      </c>
      <c r="I805" s="142">
        <f>$C805*H805*_xlfn.XLOOKUP($G805,'Sample Size cal and results'!$B$25:$B$26,'Sample Size cal and results'!$D$25:$D$26)</f>
        <v>241.2271177607748</v>
      </c>
    </row>
    <row r="806" spans="1:9" ht="13">
      <c r="A806" s="131" t="s">
        <v>146</v>
      </c>
      <c r="B806" s="53">
        <v>42095</v>
      </c>
      <c r="C806" s="52">
        <v>150</v>
      </c>
      <c r="D806" s="72" t="str">
        <f>IF(DATEDIF($B806,'Inst summary and ER calculation'!$T$6,"y")=1,"1-2 years","2-3 years")</f>
        <v>1-2 years</v>
      </c>
      <c r="E806" s="69">
        <f t="shared" si="35"/>
        <v>0.58082191780821912</v>
      </c>
      <c r="F806" s="69">
        <f>$C806*E806*_xlfn.XLOOKUP($D806,'Sample Size cal and results'!$B$23:$B$24,'Sample Size cal and results'!$D$23:$D$24)</f>
        <v>90.975410828653835</v>
      </c>
      <c r="G806" s="72" t="str">
        <f>IF(DATEDIF($B806,'Inst summary and ER calculation'!$U$6,"y")=2,"2-3 years","3-4 years")</f>
        <v>2-3 years</v>
      </c>
      <c r="H806" s="69">
        <f t="shared" si="36"/>
        <v>1</v>
      </c>
      <c r="I806" s="142">
        <f>$C806*H806*_xlfn.XLOOKUP($G806,'Sample Size cal and results'!$B$25:$B$26,'Sample Size cal and results'!$D$25:$D$26)</f>
        <v>152.67539098783215</v>
      </c>
    </row>
    <row r="807" spans="1:9" ht="13">
      <c r="A807" s="131" t="s">
        <v>146</v>
      </c>
      <c r="B807" s="53">
        <v>42096</v>
      </c>
      <c r="C807" s="52">
        <v>235</v>
      </c>
      <c r="D807" s="72" t="str">
        <f>IF(DATEDIF($B807,'Inst summary and ER calculation'!$T$6,"y")=1,"1-2 years","2-3 years")</f>
        <v>1-2 years</v>
      </c>
      <c r="E807" s="69">
        <f t="shared" si="35"/>
        <v>0.58082191780821912</v>
      </c>
      <c r="F807" s="69">
        <f>$C807*E807*_xlfn.XLOOKUP($D807,'Sample Size cal and results'!$B$23:$B$24,'Sample Size cal and results'!$D$23:$D$24)</f>
        <v>142.52814363155767</v>
      </c>
      <c r="G807" s="72" t="str">
        <f>IF(DATEDIF($B807,'Inst summary and ER calculation'!$U$6,"y")=2,"2-3 years","3-4 years")</f>
        <v>2-3 years</v>
      </c>
      <c r="H807" s="69">
        <f t="shared" si="36"/>
        <v>1</v>
      </c>
      <c r="I807" s="142">
        <f>$C807*H807*_xlfn.XLOOKUP($G807,'Sample Size cal and results'!$B$25:$B$26,'Sample Size cal and results'!$D$25:$D$26)</f>
        <v>239.19144588093704</v>
      </c>
    </row>
    <row r="808" spans="1:9" ht="13">
      <c r="A808" s="131" t="s">
        <v>146</v>
      </c>
      <c r="B808" s="53">
        <v>42097</v>
      </c>
      <c r="C808" s="52">
        <v>630</v>
      </c>
      <c r="D808" s="72" t="str">
        <f>IF(DATEDIF($B808,'Inst summary and ER calculation'!$T$6,"y")=1,"1-2 years","2-3 years")</f>
        <v>1-2 years</v>
      </c>
      <c r="E808" s="69">
        <f t="shared" si="35"/>
        <v>0.58082191780821912</v>
      </c>
      <c r="F808" s="69">
        <f>$C808*E808*_xlfn.XLOOKUP($D808,'Sample Size cal and results'!$B$23:$B$24,'Sample Size cal and results'!$D$23:$D$24)</f>
        <v>382.09672548034604</v>
      </c>
      <c r="G808" s="72" t="str">
        <f>IF(DATEDIF($B808,'Inst summary and ER calculation'!$U$6,"y")=2,"2-3 years","3-4 years")</f>
        <v>2-3 years</v>
      </c>
      <c r="H808" s="69">
        <f t="shared" si="36"/>
        <v>1</v>
      </c>
      <c r="I808" s="142">
        <f>$C808*H808*_xlfn.XLOOKUP($G808,'Sample Size cal and results'!$B$25:$B$26,'Sample Size cal and results'!$D$25:$D$26)</f>
        <v>641.23664214889504</v>
      </c>
    </row>
    <row r="809" spans="1:9" ht="13">
      <c r="A809" s="131" t="s">
        <v>146</v>
      </c>
      <c r="B809" s="53">
        <v>42098</v>
      </c>
      <c r="C809" s="52">
        <v>289</v>
      </c>
      <c r="D809" s="72" t="str">
        <f>IF(DATEDIF($B809,'Inst summary and ER calculation'!$T$6,"y")=1,"1-2 years","2-3 years")</f>
        <v>1-2 years</v>
      </c>
      <c r="E809" s="69">
        <f t="shared" si="35"/>
        <v>0.58082191780821912</v>
      </c>
      <c r="F809" s="69">
        <f>$C809*E809*_xlfn.XLOOKUP($D809,'Sample Size cal and results'!$B$23:$B$24,'Sample Size cal and results'!$D$23:$D$24)</f>
        <v>175.27929152987306</v>
      </c>
      <c r="G809" s="72" t="str">
        <f>IF(DATEDIF($B809,'Inst summary and ER calculation'!$U$6,"y")=2,"2-3 years","3-4 years")</f>
        <v>2-3 years</v>
      </c>
      <c r="H809" s="69">
        <f t="shared" si="36"/>
        <v>1</v>
      </c>
      <c r="I809" s="142">
        <f>$C809*H809*_xlfn.XLOOKUP($G809,'Sample Size cal and results'!$B$25:$B$26,'Sample Size cal and results'!$D$25:$D$26)</f>
        <v>294.15458663655659</v>
      </c>
    </row>
    <row r="810" spans="1:9" ht="13">
      <c r="A810" s="131" t="s">
        <v>146</v>
      </c>
      <c r="B810" s="53">
        <v>42099</v>
      </c>
      <c r="C810" s="52">
        <v>350</v>
      </c>
      <c r="D810" s="72" t="str">
        <f>IF(DATEDIF($B810,'Inst summary and ER calculation'!$T$6,"y")=1,"1-2 years","2-3 years")</f>
        <v>1-2 years</v>
      </c>
      <c r="E810" s="69">
        <f t="shared" si="35"/>
        <v>0.58082191780821912</v>
      </c>
      <c r="F810" s="69">
        <f>$C810*E810*_xlfn.XLOOKUP($D810,'Sample Size cal and results'!$B$23:$B$24,'Sample Size cal and results'!$D$23:$D$24)</f>
        <v>212.27595860019227</v>
      </c>
      <c r="G810" s="72" t="str">
        <f>IF(DATEDIF($B810,'Inst summary and ER calculation'!$U$6,"y")=2,"2-3 years","3-4 years")</f>
        <v>2-3 years</v>
      </c>
      <c r="H810" s="69">
        <f t="shared" si="36"/>
        <v>1</v>
      </c>
      <c r="I810" s="142">
        <f>$C810*H810*_xlfn.XLOOKUP($G810,'Sample Size cal and results'!$B$25:$B$26,'Sample Size cal and results'!$D$25:$D$26)</f>
        <v>356.24257897160834</v>
      </c>
    </row>
    <row r="811" spans="1:9" ht="13">
      <c r="A811" s="131" t="s">
        <v>146</v>
      </c>
      <c r="B811" s="53">
        <v>42100</v>
      </c>
      <c r="C811" s="52">
        <v>273</v>
      </c>
      <c r="D811" s="72" t="str">
        <f>IF(DATEDIF($B811,'Inst summary and ER calculation'!$T$6,"y")=1,"1-2 years","2-3 years")</f>
        <v>1-2 years</v>
      </c>
      <c r="E811" s="69">
        <f t="shared" si="35"/>
        <v>0.58082191780821912</v>
      </c>
      <c r="F811" s="69">
        <f>$C811*E811*_xlfn.XLOOKUP($D811,'Sample Size cal and results'!$B$23:$B$24,'Sample Size cal and results'!$D$23:$D$24)</f>
        <v>165.57524770814996</v>
      </c>
      <c r="G811" s="72" t="str">
        <f>IF(DATEDIF($B811,'Inst summary and ER calculation'!$U$6,"y")=2,"2-3 years","3-4 years")</f>
        <v>2-3 years</v>
      </c>
      <c r="H811" s="69">
        <f t="shared" si="36"/>
        <v>1</v>
      </c>
      <c r="I811" s="142">
        <f>$C811*H811*_xlfn.XLOOKUP($G811,'Sample Size cal and results'!$B$25:$B$26,'Sample Size cal and results'!$D$25:$D$26)</f>
        <v>277.86921159785453</v>
      </c>
    </row>
    <row r="812" spans="1:9" ht="13">
      <c r="A812" s="131" t="s">
        <v>146</v>
      </c>
      <c r="B812" s="53">
        <v>42101</v>
      </c>
      <c r="C812" s="52">
        <v>278</v>
      </c>
      <c r="D812" s="72" t="str">
        <f>IF(DATEDIF($B812,'Inst summary and ER calculation'!$T$6,"y")=1,"1-2 years","2-3 years")</f>
        <v>1-2 years</v>
      </c>
      <c r="E812" s="69">
        <f t="shared" si="35"/>
        <v>0.58082191780821912</v>
      </c>
      <c r="F812" s="69">
        <f>$C812*E812*_xlfn.XLOOKUP($D812,'Sample Size cal and results'!$B$23:$B$24,'Sample Size cal and results'!$D$23:$D$24)</f>
        <v>168.60776140243843</v>
      </c>
      <c r="G812" s="72" t="str">
        <f>IF(DATEDIF($B812,'Inst summary and ER calculation'!$U$6,"y")=2,"2-3 years","3-4 years")</f>
        <v>2-3 years</v>
      </c>
      <c r="H812" s="69">
        <f t="shared" si="36"/>
        <v>1</v>
      </c>
      <c r="I812" s="142">
        <f>$C812*H812*_xlfn.XLOOKUP($G812,'Sample Size cal and results'!$B$25:$B$26,'Sample Size cal and results'!$D$25:$D$26)</f>
        <v>282.95839129744894</v>
      </c>
    </row>
    <row r="813" spans="1:9" ht="13">
      <c r="A813" s="131" t="s">
        <v>146</v>
      </c>
      <c r="B813" s="53">
        <v>42102</v>
      </c>
      <c r="C813" s="52">
        <v>280</v>
      </c>
      <c r="D813" s="72" t="str">
        <f>IF(DATEDIF($B813,'Inst summary and ER calculation'!$T$6,"y")=1,"1-2 years","2-3 years")</f>
        <v>1-2 years</v>
      </c>
      <c r="E813" s="69">
        <f t="shared" si="35"/>
        <v>0.58082191780821912</v>
      </c>
      <c r="F813" s="69">
        <f>$C813*E813*_xlfn.XLOOKUP($D813,'Sample Size cal and results'!$B$23:$B$24,'Sample Size cal and results'!$D$23:$D$24)</f>
        <v>169.8207668801538</v>
      </c>
      <c r="G813" s="72" t="str">
        <f>IF(DATEDIF($B813,'Inst summary and ER calculation'!$U$6,"y")=2,"2-3 years","3-4 years")</f>
        <v>2-3 years</v>
      </c>
      <c r="H813" s="69">
        <f t="shared" si="36"/>
        <v>1</v>
      </c>
      <c r="I813" s="142">
        <f>$C813*H813*_xlfn.XLOOKUP($G813,'Sample Size cal and results'!$B$25:$B$26,'Sample Size cal and results'!$D$25:$D$26)</f>
        <v>284.99406317728671</v>
      </c>
    </row>
    <row r="814" spans="1:9" ht="13">
      <c r="A814" s="131" t="s">
        <v>146</v>
      </c>
      <c r="B814" s="53">
        <v>42103</v>
      </c>
      <c r="C814" s="52">
        <v>238</v>
      </c>
      <c r="D814" s="72" t="str">
        <f>IF(DATEDIF($B814,'Inst summary and ER calculation'!$T$6,"y")=1,"1-2 years","2-3 years")</f>
        <v>1-2 years</v>
      </c>
      <c r="E814" s="69">
        <f t="shared" si="35"/>
        <v>0.58082191780821912</v>
      </c>
      <c r="F814" s="69">
        <f>$C814*E814*_xlfn.XLOOKUP($D814,'Sample Size cal and results'!$B$23:$B$24,'Sample Size cal and results'!$D$23:$D$24)</f>
        <v>144.34765184813074</v>
      </c>
      <c r="G814" s="72" t="str">
        <f>IF(DATEDIF($B814,'Inst summary and ER calculation'!$U$6,"y")=2,"2-3 years","3-4 years")</f>
        <v>2-3 years</v>
      </c>
      <c r="H814" s="69">
        <f t="shared" si="36"/>
        <v>1</v>
      </c>
      <c r="I814" s="142">
        <f>$C814*H814*_xlfn.XLOOKUP($G814,'Sample Size cal and results'!$B$25:$B$26,'Sample Size cal and results'!$D$25:$D$26)</f>
        <v>242.24495370069369</v>
      </c>
    </row>
    <row r="815" spans="1:9" ht="13">
      <c r="A815" s="131" t="s">
        <v>146</v>
      </c>
      <c r="B815" s="53">
        <v>42104</v>
      </c>
      <c r="C815" s="52">
        <v>363</v>
      </c>
      <c r="D815" s="72" t="str">
        <f>IF(DATEDIF($B815,'Inst summary and ER calculation'!$T$6,"y")=1,"1-2 years","2-3 years")</f>
        <v>1-2 years</v>
      </c>
      <c r="E815" s="69">
        <f t="shared" si="35"/>
        <v>0.58082191780821912</v>
      </c>
      <c r="F815" s="69">
        <f>$C815*E815*_xlfn.XLOOKUP($D815,'Sample Size cal and results'!$B$23:$B$24,'Sample Size cal and results'!$D$23:$D$24)</f>
        <v>220.16049420534227</v>
      </c>
      <c r="G815" s="72" t="str">
        <f>IF(DATEDIF($B815,'Inst summary and ER calculation'!$U$6,"y")=2,"2-3 years","3-4 years")</f>
        <v>2-3 years</v>
      </c>
      <c r="H815" s="69">
        <f t="shared" si="36"/>
        <v>1</v>
      </c>
      <c r="I815" s="142">
        <f>$C815*H815*_xlfn.XLOOKUP($G815,'Sample Size cal and results'!$B$25:$B$26,'Sample Size cal and results'!$D$25:$D$26)</f>
        <v>369.47444619055381</v>
      </c>
    </row>
    <row r="816" spans="1:9" ht="13">
      <c r="A816" s="131" t="s">
        <v>146</v>
      </c>
      <c r="B816" s="53">
        <v>42105</v>
      </c>
      <c r="C816" s="52">
        <v>280</v>
      </c>
      <c r="D816" s="72" t="str">
        <f>IF(DATEDIF($B816,'Inst summary and ER calculation'!$T$6,"y")=1,"1-2 years","2-3 years")</f>
        <v>1-2 years</v>
      </c>
      <c r="E816" s="69">
        <f t="shared" si="35"/>
        <v>0.58082191780821912</v>
      </c>
      <c r="F816" s="69">
        <f>$C816*E816*_xlfn.XLOOKUP($D816,'Sample Size cal and results'!$B$23:$B$24,'Sample Size cal and results'!$D$23:$D$24)</f>
        <v>169.8207668801538</v>
      </c>
      <c r="G816" s="72" t="str">
        <f>IF(DATEDIF($B816,'Inst summary and ER calculation'!$U$6,"y")=2,"2-3 years","3-4 years")</f>
        <v>2-3 years</v>
      </c>
      <c r="H816" s="69">
        <f t="shared" si="36"/>
        <v>1</v>
      </c>
      <c r="I816" s="142">
        <f>$C816*H816*_xlfn.XLOOKUP($G816,'Sample Size cal and results'!$B$25:$B$26,'Sample Size cal and results'!$D$25:$D$26)</f>
        <v>284.99406317728671</v>
      </c>
    </row>
    <row r="817" spans="1:9" ht="13">
      <c r="A817" s="131" t="s">
        <v>146</v>
      </c>
      <c r="B817" s="53">
        <v>42106</v>
      </c>
      <c r="C817" s="52">
        <v>394</v>
      </c>
      <c r="D817" s="72" t="str">
        <f>IF(DATEDIF($B817,'Inst summary and ER calculation'!$T$6,"y")=1,"1-2 years","2-3 years")</f>
        <v>1-2 years</v>
      </c>
      <c r="E817" s="69">
        <f t="shared" si="35"/>
        <v>0.58082191780821912</v>
      </c>
      <c r="F817" s="69">
        <f>$C817*E817*_xlfn.XLOOKUP($D817,'Sample Size cal and results'!$B$23:$B$24,'Sample Size cal and results'!$D$23:$D$24)</f>
        <v>238.9620791099307</v>
      </c>
      <c r="G817" s="72" t="str">
        <f>IF(DATEDIF($B817,'Inst summary and ER calculation'!$U$6,"y")=2,"2-3 years","3-4 years")</f>
        <v>2-3 years</v>
      </c>
      <c r="H817" s="69">
        <f t="shared" si="36"/>
        <v>1</v>
      </c>
      <c r="I817" s="142">
        <f>$C817*H817*_xlfn.XLOOKUP($G817,'Sample Size cal and results'!$B$25:$B$26,'Sample Size cal and results'!$D$25:$D$26)</f>
        <v>401.02736032803909</v>
      </c>
    </row>
    <row r="818" spans="1:9" ht="13">
      <c r="A818" s="131" t="s">
        <v>146</v>
      </c>
      <c r="B818" s="53">
        <v>42107</v>
      </c>
      <c r="C818" s="52">
        <v>293</v>
      </c>
      <c r="D818" s="72" t="str">
        <f>IF(DATEDIF($B818,'Inst summary and ER calculation'!$T$6,"y")=1,"1-2 years","2-3 years")</f>
        <v>1-2 years</v>
      </c>
      <c r="E818" s="69">
        <f t="shared" si="35"/>
        <v>0.58082191780821912</v>
      </c>
      <c r="F818" s="69">
        <f>$C818*E818*_xlfn.XLOOKUP($D818,'Sample Size cal and results'!$B$23:$B$24,'Sample Size cal and results'!$D$23:$D$24)</f>
        <v>177.7053024853038</v>
      </c>
      <c r="G818" s="72" t="str">
        <f>IF(DATEDIF($B818,'Inst summary and ER calculation'!$U$6,"y")=2,"2-3 years","3-4 years")</f>
        <v>2-3 years</v>
      </c>
      <c r="H818" s="69">
        <f t="shared" si="36"/>
        <v>1</v>
      </c>
      <c r="I818" s="142">
        <f>$C818*H818*_xlfn.XLOOKUP($G818,'Sample Size cal and results'!$B$25:$B$26,'Sample Size cal and results'!$D$25:$D$26)</f>
        <v>298.22593039623212</v>
      </c>
    </row>
    <row r="819" spans="1:9" ht="13">
      <c r="A819" s="131" t="s">
        <v>146</v>
      </c>
      <c r="B819" s="53">
        <v>42108</v>
      </c>
      <c r="C819" s="52">
        <v>298</v>
      </c>
      <c r="D819" s="72" t="str">
        <f>IF(DATEDIF($B819,'Inst summary and ER calculation'!$T$6,"y")=1,"1-2 years","2-3 years")</f>
        <v>1-2 years</v>
      </c>
      <c r="E819" s="69">
        <f t="shared" si="35"/>
        <v>0.58082191780821912</v>
      </c>
      <c r="F819" s="69">
        <f>$C819*E819*_xlfn.XLOOKUP($D819,'Sample Size cal and results'!$B$23:$B$24,'Sample Size cal and results'!$D$23:$D$24)</f>
        <v>180.73781617959227</v>
      </c>
      <c r="G819" s="72" t="str">
        <f>IF(DATEDIF($B819,'Inst summary and ER calculation'!$U$6,"y")=2,"2-3 years","3-4 years")</f>
        <v>2-3 years</v>
      </c>
      <c r="H819" s="69">
        <f t="shared" si="36"/>
        <v>1</v>
      </c>
      <c r="I819" s="142">
        <f>$C819*H819*_xlfn.XLOOKUP($G819,'Sample Size cal and results'!$B$25:$B$26,'Sample Size cal and results'!$D$25:$D$26)</f>
        <v>303.31511009582653</v>
      </c>
    </row>
    <row r="820" spans="1:9" ht="13">
      <c r="A820" s="131" t="s">
        <v>146</v>
      </c>
      <c r="B820" s="53">
        <v>42109</v>
      </c>
      <c r="C820" s="52">
        <v>2332</v>
      </c>
      <c r="D820" s="72" t="str">
        <f>IF(DATEDIF($B820,'Inst summary and ER calculation'!$T$6,"y")=1,"1-2 years","2-3 years")</f>
        <v>1-2 years</v>
      </c>
      <c r="E820" s="69">
        <f t="shared" si="35"/>
        <v>0.58082191780821912</v>
      </c>
      <c r="F820" s="69">
        <f>$C820*E820*_xlfn.XLOOKUP($D820,'Sample Size cal and results'!$B$23:$B$24,'Sample Size cal and results'!$D$23:$D$24)</f>
        <v>1414.3643870161382</v>
      </c>
      <c r="G820" s="72" t="str">
        <f>IF(DATEDIF($B820,'Inst summary and ER calculation'!$U$6,"y")=2,"2-3 years","3-4 years")</f>
        <v>2-3 years</v>
      </c>
      <c r="H820" s="69">
        <f t="shared" si="36"/>
        <v>1</v>
      </c>
      <c r="I820" s="142">
        <f>$C820*H820*_xlfn.XLOOKUP($G820,'Sample Size cal and results'!$B$25:$B$26,'Sample Size cal and results'!$D$25:$D$26)</f>
        <v>2373.5934118908303</v>
      </c>
    </row>
    <row r="821" spans="1:9" ht="13">
      <c r="A821" s="131" t="s">
        <v>147</v>
      </c>
      <c r="B821" s="53">
        <v>42109</v>
      </c>
      <c r="C821" s="52">
        <v>981</v>
      </c>
      <c r="D821" s="72" t="str">
        <f>IF(DATEDIF($B821,'Inst summary and ER calculation'!$T$6,"y")=1,"1-2 years","2-3 years")</f>
        <v>1-2 years</v>
      </c>
      <c r="E821" s="69">
        <f t="shared" si="35"/>
        <v>0.58082191780821912</v>
      </c>
      <c r="F821" s="69">
        <f>$C821*E821*_xlfn.XLOOKUP($D821,'Sample Size cal and results'!$B$23:$B$24,'Sample Size cal and results'!$D$23:$D$24)</f>
        <v>594.97918681939598</v>
      </c>
      <c r="G821" s="72" t="str">
        <f>IF(DATEDIF($B821,'Inst summary and ER calculation'!$U$6,"y")=2,"2-3 years","3-4 years")</f>
        <v>2-3 years</v>
      </c>
      <c r="H821" s="69">
        <f t="shared" si="36"/>
        <v>1</v>
      </c>
      <c r="I821" s="142">
        <f>$C821*H821*_xlfn.XLOOKUP($G821,'Sample Size cal and results'!$B$25:$B$26,'Sample Size cal and results'!$D$25:$D$26)</f>
        <v>998.49705706042221</v>
      </c>
    </row>
    <row r="822" spans="1:9" ht="13">
      <c r="A822" s="131" t="s">
        <v>147</v>
      </c>
      <c r="B822" s="53">
        <v>42110</v>
      </c>
      <c r="C822" s="52">
        <v>368</v>
      </c>
      <c r="D822" s="72" t="str">
        <f>IF(DATEDIF($B822,'Inst summary and ER calculation'!$T$6,"y")=1,"1-2 years","2-3 years")</f>
        <v>1-2 years</v>
      </c>
      <c r="E822" s="69">
        <f t="shared" si="35"/>
        <v>0.58082191780821912</v>
      </c>
      <c r="F822" s="69">
        <f>$C822*E822*_xlfn.XLOOKUP($D822,'Sample Size cal and results'!$B$23:$B$24,'Sample Size cal and results'!$D$23:$D$24)</f>
        <v>223.19300789963071</v>
      </c>
      <c r="G822" s="72" t="str">
        <f>IF(DATEDIF($B822,'Inst summary and ER calculation'!$U$6,"y")=2,"2-3 years","3-4 years")</f>
        <v>2-3 years</v>
      </c>
      <c r="H822" s="69">
        <f t="shared" si="36"/>
        <v>1</v>
      </c>
      <c r="I822" s="142">
        <f>$C822*H822*_xlfn.XLOOKUP($G822,'Sample Size cal and results'!$B$25:$B$26,'Sample Size cal and results'!$D$25:$D$26)</f>
        <v>374.56362589014822</v>
      </c>
    </row>
    <row r="823" spans="1:9" ht="13">
      <c r="A823" s="131" t="s">
        <v>147</v>
      </c>
      <c r="B823" s="53">
        <v>42111</v>
      </c>
      <c r="C823" s="52">
        <v>344</v>
      </c>
      <c r="D823" s="72" t="str">
        <f>IF(DATEDIF($B823,'Inst summary and ER calculation'!$T$6,"y")=1,"1-2 years","2-3 years")</f>
        <v>1-2 years</v>
      </c>
      <c r="E823" s="69">
        <f t="shared" si="35"/>
        <v>0.58082191780821912</v>
      </c>
      <c r="F823" s="69">
        <f>$C823*E823*_xlfn.XLOOKUP($D823,'Sample Size cal and results'!$B$23:$B$24,'Sample Size cal and results'!$D$23:$D$24)</f>
        <v>208.6369421670461</v>
      </c>
      <c r="G823" s="72" t="str">
        <f>IF(DATEDIF($B823,'Inst summary and ER calculation'!$U$6,"y")=2,"2-3 years","3-4 years")</f>
        <v>2-3 years</v>
      </c>
      <c r="H823" s="69">
        <f t="shared" si="36"/>
        <v>1</v>
      </c>
      <c r="I823" s="142">
        <f>$C823*H823*_xlfn.XLOOKUP($G823,'Sample Size cal and results'!$B$25:$B$26,'Sample Size cal and results'!$D$25:$D$26)</f>
        <v>350.13556333209505</v>
      </c>
    </row>
    <row r="824" spans="1:9" ht="13">
      <c r="A824" s="131" t="s">
        <v>147</v>
      </c>
      <c r="B824" s="53">
        <v>42112</v>
      </c>
      <c r="C824" s="52">
        <v>410</v>
      </c>
      <c r="D824" s="72" t="str">
        <f>IF(DATEDIF($B824,'Inst summary and ER calculation'!$T$6,"y")=1,"1-2 years","2-3 years")</f>
        <v>1-2 years</v>
      </c>
      <c r="E824" s="69">
        <f t="shared" si="35"/>
        <v>0.58082191780821912</v>
      </c>
      <c r="F824" s="69">
        <f>$C824*E824*_xlfn.XLOOKUP($D824,'Sample Size cal and results'!$B$23:$B$24,'Sample Size cal and results'!$D$23:$D$24)</f>
        <v>248.66612293165377</v>
      </c>
      <c r="G824" s="72" t="str">
        <f>IF(DATEDIF($B824,'Inst summary and ER calculation'!$U$6,"y")=2,"2-3 years","3-4 years")</f>
        <v>2-3 years</v>
      </c>
      <c r="H824" s="69">
        <f t="shared" si="36"/>
        <v>1</v>
      </c>
      <c r="I824" s="142">
        <f>$C824*H824*_xlfn.XLOOKUP($G824,'Sample Size cal and results'!$B$25:$B$26,'Sample Size cal and results'!$D$25:$D$26)</f>
        <v>417.31273536674121</v>
      </c>
    </row>
    <row r="825" spans="1:9" ht="13">
      <c r="A825" s="131" t="s">
        <v>147</v>
      </c>
      <c r="B825" s="53">
        <v>42113</v>
      </c>
      <c r="C825" s="52">
        <v>369</v>
      </c>
      <c r="D825" s="72" t="str">
        <f>IF(DATEDIF($B825,'Inst summary and ER calculation'!$T$6,"y")=1,"1-2 years","2-3 years")</f>
        <v>1-2 years</v>
      </c>
      <c r="E825" s="69">
        <f t="shared" si="35"/>
        <v>0.58082191780821912</v>
      </c>
      <c r="F825" s="69">
        <f>$C825*E825*_xlfn.XLOOKUP($D825,'Sample Size cal and results'!$B$23:$B$24,'Sample Size cal and results'!$D$23:$D$24)</f>
        <v>223.79951063848841</v>
      </c>
      <c r="G825" s="72" t="str">
        <f>IF(DATEDIF($B825,'Inst summary and ER calculation'!$U$6,"y")=2,"2-3 years","3-4 years")</f>
        <v>2-3 years</v>
      </c>
      <c r="H825" s="69">
        <f t="shared" si="36"/>
        <v>1</v>
      </c>
      <c r="I825" s="142">
        <f>$C825*H825*_xlfn.XLOOKUP($G825,'Sample Size cal and results'!$B$25:$B$26,'Sample Size cal and results'!$D$25:$D$26)</f>
        <v>375.5814618300671</v>
      </c>
    </row>
    <row r="826" spans="1:9" ht="13">
      <c r="A826" s="131" t="s">
        <v>147</v>
      </c>
      <c r="B826" s="53">
        <v>42114</v>
      </c>
      <c r="C826" s="52">
        <v>423</v>
      </c>
      <c r="D826" s="72" t="str">
        <f>IF(DATEDIF($B826,'Inst summary and ER calculation'!$T$6,"y")=1,"1-2 years","2-3 years")</f>
        <v>1-2 years</v>
      </c>
      <c r="E826" s="69">
        <f t="shared" si="35"/>
        <v>0.58082191780821912</v>
      </c>
      <c r="F826" s="69">
        <f>$C826*E826*_xlfn.XLOOKUP($D826,'Sample Size cal and results'!$B$23:$B$24,'Sample Size cal and results'!$D$23:$D$24)</f>
        <v>256.55065853680378</v>
      </c>
      <c r="G826" s="72" t="str">
        <f>IF(DATEDIF($B826,'Inst summary and ER calculation'!$U$6,"y")=2,"2-3 years","3-4 years")</f>
        <v>2-3 years</v>
      </c>
      <c r="H826" s="69">
        <f t="shared" si="36"/>
        <v>1</v>
      </c>
      <c r="I826" s="142">
        <f>$C826*H826*_xlfn.XLOOKUP($G826,'Sample Size cal and results'!$B$25:$B$26,'Sample Size cal and results'!$D$25:$D$26)</f>
        <v>430.54460258568668</v>
      </c>
    </row>
    <row r="827" spans="1:9" ht="13">
      <c r="A827" s="131" t="s">
        <v>147</v>
      </c>
      <c r="B827" s="53">
        <v>42115</v>
      </c>
      <c r="C827" s="52">
        <v>346</v>
      </c>
      <c r="D827" s="72" t="str">
        <f>IF(DATEDIF($B827,'Inst summary and ER calculation'!$T$6,"y")=1,"1-2 years","2-3 years")</f>
        <v>1-2 years</v>
      </c>
      <c r="E827" s="69">
        <f t="shared" si="35"/>
        <v>0.58082191780821912</v>
      </c>
      <c r="F827" s="69">
        <f>$C827*E827*_xlfn.XLOOKUP($D827,'Sample Size cal and results'!$B$23:$B$24,'Sample Size cal and results'!$D$23:$D$24)</f>
        <v>209.8499476447615</v>
      </c>
      <c r="G827" s="72" t="str">
        <f>IF(DATEDIF($B827,'Inst summary and ER calculation'!$U$6,"y")=2,"2-3 years","3-4 years")</f>
        <v>2-3 years</v>
      </c>
      <c r="H827" s="69">
        <f t="shared" si="36"/>
        <v>1</v>
      </c>
      <c r="I827" s="142">
        <f>$C827*H827*_xlfn.XLOOKUP($G827,'Sample Size cal and results'!$B$25:$B$26,'Sample Size cal and results'!$D$25:$D$26)</f>
        <v>352.17123521193281</v>
      </c>
    </row>
    <row r="828" spans="1:9" ht="13">
      <c r="A828" s="131" t="s">
        <v>147</v>
      </c>
      <c r="B828" s="53">
        <v>42116</v>
      </c>
      <c r="C828" s="52">
        <v>397</v>
      </c>
      <c r="D828" s="72" t="str">
        <f>IF(DATEDIF($B828,'Inst summary and ER calculation'!$T$6,"y")=1,"1-2 years","2-3 years")</f>
        <v>1-2 years</v>
      </c>
      <c r="E828" s="69">
        <f t="shared" si="35"/>
        <v>0.58082191780821912</v>
      </c>
      <c r="F828" s="69">
        <f>$C828*E828*_xlfn.XLOOKUP($D828,'Sample Size cal and results'!$B$23:$B$24,'Sample Size cal and results'!$D$23:$D$24)</f>
        <v>240.7815873265038</v>
      </c>
      <c r="G828" s="72" t="str">
        <f>IF(DATEDIF($B828,'Inst summary and ER calculation'!$U$6,"y")=2,"2-3 years","3-4 years")</f>
        <v>2-3 years</v>
      </c>
      <c r="H828" s="69">
        <f t="shared" si="36"/>
        <v>1</v>
      </c>
      <c r="I828" s="142">
        <f>$C828*H828*_xlfn.XLOOKUP($G828,'Sample Size cal and results'!$B$25:$B$26,'Sample Size cal and results'!$D$25:$D$26)</f>
        <v>404.08086814779574</v>
      </c>
    </row>
    <row r="829" spans="1:9" ht="13">
      <c r="A829" s="131" t="s">
        <v>147</v>
      </c>
      <c r="B829" s="53">
        <v>42117</v>
      </c>
      <c r="C829" s="52">
        <v>342</v>
      </c>
      <c r="D829" s="72" t="str">
        <f>IF(DATEDIF($B829,'Inst summary and ER calculation'!$T$6,"y")=1,"1-2 years","2-3 years")</f>
        <v>1-2 years</v>
      </c>
      <c r="E829" s="69">
        <f t="shared" si="35"/>
        <v>0.58082191780821912</v>
      </c>
      <c r="F829" s="69">
        <f>$C829*E829*_xlfn.XLOOKUP($D829,'Sample Size cal and results'!$B$23:$B$24,'Sample Size cal and results'!$D$23:$D$24)</f>
        <v>207.42393668933073</v>
      </c>
      <c r="G829" s="72" t="str">
        <f>IF(DATEDIF($B829,'Inst summary and ER calculation'!$U$6,"y")=2,"2-3 years","3-4 years")</f>
        <v>2-3 years</v>
      </c>
      <c r="H829" s="69">
        <f t="shared" si="36"/>
        <v>1</v>
      </c>
      <c r="I829" s="142">
        <f>$C829*H829*_xlfn.XLOOKUP($G829,'Sample Size cal and results'!$B$25:$B$26,'Sample Size cal and results'!$D$25:$D$26)</f>
        <v>348.09989145225728</v>
      </c>
    </row>
    <row r="830" spans="1:9" ht="13">
      <c r="A830" s="131" t="s">
        <v>147</v>
      </c>
      <c r="B830" s="53">
        <v>42118</v>
      </c>
      <c r="C830" s="52">
        <v>293</v>
      </c>
      <c r="D830" s="72" t="str">
        <f>IF(DATEDIF($B830,'Inst summary and ER calculation'!$T$6,"y")=1,"1-2 years","2-3 years")</f>
        <v>1-2 years</v>
      </c>
      <c r="E830" s="69">
        <f t="shared" si="35"/>
        <v>0.58082191780821912</v>
      </c>
      <c r="F830" s="69">
        <f>$C830*E830*_xlfn.XLOOKUP($D830,'Sample Size cal and results'!$B$23:$B$24,'Sample Size cal and results'!$D$23:$D$24)</f>
        <v>177.7053024853038</v>
      </c>
      <c r="G830" s="72" t="str">
        <f>IF(DATEDIF($B830,'Inst summary and ER calculation'!$U$6,"y")=2,"2-3 years","3-4 years")</f>
        <v>2-3 years</v>
      </c>
      <c r="H830" s="69">
        <f t="shared" si="36"/>
        <v>1</v>
      </c>
      <c r="I830" s="142">
        <f>$C830*H830*_xlfn.XLOOKUP($G830,'Sample Size cal and results'!$B$25:$B$26,'Sample Size cal and results'!$D$25:$D$26)</f>
        <v>298.22593039623212</v>
      </c>
    </row>
    <row r="831" spans="1:9" ht="13">
      <c r="A831" s="131" t="s">
        <v>147</v>
      </c>
      <c r="B831" s="53">
        <v>42119</v>
      </c>
      <c r="C831" s="52">
        <v>490</v>
      </c>
      <c r="D831" s="72" t="str">
        <f>IF(DATEDIF($B831,'Inst summary and ER calculation'!$T$6,"y")=1,"1-2 years","2-3 years")</f>
        <v>1-2 years</v>
      </c>
      <c r="E831" s="69">
        <f t="shared" si="35"/>
        <v>0.58082191780821912</v>
      </c>
      <c r="F831" s="69">
        <f>$C831*E831*_xlfn.XLOOKUP($D831,'Sample Size cal and results'!$B$23:$B$24,'Sample Size cal and results'!$D$23:$D$24)</f>
        <v>297.18634204026915</v>
      </c>
      <c r="G831" s="72" t="str">
        <f>IF(DATEDIF($B831,'Inst summary and ER calculation'!$U$6,"y")=2,"2-3 years","3-4 years")</f>
        <v>2-3 years</v>
      </c>
      <c r="H831" s="69">
        <f t="shared" si="36"/>
        <v>1</v>
      </c>
      <c r="I831" s="142">
        <f>$C831*H831*_xlfn.XLOOKUP($G831,'Sample Size cal and results'!$B$25:$B$26,'Sample Size cal and results'!$D$25:$D$26)</f>
        <v>498.73961056025166</v>
      </c>
    </row>
    <row r="832" spans="1:9" ht="13">
      <c r="A832" s="131" t="s">
        <v>147</v>
      </c>
      <c r="B832" s="53">
        <v>42120</v>
      </c>
      <c r="C832" s="52">
        <v>448</v>
      </c>
      <c r="D832" s="72" t="str">
        <f>IF(DATEDIF($B832,'Inst summary and ER calculation'!$T$6,"y")=1,"1-2 years","2-3 years")</f>
        <v>1-2 years</v>
      </c>
      <c r="E832" s="69">
        <f t="shared" si="35"/>
        <v>0.58082191780821912</v>
      </c>
      <c r="F832" s="69">
        <f>$C832*E832*_xlfn.XLOOKUP($D832,'Sample Size cal and results'!$B$23:$B$24,'Sample Size cal and results'!$D$23:$D$24)</f>
        <v>271.71322700824612</v>
      </c>
      <c r="G832" s="72" t="str">
        <f>IF(DATEDIF($B832,'Inst summary and ER calculation'!$U$6,"y")=2,"2-3 years","3-4 years")</f>
        <v>2-3 years</v>
      </c>
      <c r="H832" s="69">
        <f t="shared" si="36"/>
        <v>1</v>
      </c>
      <c r="I832" s="142">
        <f>$C832*H832*_xlfn.XLOOKUP($G832,'Sample Size cal and results'!$B$25:$B$26,'Sample Size cal and results'!$D$25:$D$26)</f>
        <v>455.99050108365867</v>
      </c>
    </row>
    <row r="833" spans="1:9" ht="13">
      <c r="A833" s="131" t="s">
        <v>148</v>
      </c>
      <c r="B833" s="53">
        <v>42120</v>
      </c>
      <c r="C833" s="52">
        <v>461</v>
      </c>
      <c r="D833" s="72" t="str">
        <f>IF(DATEDIF($B833,'Inst summary and ER calculation'!$T$6,"y")=1,"1-2 years","2-3 years")</f>
        <v>1-2 years</v>
      </c>
      <c r="E833" s="69">
        <f t="shared" si="35"/>
        <v>0.58082191780821912</v>
      </c>
      <c r="F833" s="69">
        <f>$C833*E833*_xlfn.XLOOKUP($D833,'Sample Size cal and results'!$B$23:$B$24,'Sample Size cal and results'!$D$23:$D$24)</f>
        <v>279.59776261339613</v>
      </c>
      <c r="G833" s="72" t="str">
        <f>IF(DATEDIF($B833,'Inst summary and ER calculation'!$U$6,"y")=2,"2-3 years","3-4 years")</f>
        <v>2-3 years</v>
      </c>
      <c r="H833" s="69">
        <f t="shared" si="36"/>
        <v>1</v>
      </c>
      <c r="I833" s="142">
        <f>$C833*H833*_xlfn.XLOOKUP($G833,'Sample Size cal and results'!$B$25:$B$26,'Sample Size cal and results'!$D$25:$D$26)</f>
        <v>469.22236830260414</v>
      </c>
    </row>
    <row r="834" spans="1:9" ht="13">
      <c r="A834" s="131" t="s">
        <v>148</v>
      </c>
      <c r="B834" s="53">
        <v>42121</v>
      </c>
      <c r="C834" s="52">
        <v>367</v>
      </c>
      <c r="D834" s="72" t="str">
        <f>IF(DATEDIF($B834,'Inst summary and ER calculation'!$T$6,"y")=1,"1-2 years","2-3 years")</f>
        <v>1-2 years</v>
      </c>
      <c r="E834" s="69">
        <f t="shared" si="35"/>
        <v>0.58082191780821912</v>
      </c>
      <c r="F834" s="69">
        <f>$C834*E834*_xlfn.XLOOKUP($D834,'Sample Size cal and results'!$B$23:$B$24,'Sample Size cal and results'!$D$23:$D$24)</f>
        <v>222.58650516077304</v>
      </c>
      <c r="G834" s="72" t="str">
        <f>IF(DATEDIF($B834,'Inst summary and ER calculation'!$U$6,"y")=2,"2-3 years","3-4 years")</f>
        <v>2-3 years</v>
      </c>
      <c r="H834" s="69">
        <f t="shared" si="36"/>
        <v>1</v>
      </c>
      <c r="I834" s="142">
        <f>$C834*H834*_xlfn.XLOOKUP($G834,'Sample Size cal and results'!$B$25:$B$26,'Sample Size cal and results'!$D$25:$D$26)</f>
        <v>373.54578995022933</v>
      </c>
    </row>
    <row r="835" spans="1:9" ht="13">
      <c r="A835" s="131" t="s">
        <v>148</v>
      </c>
      <c r="B835" s="53">
        <v>42122</v>
      </c>
      <c r="C835" s="52">
        <v>1285</v>
      </c>
      <c r="D835" s="72" t="str">
        <f>IF(DATEDIF($B835,'Inst summary and ER calculation'!$T$6,"y")=1,"1-2 years","2-3 years")</f>
        <v>1-2 years</v>
      </c>
      <c r="E835" s="69">
        <f t="shared" si="35"/>
        <v>0.58082191780821912</v>
      </c>
      <c r="F835" s="69">
        <f>$C835*E835*_xlfn.XLOOKUP($D835,'Sample Size cal and results'!$B$23:$B$24,'Sample Size cal and results'!$D$23:$D$24)</f>
        <v>779.35601943213442</v>
      </c>
      <c r="G835" s="72" t="str">
        <f>IF(DATEDIF($B835,'Inst summary and ER calculation'!$U$6,"y")=2,"2-3 years","3-4 years")</f>
        <v>2-3 years</v>
      </c>
      <c r="H835" s="69">
        <f t="shared" si="36"/>
        <v>1</v>
      </c>
      <c r="I835" s="142">
        <f>$C835*H835*_xlfn.XLOOKUP($G835,'Sample Size cal and results'!$B$25:$B$26,'Sample Size cal and results'!$D$25:$D$26)</f>
        <v>1307.919182795762</v>
      </c>
    </row>
    <row r="836" spans="1:9" ht="13">
      <c r="A836" s="131" t="s">
        <v>148</v>
      </c>
      <c r="B836" s="53">
        <v>42123</v>
      </c>
      <c r="C836" s="52">
        <v>2831</v>
      </c>
      <c r="D836" s="72" t="str">
        <f>IF(DATEDIF($B836,'Inst summary and ER calculation'!$T$6,"y")=1,"1-2 years","2-3 years")</f>
        <v>1-2 years</v>
      </c>
      <c r="E836" s="69">
        <f t="shared" si="35"/>
        <v>0.58082191780821912</v>
      </c>
      <c r="F836" s="69">
        <f>$C836*E836*_xlfn.XLOOKUP($D836,'Sample Size cal and results'!$B$23:$B$24,'Sample Size cal and results'!$D$23:$D$24)</f>
        <v>1717.0092537061266</v>
      </c>
      <c r="G836" s="72" t="str">
        <f>IF(DATEDIF($B836,'Inst summary and ER calculation'!$U$6,"y")=2,"2-3 years","3-4 years")</f>
        <v>2-3 years</v>
      </c>
      <c r="H836" s="69">
        <f t="shared" si="36"/>
        <v>1</v>
      </c>
      <c r="I836" s="142">
        <f>$C836*H836*_xlfn.XLOOKUP($G836,'Sample Size cal and results'!$B$25:$B$26,'Sample Size cal and results'!$D$25:$D$26)</f>
        <v>2881.4935459103522</v>
      </c>
    </row>
    <row r="837" spans="1:9" ht="13">
      <c r="A837" s="131" t="s">
        <v>148</v>
      </c>
      <c r="B837" s="53">
        <v>42124</v>
      </c>
      <c r="C837" s="52">
        <v>1505</v>
      </c>
      <c r="D837" s="72" t="str">
        <f>IF(DATEDIF($B837,'Inst summary and ER calculation'!$T$6,"y")=1,"1-2 years","2-3 years")</f>
        <v>1-2 years</v>
      </c>
      <c r="E837" s="69">
        <f t="shared" si="35"/>
        <v>0.58082191780821912</v>
      </c>
      <c r="F837" s="69">
        <f>$C837*E837*_xlfn.XLOOKUP($D837,'Sample Size cal and results'!$B$23:$B$24,'Sample Size cal and results'!$D$23:$D$24)</f>
        <v>912.78662198082679</v>
      </c>
      <c r="G837" s="72" t="str">
        <f>IF(DATEDIF($B837,'Inst summary and ER calculation'!$U$6,"y")=2,"2-3 years","3-4 years")</f>
        <v>2-3 years</v>
      </c>
      <c r="H837" s="69">
        <f t="shared" si="36"/>
        <v>1</v>
      </c>
      <c r="I837" s="142">
        <f>$C837*H837*_xlfn.XLOOKUP($G837,'Sample Size cal and results'!$B$25:$B$26,'Sample Size cal and results'!$D$25:$D$26)</f>
        <v>1531.8430895779159</v>
      </c>
    </row>
    <row r="838" spans="1:9" ht="13">
      <c r="A838" s="131" t="s">
        <v>149</v>
      </c>
      <c r="B838" s="53">
        <v>42124</v>
      </c>
      <c r="C838" s="52">
        <v>123</v>
      </c>
      <c r="D838" s="72" t="str">
        <f>IF(DATEDIF($B838,'Inst summary and ER calculation'!$T$6,"y")=1,"1-2 years","2-3 years")</f>
        <v>1-2 years</v>
      </c>
      <c r="E838" s="69">
        <f t="shared" si="35"/>
        <v>0.58082191780821912</v>
      </c>
      <c r="F838" s="69">
        <f>$C838*E838*_xlfn.XLOOKUP($D838,'Sample Size cal and results'!$B$23:$B$24,'Sample Size cal and results'!$D$23:$D$24)</f>
        <v>74.599836879496138</v>
      </c>
      <c r="G838" s="72" t="str">
        <f>IF(DATEDIF($B838,'Inst summary and ER calculation'!$U$6,"y")=2,"2-3 years","3-4 years")</f>
        <v>2-3 years</v>
      </c>
      <c r="H838" s="69">
        <f t="shared" si="36"/>
        <v>1</v>
      </c>
      <c r="I838" s="142">
        <f>$C838*H838*_xlfn.XLOOKUP($G838,'Sample Size cal and results'!$B$25:$B$26,'Sample Size cal and results'!$D$25:$D$26)</f>
        <v>125.19382061002236</v>
      </c>
    </row>
    <row r="839" spans="1:9" ht="13">
      <c r="A839" s="131" t="s">
        <v>149</v>
      </c>
      <c r="B839" s="53">
        <v>42125</v>
      </c>
      <c r="C839" s="52">
        <v>144</v>
      </c>
      <c r="D839" s="72" t="str">
        <f>IF(DATEDIF($B839,'Inst summary and ER calculation'!$T$6,"y")=1,"1-2 years","2-3 years")</f>
        <v>1-2 years</v>
      </c>
      <c r="E839" s="69">
        <f t="shared" si="35"/>
        <v>0.58082191780821912</v>
      </c>
      <c r="F839" s="69">
        <f>$C839*E839*_xlfn.XLOOKUP($D839,'Sample Size cal and results'!$B$23:$B$24,'Sample Size cal and results'!$D$23:$D$24)</f>
        <v>87.336394395507668</v>
      </c>
      <c r="G839" s="72" t="str">
        <f>IF(DATEDIF($B839,'Inst summary and ER calculation'!$U$6,"y")=2,"2-3 years","3-4 years")</f>
        <v>2-3 years</v>
      </c>
      <c r="H839" s="69">
        <f t="shared" si="36"/>
        <v>1</v>
      </c>
      <c r="I839" s="142">
        <f>$C839*H839*_xlfn.XLOOKUP($G839,'Sample Size cal and results'!$B$25:$B$26,'Sample Size cal and results'!$D$25:$D$26)</f>
        <v>146.56837534831885</v>
      </c>
    </row>
    <row r="840" spans="1:9" ht="13">
      <c r="A840" s="131" t="s">
        <v>149</v>
      </c>
      <c r="B840" s="53">
        <v>42126</v>
      </c>
      <c r="C840" s="52">
        <v>234</v>
      </c>
      <c r="D840" s="72" t="str">
        <f>IF(DATEDIF($B840,'Inst summary and ER calculation'!$T$6,"y")=1,"1-2 years","2-3 years")</f>
        <v>1-2 years</v>
      </c>
      <c r="E840" s="69">
        <f t="shared" si="35"/>
        <v>0.58082191780821912</v>
      </c>
      <c r="F840" s="69">
        <f>$C840*E840*_xlfn.XLOOKUP($D840,'Sample Size cal and results'!$B$23:$B$24,'Sample Size cal and results'!$D$23:$D$24)</f>
        <v>141.92164089269997</v>
      </c>
      <c r="G840" s="72" t="str">
        <f>IF(DATEDIF($B840,'Inst summary and ER calculation'!$U$6,"y")=2,"2-3 years","3-4 years")</f>
        <v>2-3 years</v>
      </c>
      <c r="H840" s="69">
        <f t="shared" si="36"/>
        <v>1</v>
      </c>
      <c r="I840" s="142">
        <f>$C840*H840*_xlfn.XLOOKUP($G840,'Sample Size cal and results'!$B$25:$B$26,'Sample Size cal and results'!$D$25:$D$26)</f>
        <v>238.17360994101816</v>
      </c>
    </row>
    <row r="841" spans="1:9" ht="13">
      <c r="A841" s="131" t="s">
        <v>149</v>
      </c>
      <c r="B841" s="53">
        <v>42127</v>
      </c>
      <c r="C841" s="52">
        <v>227</v>
      </c>
      <c r="D841" s="72" t="str">
        <f>IF(DATEDIF($B841,'Inst summary and ER calculation'!$T$6,"y")=1,"1-2 years","2-3 years")</f>
        <v>1-2 years</v>
      </c>
      <c r="E841" s="69">
        <f t="shared" si="35"/>
        <v>0.58082191780821912</v>
      </c>
      <c r="F841" s="69">
        <f>$C841*E841*_xlfn.XLOOKUP($D841,'Sample Size cal and results'!$B$23:$B$24,'Sample Size cal and results'!$D$23:$D$24)</f>
        <v>137.67612172069613</v>
      </c>
      <c r="G841" s="72" t="str">
        <f>IF(DATEDIF($B841,'Inst summary and ER calculation'!$U$6,"y")=2,"2-3 years","3-4 years")</f>
        <v>2-3 years</v>
      </c>
      <c r="H841" s="69">
        <f t="shared" si="36"/>
        <v>1</v>
      </c>
      <c r="I841" s="142">
        <f>$C841*H841*_xlfn.XLOOKUP($G841,'Sample Size cal and results'!$B$25:$B$26,'Sample Size cal and results'!$D$25:$D$26)</f>
        <v>231.04875836158598</v>
      </c>
    </row>
    <row r="842" spans="1:9" ht="13">
      <c r="A842" s="131" t="s">
        <v>149</v>
      </c>
      <c r="B842" s="53">
        <v>42128</v>
      </c>
      <c r="C842" s="52">
        <v>234</v>
      </c>
      <c r="D842" s="72" t="str">
        <f>IF(DATEDIF($B842,'Inst summary and ER calculation'!$T$6,"y")=1,"1-2 years","2-3 years")</f>
        <v>1-2 years</v>
      </c>
      <c r="E842" s="69">
        <f t="shared" si="35"/>
        <v>0.58082191780821912</v>
      </c>
      <c r="F842" s="69">
        <f>$C842*E842*_xlfn.XLOOKUP($D842,'Sample Size cal and results'!$B$23:$B$24,'Sample Size cal and results'!$D$23:$D$24)</f>
        <v>141.92164089269997</v>
      </c>
      <c r="G842" s="72" t="str">
        <f>IF(DATEDIF($B842,'Inst summary and ER calculation'!$U$6,"y")=2,"2-3 years","3-4 years")</f>
        <v>2-3 years</v>
      </c>
      <c r="H842" s="69">
        <f t="shared" si="36"/>
        <v>1</v>
      </c>
      <c r="I842" s="142">
        <f>$C842*H842*_xlfn.XLOOKUP($G842,'Sample Size cal and results'!$B$25:$B$26,'Sample Size cal and results'!$D$25:$D$26)</f>
        <v>238.17360994101816</v>
      </c>
    </row>
    <row r="843" spans="1:9" ht="13">
      <c r="A843" s="131" t="s">
        <v>149</v>
      </c>
      <c r="B843" s="53">
        <v>42129</v>
      </c>
      <c r="C843" s="52">
        <v>301</v>
      </c>
      <c r="D843" s="72" t="str">
        <f>IF(DATEDIF($B843,'Inst summary and ER calculation'!$T$6,"y")=1,"1-2 years","2-3 years")</f>
        <v>1-2 years</v>
      </c>
      <c r="E843" s="69">
        <f t="shared" si="35"/>
        <v>0.58082191780821912</v>
      </c>
      <c r="F843" s="69">
        <f>$C843*E843*_xlfn.XLOOKUP($D843,'Sample Size cal and results'!$B$23:$B$24,'Sample Size cal and results'!$D$23:$D$24)</f>
        <v>182.55732439616534</v>
      </c>
      <c r="G843" s="72" t="str">
        <f>IF(DATEDIF($B843,'Inst summary and ER calculation'!$U$6,"y")=2,"2-3 years","3-4 years")</f>
        <v>2-3 years</v>
      </c>
      <c r="H843" s="69">
        <f t="shared" si="36"/>
        <v>1</v>
      </c>
      <c r="I843" s="142">
        <f>$C843*H843*_xlfn.XLOOKUP($G843,'Sample Size cal and results'!$B$25:$B$26,'Sample Size cal and results'!$D$25:$D$26)</f>
        <v>306.36861791558317</v>
      </c>
    </row>
    <row r="844" spans="1:9" ht="13">
      <c r="A844" s="131" t="s">
        <v>149</v>
      </c>
      <c r="B844" s="53">
        <v>42130</v>
      </c>
      <c r="C844" s="52">
        <v>262</v>
      </c>
      <c r="D844" s="72" t="str">
        <f>IF(DATEDIF($B844,'Inst summary and ER calculation'!$T$6,"y")=1,"1-2 years","2-3 years")</f>
        <v>1-2 years</v>
      </c>
      <c r="E844" s="69">
        <f t="shared" si="35"/>
        <v>0.58082191780821912</v>
      </c>
      <c r="F844" s="69">
        <f>$C844*E844*_xlfn.XLOOKUP($D844,'Sample Size cal and results'!$B$23:$B$24,'Sample Size cal and results'!$D$23:$D$24)</f>
        <v>158.90371758071535</v>
      </c>
      <c r="G844" s="72" t="str">
        <f>IF(DATEDIF($B844,'Inst summary and ER calculation'!$U$6,"y")=2,"2-3 years","3-4 years")</f>
        <v>2-3 years</v>
      </c>
      <c r="H844" s="69">
        <f t="shared" si="36"/>
        <v>1</v>
      </c>
      <c r="I844" s="142">
        <f>$C844*H844*_xlfn.XLOOKUP($G844,'Sample Size cal and results'!$B$25:$B$26,'Sample Size cal and results'!$D$25:$D$26)</f>
        <v>266.67301625874683</v>
      </c>
    </row>
    <row r="845" spans="1:9" ht="13">
      <c r="A845" s="131" t="s">
        <v>149</v>
      </c>
      <c r="B845" s="53">
        <v>42131</v>
      </c>
      <c r="C845" s="52">
        <v>280</v>
      </c>
      <c r="D845" s="72" t="str">
        <f>IF(DATEDIF($B845,'Inst summary and ER calculation'!$T$6,"y")=1,"1-2 years","2-3 years")</f>
        <v>1-2 years</v>
      </c>
      <c r="E845" s="69">
        <f t="shared" si="35"/>
        <v>0.58082191780821912</v>
      </c>
      <c r="F845" s="69">
        <f>$C845*E845*_xlfn.XLOOKUP($D845,'Sample Size cal and results'!$B$23:$B$24,'Sample Size cal and results'!$D$23:$D$24)</f>
        <v>169.8207668801538</v>
      </c>
      <c r="G845" s="72" t="str">
        <f>IF(DATEDIF($B845,'Inst summary and ER calculation'!$U$6,"y")=2,"2-3 years","3-4 years")</f>
        <v>2-3 years</v>
      </c>
      <c r="H845" s="69">
        <f t="shared" si="36"/>
        <v>1</v>
      </c>
      <c r="I845" s="142">
        <f>$C845*H845*_xlfn.XLOOKUP($G845,'Sample Size cal and results'!$B$25:$B$26,'Sample Size cal and results'!$D$25:$D$26)</f>
        <v>284.99406317728671</v>
      </c>
    </row>
    <row r="846" spans="1:9" ht="13">
      <c r="A846" s="131" t="s">
        <v>149</v>
      </c>
      <c r="B846" s="53">
        <v>42132</v>
      </c>
      <c r="C846" s="52">
        <v>242</v>
      </c>
      <c r="D846" s="72" t="str">
        <f>IF(DATEDIF($B846,'Inst summary and ER calculation'!$T$6,"y")=1,"1-2 years","2-3 years")</f>
        <v>1-2 years</v>
      </c>
      <c r="E846" s="69">
        <f t="shared" si="35"/>
        <v>0.58082191780821912</v>
      </c>
      <c r="F846" s="69">
        <f>$C846*E846*_xlfn.XLOOKUP($D846,'Sample Size cal and results'!$B$23:$B$24,'Sample Size cal and results'!$D$23:$D$24)</f>
        <v>146.77366280356151</v>
      </c>
      <c r="G846" s="72" t="str">
        <f>IF(DATEDIF($B846,'Inst summary and ER calculation'!$U$6,"y")=2,"2-3 years","3-4 years")</f>
        <v>2-3 years</v>
      </c>
      <c r="H846" s="69">
        <f t="shared" si="36"/>
        <v>1</v>
      </c>
      <c r="I846" s="142">
        <f>$C846*H846*_xlfn.XLOOKUP($G846,'Sample Size cal and results'!$B$25:$B$26,'Sample Size cal and results'!$D$25:$D$26)</f>
        <v>246.31629746036921</v>
      </c>
    </row>
    <row r="847" spans="1:9" ht="13">
      <c r="A847" s="131" t="s">
        <v>149</v>
      </c>
      <c r="B847" s="53">
        <v>42133</v>
      </c>
      <c r="C847" s="52">
        <v>279</v>
      </c>
      <c r="D847" s="72" t="str">
        <f>IF(DATEDIF($B847,'Inst summary and ER calculation'!$T$6,"y")=1,"1-2 years","2-3 years")</f>
        <v>1-2 years</v>
      </c>
      <c r="E847" s="69">
        <f t="shared" si="35"/>
        <v>0.58082191780821912</v>
      </c>
      <c r="F847" s="69">
        <f>$C847*E847*_xlfn.XLOOKUP($D847,'Sample Size cal and results'!$B$23:$B$24,'Sample Size cal and results'!$D$23:$D$24)</f>
        <v>169.21426414129613</v>
      </c>
      <c r="G847" s="72" t="str">
        <f>IF(DATEDIF($B847,'Inst summary and ER calculation'!$U$6,"y")=2,"2-3 years","3-4 years")</f>
        <v>2-3 years</v>
      </c>
      <c r="H847" s="69">
        <f t="shared" si="36"/>
        <v>1</v>
      </c>
      <c r="I847" s="142">
        <f>$C847*H847*_xlfn.XLOOKUP($G847,'Sample Size cal and results'!$B$25:$B$26,'Sample Size cal and results'!$D$25:$D$26)</f>
        <v>283.97622723736782</v>
      </c>
    </row>
    <row r="848" spans="1:9" ht="13">
      <c r="A848" s="131" t="s">
        <v>149</v>
      </c>
      <c r="B848" s="53">
        <v>42134</v>
      </c>
      <c r="C848" s="52">
        <v>323</v>
      </c>
      <c r="D848" s="72" t="str">
        <f>IF(DATEDIF($B848,'Inst summary and ER calculation'!$T$6,"y")=1,"1-2 years","2-3 years")</f>
        <v>1-2 years</v>
      </c>
      <c r="E848" s="69">
        <f t="shared" si="35"/>
        <v>0.58082191780821912</v>
      </c>
      <c r="F848" s="69">
        <f>$C848*E848*_xlfn.XLOOKUP($D848,'Sample Size cal and results'!$B$23:$B$24,'Sample Size cal and results'!$D$23:$D$24)</f>
        <v>195.90038465103456</v>
      </c>
      <c r="G848" s="72" t="str">
        <f>IF(DATEDIF($B848,'Inst summary and ER calculation'!$U$6,"y")=2,"2-3 years","3-4 years")</f>
        <v>2-3 years</v>
      </c>
      <c r="H848" s="69">
        <f t="shared" si="36"/>
        <v>1</v>
      </c>
      <c r="I848" s="142">
        <f>$C848*H848*_xlfn.XLOOKUP($G848,'Sample Size cal and results'!$B$25:$B$26,'Sample Size cal and results'!$D$25:$D$26)</f>
        <v>328.76100859379858</v>
      </c>
    </row>
    <row r="849" spans="1:9" ht="13">
      <c r="A849" s="131" t="s">
        <v>149</v>
      </c>
      <c r="B849" s="53">
        <v>42135</v>
      </c>
      <c r="C849" s="52">
        <v>252</v>
      </c>
      <c r="D849" s="72" t="str">
        <f>IF(DATEDIF($B849,'Inst summary and ER calculation'!$T$6,"y")=1,"1-2 years","2-3 years")</f>
        <v>1-2 years</v>
      </c>
      <c r="E849" s="69">
        <f t="shared" si="35"/>
        <v>0.58082191780821912</v>
      </c>
      <c r="F849" s="69">
        <f>$C849*E849*_xlfn.XLOOKUP($D849,'Sample Size cal and results'!$B$23:$B$24,'Sample Size cal and results'!$D$23:$D$24)</f>
        <v>152.83869019213842</v>
      </c>
      <c r="G849" s="72" t="str">
        <f>IF(DATEDIF($B849,'Inst summary and ER calculation'!$U$6,"y")=2,"2-3 years","3-4 years")</f>
        <v>2-3 years</v>
      </c>
      <c r="H849" s="69">
        <f t="shared" si="36"/>
        <v>1</v>
      </c>
      <c r="I849" s="142">
        <f>$C849*H849*_xlfn.XLOOKUP($G849,'Sample Size cal and results'!$B$25:$B$26,'Sample Size cal and results'!$D$25:$D$26)</f>
        <v>256.49465685955801</v>
      </c>
    </row>
    <row r="850" spans="1:9" ht="13">
      <c r="A850" s="131" t="s">
        <v>149</v>
      </c>
      <c r="B850" s="53">
        <v>42136</v>
      </c>
      <c r="C850" s="52">
        <v>322</v>
      </c>
      <c r="D850" s="72" t="str">
        <f>IF(DATEDIF($B850,'Inst summary and ER calculation'!$T$6,"y")=1,"1-2 years","2-3 years")</f>
        <v>1-2 years</v>
      </c>
      <c r="E850" s="69">
        <f t="shared" si="35"/>
        <v>0.58082191780821912</v>
      </c>
      <c r="F850" s="69">
        <f>$C850*E850*_xlfn.XLOOKUP($D850,'Sample Size cal and results'!$B$23:$B$24,'Sample Size cal and results'!$D$23:$D$24)</f>
        <v>195.29388191217689</v>
      </c>
      <c r="G850" s="72" t="str">
        <f>IF(DATEDIF($B850,'Inst summary and ER calculation'!$U$6,"y")=2,"2-3 years","3-4 years")</f>
        <v>2-3 years</v>
      </c>
      <c r="H850" s="69">
        <f t="shared" si="36"/>
        <v>1</v>
      </c>
      <c r="I850" s="142">
        <f>$C850*H850*_xlfn.XLOOKUP($G850,'Sample Size cal and results'!$B$25:$B$26,'Sample Size cal and results'!$D$25:$D$26)</f>
        <v>327.7431726538797</v>
      </c>
    </row>
    <row r="851" spans="1:9" ht="13">
      <c r="A851" s="131" t="s">
        <v>149</v>
      </c>
      <c r="B851" s="53">
        <v>42137</v>
      </c>
      <c r="C851" s="52">
        <v>270</v>
      </c>
      <c r="D851" s="72" t="str">
        <f>IF(DATEDIF($B851,'Inst summary and ER calculation'!$T$6,"y")=1,"1-2 years","2-3 years")</f>
        <v>1-2 years</v>
      </c>
      <c r="E851" s="69">
        <f t="shared" si="35"/>
        <v>0.58082191780821912</v>
      </c>
      <c r="F851" s="69">
        <f>$C851*E851*_xlfn.XLOOKUP($D851,'Sample Size cal and results'!$B$23:$B$24,'Sample Size cal and results'!$D$23:$D$24)</f>
        <v>163.75573949157689</v>
      </c>
      <c r="G851" s="72" t="str">
        <f>IF(DATEDIF($B851,'Inst summary and ER calculation'!$U$6,"y")=2,"2-3 years","3-4 years")</f>
        <v>2-3 years</v>
      </c>
      <c r="H851" s="69">
        <f t="shared" si="36"/>
        <v>1</v>
      </c>
      <c r="I851" s="142">
        <f>$C851*H851*_xlfn.XLOOKUP($G851,'Sample Size cal and results'!$B$25:$B$26,'Sample Size cal and results'!$D$25:$D$26)</f>
        <v>274.81570377809788</v>
      </c>
    </row>
    <row r="852" spans="1:9" ht="13">
      <c r="A852" s="131" t="s">
        <v>149</v>
      </c>
      <c r="B852" s="53">
        <v>42138</v>
      </c>
      <c r="C852" s="52">
        <v>297</v>
      </c>
      <c r="D852" s="72" t="str">
        <f>IF(DATEDIF($B852,'Inst summary and ER calculation'!$T$6,"y")=1,"1-2 years","2-3 years")</f>
        <v>1-2 years</v>
      </c>
      <c r="E852" s="69">
        <f t="shared" si="35"/>
        <v>0.58082191780821912</v>
      </c>
      <c r="F852" s="69">
        <f>$C852*E852*_xlfn.XLOOKUP($D852,'Sample Size cal and results'!$B$23:$B$24,'Sample Size cal and results'!$D$23:$D$24)</f>
        <v>180.1313134407346</v>
      </c>
      <c r="G852" s="72" t="str">
        <f>IF(DATEDIF($B852,'Inst summary and ER calculation'!$U$6,"y")=2,"2-3 years","3-4 years")</f>
        <v>2-3 years</v>
      </c>
      <c r="H852" s="69">
        <f t="shared" si="36"/>
        <v>1</v>
      </c>
      <c r="I852" s="142">
        <f>$C852*H852*_xlfn.XLOOKUP($G852,'Sample Size cal and results'!$B$25:$B$26,'Sample Size cal and results'!$D$25:$D$26)</f>
        <v>302.29727415590764</v>
      </c>
    </row>
    <row r="853" spans="1:9" ht="13">
      <c r="A853" s="131" t="s">
        <v>149</v>
      </c>
      <c r="B853" s="53">
        <v>42139</v>
      </c>
      <c r="C853" s="52">
        <v>3081</v>
      </c>
      <c r="D853" s="72" t="str">
        <f>IF(DATEDIF($B853,'Inst summary and ER calculation'!$T$6,"y")=1,"1-2 years","2-3 years")</f>
        <v>1-2 years</v>
      </c>
      <c r="E853" s="69">
        <f t="shared" si="35"/>
        <v>0.58082191780821912</v>
      </c>
      <c r="F853" s="69">
        <f>$C853*E853*_xlfn.XLOOKUP($D853,'Sample Size cal and results'!$B$23:$B$24,'Sample Size cal and results'!$D$23:$D$24)</f>
        <v>1868.6349384205496</v>
      </c>
      <c r="G853" s="72" t="str">
        <f>IF(DATEDIF($B853,'Inst summary and ER calculation'!$U$6,"y")=2,"2-3 years","3-4 years")</f>
        <v>2-3 years</v>
      </c>
      <c r="H853" s="69">
        <f t="shared" si="36"/>
        <v>1</v>
      </c>
      <c r="I853" s="142">
        <f>$C853*H853*_xlfn.XLOOKUP($G853,'Sample Size cal and results'!$B$25:$B$26,'Sample Size cal and results'!$D$25:$D$26)</f>
        <v>3135.9525308900725</v>
      </c>
    </row>
    <row r="854" spans="1:9" ht="13">
      <c r="A854" s="131" t="s">
        <v>149</v>
      </c>
      <c r="B854" s="53">
        <v>42140</v>
      </c>
      <c r="C854" s="52">
        <v>315</v>
      </c>
      <c r="D854" s="72" t="str">
        <f>IF(DATEDIF($B854,'Inst summary and ER calculation'!$T$6,"y")=1,"1-2 years","2-3 years")</f>
        <v>1-2 years</v>
      </c>
      <c r="E854" s="69">
        <f t="shared" si="35"/>
        <v>0.58082191780821912</v>
      </c>
      <c r="F854" s="69">
        <f>$C854*E854*_xlfn.XLOOKUP($D854,'Sample Size cal and results'!$B$23:$B$24,'Sample Size cal and results'!$D$23:$D$24)</f>
        <v>191.04836274017302</v>
      </c>
      <c r="G854" s="72" t="str">
        <f>IF(DATEDIF($B854,'Inst summary and ER calculation'!$U$6,"y")=2,"2-3 years","3-4 years")</f>
        <v>2-3 years</v>
      </c>
      <c r="H854" s="69">
        <f t="shared" si="36"/>
        <v>1</v>
      </c>
      <c r="I854" s="142">
        <f>$C854*H854*_xlfn.XLOOKUP($G854,'Sample Size cal and results'!$B$25:$B$26,'Sample Size cal and results'!$D$25:$D$26)</f>
        <v>320.61832107444752</v>
      </c>
    </row>
    <row r="855" spans="1:9" ht="13">
      <c r="A855" s="131" t="s">
        <v>149</v>
      </c>
      <c r="B855" s="53">
        <v>42141</v>
      </c>
      <c r="C855" s="52">
        <v>310</v>
      </c>
      <c r="D855" s="72" t="str">
        <f>IF(DATEDIF($B855,'Inst summary and ER calculation'!$T$6,"y")=1,"1-2 years","2-3 years")</f>
        <v>1-2 years</v>
      </c>
      <c r="E855" s="69">
        <f t="shared" si="35"/>
        <v>0.58082191780821912</v>
      </c>
      <c r="F855" s="69">
        <f>$C855*E855*_xlfn.XLOOKUP($D855,'Sample Size cal and results'!$B$23:$B$24,'Sample Size cal and results'!$D$23:$D$24)</f>
        <v>188.01584904588455</v>
      </c>
      <c r="G855" s="72" t="str">
        <f>IF(DATEDIF($B855,'Inst summary and ER calculation'!$U$6,"y")=2,"2-3 years","3-4 years")</f>
        <v>2-3 years</v>
      </c>
      <c r="H855" s="69">
        <f t="shared" si="36"/>
        <v>1</v>
      </c>
      <c r="I855" s="142">
        <f>$C855*H855*_xlfn.XLOOKUP($G855,'Sample Size cal and results'!$B$25:$B$26,'Sample Size cal and results'!$D$25:$D$26)</f>
        <v>315.52914137485311</v>
      </c>
    </row>
    <row r="856" spans="1:9" ht="13">
      <c r="A856" s="131" t="s">
        <v>149</v>
      </c>
      <c r="B856" s="53">
        <v>42142</v>
      </c>
      <c r="C856" s="52">
        <v>305</v>
      </c>
      <c r="D856" s="72" t="str">
        <f>IF(DATEDIF($B856,'Inst summary and ER calculation'!$T$6,"y")=1,"1-2 years","2-3 years")</f>
        <v>1-2 years</v>
      </c>
      <c r="E856" s="69">
        <f t="shared" si="35"/>
        <v>0.58082191780821912</v>
      </c>
      <c r="F856" s="69">
        <f>$C856*E856*_xlfn.XLOOKUP($D856,'Sample Size cal and results'!$B$23:$B$24,'Sample Size cal and results'!$D$23:$D$24)</f>
        <v>184.98333535159614</v>
      </c>
      <c r="G856" s="72" t="str">
        <f>IF(DATEDIF($B856,'Inst summary and ER calculation'!$U$6,"y")=2,"2-3 years","3-4 years")</f>
        <v>2-3 years</v>
      </c>
      <c r="H856" s="69">
        <f t="shared" si="36"/>
        <v>1</v>
      </c>
      <c r="I856" s="142">
        <f>$C856*H856*_xlfn.XLOOKUP($G856,'Sample Size cal and results'!$B$25:$B$26,'Sample Size cal and results'!$D$25:$D$26)</f>
        <v>310.4399616752587</v>
      </c>
    </row>
    <row r="857" spans="1:9" ht="13">
      <c r="A857" s="131" t="s">
        <v>149</v>
      </c>
      <c r="B857" s="53">
        <v>42143</v>
      </c>
      <c r="C857" s="52">
        <v>274</v>
      </c>
      <c r="D857" s="72" t="str">
        <f>IF(DATEDIF($B857,'Inst summary and ER calculation'!$T$6,"y")=1,"1-2 years","2-3 years")</f>
        <v>1-2 years</v>
      </c>
      <c r="E857" s="69">
        <f t="shared" si="35"/>
        <v>0.58082191780821912</v>
      </c>
      <c r="F857" s="69">
        <f>$C857*E857*_xlfn.XLOOKUP($D857,'Sample Size cal and results'!$B$23:$B$24,'Sample Size cal and results'!$D$23:$D$24)</f>
        <v>166.18175044700766</v>
      </c>
      <c r="G857" s="72" t="str">
        <f>IF(DATEDIF($B857,'Inst summary and ER calculation'!$U$6,"y")=2,"2-3 years","3-4 years")</f>
        <v>2-3 years</v>
      </c>
      <c r="H857" s="69">
        <f t="shared" si="36"/>
        <v>1</v>
      </c>
      <c r="I857" s="142">
        <f>$C857*H857*_xlfn.XLOOKUP($G857,'Sample Size cal and results'!$B$25:$B$26,'Sample Size cal and results'!$D$25:$D$26)</f>
        <v>278.88704753777341</v>
      </c>
    </row>
    <row r="858" spans="1:9" ht="13">
      <c r="A858" s="131" t="s">
        <v>149</v>
      </c>
      <c r="B858" s="53">
        <v>42144</v>
      </c>
      <c r="C858" s="52">
        <v>312</v>
      </c>
      <c r="D858" s="72" t="str">
        <f>IF(DATEDIF($B858,'Inst summary and ER calculation'!$T$6,"y")=1,"1-2 years","2-3 years")</f>
        <v>1-2 years</v>
      </c>
      <c r="E858" s="69">
        <f t="shared" si="35"/>
        <v>0.58082191780821912</v>
      </c>
      <c r="F858" s="69">
        <f>$C858*E858*_xlfn.XLOOKUP($D858,'Sample Size cal and results'!$B$23:$B$24,'Sample Size cal and results'!$D$23:$D$24)</f>
        <v>189.22885452359995</v>
      </c>
      <c r="G858" s="72" t="str">
        <f>IF(DATEDIF($B858,'Inst summary and ER calculation'!$U$6,"y")=2,"2-3 years","3-4 years")</f>
        <v>2-3 years</v>
      </c>
      <c r="H858" s="69">
        <f t="shared" si="36"/>
        <v>1</v>
      </c>
      <c r="I858" s="142">
        <f>$C858*H858*_xlfn.XLOOKUP($G858,'Sample Size cal and results'!$B$25:$B$26,'Sample Size cal and results'!$D$25:$D$26)</f>
        <v>317.56481325469088</v>
      </c>
    </row>
    <row r="859" spans="1:9" ht="13">
      <c r="A859" s="131" t="s">
        <v>149</v>
      </c>
      <c r="B859" s="53">
        <v>42145</v>
      </c>
      <c r="C859" s="52">
        <v>250</v>
      </c>
      <c r="D859" s="72" t="str">
        <f>IF(DATEDIF($B859,'Inst summary and ER calculation'!$T$6,"y")=1,"1-2 years","2-3 years")</f>
        <v>1-2 years</v>
      </c>
      <c r="E859" s="69">
        <f t="shared" si="35"/>
        <v>0.58082191780821912</v>
      </c>
      <c r="F859" s="69">
        <f>$C859*E859*_xlfn.XLOOKUP($D859,'Sample Size cal and results'!$B$23:$B$24,'Sample Size cal and results'!$D$23:$D$24)</f>
        <v>151.62568471442304</v>
      </c>
      <c r="G859" s="72" t="str">
        <f>IF(DATEDIF($B859,'Inst summary and ER calculation'!$U$6,"y")=2,"2-3 years","3-4 years")</f>
        <v>2-3 years</v>
      </c>
      <c r="H859" s="69">
        <f t="shared" si="36"/>
        <v>1</v>
      </c>
      <c r="I859" s="142">
        <f>$C859*H859*_xlfn.XLOOKUP($G859,'Sample Size cal and results'!$B$25:$B$26,'Sample Size cal and results'!$D$25:$D$26)</f>
        <v>254.45898497972024</v>
      </c>
    </row>
    <row r="860" spans="1:9" ht="13">
      <c r="A860" s="131" t="s">
        <v>149</v>
      </c>
      <c r="B860" s="53">
        <v>42146</v>
      </c>
      <c r="C860" s="52">
        <v>259</v>
      </c>
      <c r="D860" s="72" t="str">
        <f>IF(DATEDIF($B860,'Inst summary and ER calculation'!$T$6,"y")=1,"1-2 years","2-3 years")</f>
        <v>1-2 years</v>
      </c>
      <c r="E860" s="69">
        <f t="shared" si="35"/>
        <v>0.58082191780821912</v>
      </c>
      <c r="F860" s="69">
        <f>$C860*E860*_xlfn.XLOOKUP($D860,'Sample Size cal and results'!$B$23:$B$24,'Sample Size cal and results'!$D$23:$D$24)</f>
        <v>157.08420936414228</v>
      </c>
      <c r="G860" s="72" t="str">
        <f>IF(DATEDIF($B860,'Inst summary and ER calculation'!$U$6,"y")=2,"2-3 years","3-4 years")</f>
        <v>2-3 years</v>
      </c>
      <c r="H860" s="69">
        <f t="shared" si="36"/>
        <v>1</v>
      </c>
      <c r="I860" s="142">
        <f>$C860*H860*_xlfn.XLOOKUP($G860,'Sample Size cal and results'!$B$25:$B$26,'Sample Size cal and results'!$D$25:$D$26)</f>
        <v>263.61950843899018</v>
      </c>
    </row>
    <row r="861" spans="1:9" ht="13">
      <c r="A861" s="131" t="s">
        <v>149</v>
      </c>
      <c r="B861" s="53">
        <v>42147</v>
      </c>
      <c r="C861" s="52">
        <v>142</v>
      </c>
      <c r="D861" s="72" t="str">
        <f>IF(DATEDIF($B861,'Inst summary and ER calculation'!$T$6,"y")=1,"1-2 years","2-3 years")</f>
        <v>1-2 years</v>
      </c>
      <c r="E861" s="69">
        <f t="shared" ref="E861:E903" si="37">MAX(MIN($T$6)-MAX($T$5,$B861,_xlfn.XLOOKUP($A861,$W$1:$W$36,$X$1:$X$36))+1,0)/365</f>
        <v>0.58082191780821912</v>
      </c>
      <c r="F861" s="69">
        <f>$C861*E861*_xlfn.XLOOKUP($D861,'Sample Size cal and results'!$B$23:$B$24,'Sample Size cal and results'!$D$23:$D$24)</f>
        <v>86.123388917792298</v>
      </c>
      <c r="G861" s="72" t="str">
        <f>IF(DATEDIF($B861,'Inst summary and ER calculation'!$U$6,"y")=2,"2-3 years","3-4 years")</f>
        <v>2-3 years</v>
      </c>
      <c r="H861" s="69">
        <f t="shared" ref="H861:H903" si="38">MAX(MIN($U$6)-MAX($U$5,$B861,_xlfn.XLOOKUP($A861,$W$1:$W$36,$X$1:$X$36))+1,0)/365</f>
        <v>1</v>
      </c>
      <c r="I861" s="142">
        <f>$C861*H861*_xlfn.XLOOKUP($G861,'Sample Size cal and results'!$B$25:$B$26,'Sample Size cal and results'!$D$25:$D$26)</f>
        <v>144.53270346848109</v>
      </c>
    </row>
    <row r="862" spans="1:9" ht="13">
      <c r="A862" s="131" t="s">
        <v>150</v>
      </c>
      <c r="B862" s="53">
        <v>42147</v>
      </c>
      <c r="C862" s="52">
        <v>103</v>
      </c>
      <c r="D862" s="72" t="str">
        <f>IF(DATEDIF($B862,'Inst summary and ER calculation'!$T$6,"y")=1,"1-2 years","2-3 years")</f>
        <v>1-2 years</v>
      </c>
      <c r="E862" s="69">
        <f t="shared" si="37"/>
        <v>0.58082191780821912</v>
      </c>
      <c r="F862" s="69">
        <f>$C862*E862*_xlfn.XLOOKUP($D862,'Sample Size cal and results'!$B$23:$B$24,'Sample Size cal and results'!$D$23:$D$24)</f>
        <v>62.469782102342293</v>
      </c>
      <c r="G862" s="72" t="str">
        <f>IF(DATEDIF($B862,'Inst summary and ER calculation'!$U$6,"y")=2,"2-3 years","3-4 years")</f>
        <v>2-3 years</v>
      </c>
      <c r="H862" s="69">
        <f t="shared" si="38"/>
        <v>1</v>
      </c>
      <c r="I862" s="142">
        <f>$C862*H862*_xlfn.XLOOKUP($G862,'Sample Size cal and results'!$B$25:$B$26,'Sample Size cal and results'!$D$25:$D$26)</f>
        <v>104.83710181164474</v>
      </c>
    </row>
    <row r="863" spans="1:9" ht="13">
      <c r="A863" s="131" t="s">
        <v>150</v>
      </c>
      <c r="B863" s="53">
        <v>42148</v>
      </c>
      <c r="C863" s="52">
        <v>227</v>
      </c>
      <c r="D863" s="72" t="str">
        <f>IF(DATEDIF($B863,'Inst summary and ER calculation'!$T$6,"y")=1,"1-2 years","2-3 years")</f>
        <v>1-2 years</v>
      </c>
      <c r="E863" s="69">
        <f t="shared" si="37"/>
        <v>0.58082191780821912</v>
      </c>
      <c r="F863" s="69">
        <f>$C863*E863*_xlfn.XLOOKUP($D863,'Sample Size cal and results'!$B$23:$B$24,'Sample Size cal and results'!$D$23:$D$24)</f>
        <v>137.67612172069613</v>
      </c>
      <c r="G863" s="72" t="str">
        <f>IF(DATEDIF($B863,'Inst summary and ER calculation'!$U$6,"y")=2,"2-3 years","3-4 years")</f>
        <v>2-3 years</v>
      </c>
      <c r="H863" s="69">
        <f t="shared" si="38"/>
        <v>1</v>
      </c>
      <c r="I863" s="142">
        <f>$C863*H863*_xlfn.XLOOKUP($G863,'Sample Size cal and results'!$B$25:$B$26,'Sample Size cal and results'!$D$25:$D$26)</f>
        <v>231.04875836158598</v>
      </c>
    </row>
    <row r="864" spans="1:9" ht="13">
      <c r="A864" s="131" t="s">
        <v>150</v>
      </c>
      <c r="B864" s="53">
        <v>42149</v>
      </c>
      <c r="C864" s="52">
        <v>375</v>
      </c>
      <c r="D864" s="72" t="str">
        <f>IF(DATEDIF($B864,'Inst summary and ER calculation'!$T$6,"y")=1,"1-2 years","2-3 years")</f>
        <v>1-2 years</v>
      </c>
      <c r="E864" s="69">
        <f t="shared" si="37"/>
        <v>0.58082191780821912</v>
      </c>
      <c r="F864" s="69">
        <f>$C864*E864*_xlfn.XLOOKUP($D864,'Sample Size cal and results'!$B$23:$B$24,'Sample Size cal and results'!$D$23:$D$24)</f>
        <v>227.43852707163455</v>
      </c>
      <c r="G864" s="72" t="str">
        <f>IF(DATEDIF($B864,'Inst summary and ER calculation'!$U$6,"y")=2,"2-3 years","3-4 years")</f>
        <v>2-3 years</v>
      </c>
      <c r="H864" s="69">
        <f t="shared" si="38"/>
        <v>1</v>
      </c>
      <c r="I864" s="142">
        <f>$C864*H864*_xlfn.XLOOKUP($G864,'Sample Size cal and results'!$B$25:$B$26,'Sample Size cal and results'!$D$25:$D$26)</f>
        <v>381.68847746958039</v>
      </c>
    </row>
    <row r="865" spans="1:9" ht="13">
      <c r="A865" s="131" t="s">
        <v>150</v>
      </c>
      <c r="B865" s="53">
        <v>42150</v>
      </c>
      <c r="C865" s="52">
        <v>233</v>
      </c>
      <c r="D865" s="72" t="str">
        <f>IF(DATEDIF($B865,'Inst summary and ER calculation'!$T$6,"y")=1,"1-2 years","2-3 years")</f>
        <v>1-2 years</v>
      </c>
      <c r="E865" s="69">
        <f t="shared" si="37"/>
        <v>0.58082191780821912</v>
      </c>
      <c r="F865" s="69">
        <f>$C865*E865*_xlfn.XLOOKUP($D865,'Sample Size cal and results'!$B$23:$B$24,'Sample Size cal and results'!$D$23:$D$24)</f>
        <v>141.31513815384227</v>
      </c>
      <c r="G865" s="72" t="str">
        <f>IF(DATEDIF($B865,'Inst summary and ER calculation'!$U$6,"y")=2,"2-3 years","3-4 years")</f>
        <v>2-3 years</v>
      </c>
      <c r="H865" s="69">
        <f t="shared" si="38"/>
        <v>1</v>
      </c>
      <c r="I865" s="142">
        <f>$C865*H865*_xlfn.XLOOKUP($G865,'Sample Size cal and results'!$B$25:$B$26,'Sample Size cal and results'!$D$25:$D$26)</f>
        <v>237.15577400109927</v>
      </c>
    </row>
    <row r="866" spans="1:9" ht="13">
      <c r="A866" s="131" t="s">
        <v>150</v>
      </c>
      <c r="B866" s="53">
        <v>42151</v>
      </c>
      <c r="C866" s="52">
        <v>247</v>
      </c>
      <c r="D866" s="72" t="str">
        <f>IF(DATEDIF($B866,'Inst summary and ER calculation'!$T$6,"y")=1,"1-2 years","2-3 years")</f>
        <v>1-2 years</v>
      </c>
      <c r="E866" s="69">
        <f t="shared" si="37"/>
        <v>0.58082191780821912</v>
      </c>
      <c r="F866" s="69">
        <f>$C866*E866*_xlfn.XLOOKUP($D866,'Sample Size cal and results'!$B$23:$B$24,'Sample Size cal and results'!$D$23:$D$24)</f>
        <v>149.80617649784998</v>
      </c>
      <c r="G866" s="72" t="str">
        <f>IF(DATEDIF($B866,'Inst summary and ER calculation'!$U$6,"y")=2,"2-3 years","3-4 years")</f>
        <v>2-3 years</v>
      </c>
      <c r="H866" s="69">
        <f t="shared" si="38"/>
        <v>1</v>
      </c>
      <c r="I866" s="142">
        <f>$C866*H866*_xlfn.XLOOKUP($G866,'Sample Size cal and results'!$B$25:$B$26,'Sample Size cal and results'!$D$25:$D$26)</f>
        <v>251.4054771599636</v>
      </c>
    </row>
    <row r="867" spans="1:9" ht="13">
      <c r="A867" s="131" t="s">
        <v>150</v>
      </c>
      <c r="B867" s="53">
        <v>42152</v>
      </c>
      <c r="C867" s="52">
        <v>250</v>
      </c>
      <c r="D867" s="72" t="str">
        <f>IF(DATEDIF($B867,'Inst summary and ER calculation'!$T$6,"y")=1,"1-2 years","2-3 years")</f>
        <v>1-2 years</v>
      </c>
      <c r="E867" s="69">
        <f t="shared" si="37"/>
        <v>0.58082191780821912</v>
      </c>
      <c r="F867" s="69">
        <f>$C867*E867*_xlfn.XLOOKUP($D867,'Sample Size cal and results'!$B$23:$B$24,'Sample Size cal and results'!$D$23:$D$24)</f>
        <v>151.62568471442304</v>
      </c>
      <c r="G867" s="72" t="str">
        <f>IF(DATEDIF($B867,'Inst summary and ER calculation'!$U$6,"y")=2,"2-3 years","3-4 years")</f>
        <v>2-3 years</v>
      </c>
      <c r="H867" s="69">
        <f t="shared" si="38"/>
        <v>1</v>
      </c>
      <c r="I867" s="142">
        <f>$C867*H867*_xlfn.XLOOKUP($G867,'Sample Size cal and results'!$B$25:$B$26,'Sample Size cal and results'!$D$25:$D$26)</f>
        <v>254.45898497972024</v>
      </c>
    </row>
    <row r="868" spans="1:9" ht="13">
      <c r="A868" s="131" t="s">
        <v>150</v>
      </c>
      <c r="B868" s="53">
        <v>42153</v>
      </c>
      <c r="C868" s="52">
        <v>355</v>
      </c>
      <c r="D868" s="72" t="str">
        <f>IF(DATEDIF($B868,'Inst summary and ER calculation'!$T$6,"y")=1,"1-2 years","2-3 years")</f>
        <v>1-2 years</v>
      </c>
      <c r="E868" s="69">
        <f t="shared" si="37"/>
        <v>0.58082191780821912</v>
      </c>
      <c r="F868" s="69">
        <f>$C868*E868*_xlfn.XLOOKUP($D868,'Sample Size cal and results'!$B$23:$B$24,'Sample Size cal and results'!$D$23:$D$24)</f>
        <v>215.30847229448074</v>
      </c>
      <c r="G868" s="72" t="str">
        <f>IF(DATEDIF($B868,'Inst summary and ER calculation'!$U$6,"y")=2,"2-3 years","3-4 years")</f>
        <v>2-3 years</v>
      </c>
      <c r="H868" s="69">
        <f t="shared" si="38"/>
        <v>1</v>
      </c>
      <c r="I868" s="142">
        <f>$C868*H868*_xlfn.XLOOKUP($G868,'Sample Size cal and results'!$B$25:$B$26,'Sample Size cal and results'!$D$25:$D$26)</f>
        <v>361.33175867120275</v>
      </c>
    </row>
    <row r="869" spans="1:9" ht="13">
      <c r="A869" s="131" t="s">
        <v>150</v>
      </c>
      <c r="B869" s="53">
        <v>42154</v>
      </c>
      <c r="C869" s="52">
        <v>237</v>
      </c>
      <c r="D869" s="72" t="str">
        <f>IF(DATEDIF($B869,'Inst summary and ER calculation'!$T$6,"y")=1,"1-2 years","2-3 years")</f>
        <v>1-2 years</v>
      </c>
      <c r="E869" s="69">
        <f t="shared" si="37"/>
        <v>0.58082191780821912</v>
      </c>
      <c r="F869" s="69">
        <f>$C869*E869*_xlfn.XLOOKUP($D869,'Sample Size cal and results'!$B$23:$B$24,'Sample Size cal and results'!$D$23:$D$24)</f>
        <v>143.74114910927307</v>
      </c>
      <c r="G869" s="72" t="str">
        <f>IF(DATEDIF($B869,'Inst summary and ER calculation'!$U$6,"y")=2,"2-3 years","3-4 years")</f>
        <v>2-3 years</v>
      </c>
      <c r="H869" s="69">
        <f t="shared" si="38"/>
        <v>1</v>
      </c>
      <c r="I869" s="142">
        <f>$C869*H869*_xlfn.XLOOKUP($G869,'Sample Size cal and results'!$B$25:$B$26,'Sample Size cal and results'!$D$25:$D$26)</f>
        <v>241.2271177607748</v>
      </c>
    </row>
    <row r="870" spans="1:9" ht="13">
      <c r="A870" s="131" t="s">
        <v>151</v>
      </c>
      <c r="B870" s="53">
        <v>42154</v>
      </c>
      <c r="C870" s="52">
        <v>287</v>
      </c>
      <c r="D870" s="72" t="str">
        <f>IF(DATEDIF($B870,'Inst summary and ER calculation'!$T$6,"y")=1,"1-2 years","2-3 years")</f>
        <v>1-2 years</v>
      </c>
      <c r="E870" s="69">
        <f t="shared" si="37"/>
        <v>0.58082191780821912</v>
      </c>
      <c r="F870" s="69">
        <f>$C870*E870*_xlfn.XLOOKUP($D870,'Sample Size cal and results'!$B$23:$B$24,'Sample Size cal and results'!$D$23:$D$24)</f>
        <v>174.06628605215766</v>
      </c>
      <c r="G870" s="72" t="str">
        <f>IF(DATEDIF($B870,'Inst summary and ER calculation'!$U$6,"y")=2,"2-3 years","3-4 years")</f>
        <v>2-3 years</v>
      </c>
      <c r="H870" s="69">
        <f t="shared" si="38"/>
        <v>1</v>
      </c>
      <c r="I870" s="142">
        <f>$C870*H870*_xlfn.XLOOKUP($G870,'Sample Size cal and results'!$B$25:$B$26,'Sample Size cal and results'!$D$25:$D$26)</f>
        <v>292.11891475671882</v>
      </c>
    </row>
    <row r="871" spans="1:9" ht="13">
      <c r="A871" s="131" t="s">
        <v>152</v>
      </c>
      <c r="B871" s="53">
        <v>42154</v>
      </c>
      <c r="C871" s="52">
        <v>3</v>
      </c>
      <c r="D871" s="72" t="str">
        <f>IF(DATEDIF($B871,'Inst summary and ER calculation'!$T$6,"y")=1,"1-2 years","2-3 years")</f>
        <v>1-2 years</v>
      </c>
      <c r="E871" s="69">
        <f t="shared" si="37"/>
        <v>0.58082191780821912</v>
      </c>
      <c r="F871" s="69">
        <f>$C871*E871*_xlfn.XLOOKUP($D871,'Sample Size cal and results'!$B$23:$B$24,'Sample Size cal and results'!$D$23:$D$24)</f>
        <v>1.8195082165730767</v>
      </c>
      <c r="G871" s="72" t="str">
        <f>IF(DATEDIF($B871,'Inst summary and ER calculation'!$U$6,"y")=2,"2-3 years","3-4 years")</f>
        <v>2-3 years</v>
      </c>
      <c r="H871" s="69">
        <f t="shared" si="38"/>
        <v>1</v>
      </c>
      <c r="I871" s="142">
        <f>$C871*H871*_xlfn.XLOOKUP($G871,'Sample Size cal and results'!$B$25:$B$26,'Sample Size cal and results'!$D$25:$D$26)</f>
        <v>3.0535078197566428</v>
      </c>
    </row>
    <row r="872" spans="1:9" ht="13">
      <c r="A872" s="131" t="s">
        <v>152</v>
      </c>
      <c r="B872" s="53">
        <v>42155</v>
      </c>
      <c r="C872" s="52">
        <v>260</v>
      </c>
      <c r="D872" s="72" t="str">
        <f>IF(DATEDIF($B872,'Inst summary and ER calculation'!$T$6,"y")=1,"1-2 years","2-3 years")</f>
        <v>1-2 years</v>
      </c>
      <c r="E872" s="69">
        <f t="shared" si="37"/>
        <v>0.58082191780821912</v>
      </c>
      <c r="F872" s="69">
        <f>$C872*E872*_xlfn.XLOOKUP($D872,'Sample Size cal and results'!$B$23:$B$24,'Sample Size cal and results'!$D$23:$D$24)</f>
        <v>157.69071210299998</v>
      </c>
      <c r="G872" s="72" t="str">
        <f>IF(DATEDIF($B872,'Inst summary and ER calculation'!$U$6,"y")=2,"2-3 years","3-4 years")</f>
        <v>2-3 years</v>
      </c>
      <c r="H872" s="69">
        <f t="shared" si="38"/>
        <v>1</v>
      </c>
      <c r="I872" s="142">
        <f>$C872*H872*_xlfn.XLOOKUP($G872,'Sample Size cal and results'!$B$25:$B$26,'Sample Size cal and results'!$D$25:$D$26)</f>
        <v>264.63734437890906</v>
      </c>
    </row>
    <row r="873" spans="1:9" ht="13">
      <c r="A873" s="131" t="s">
        <v>152</v>
      </c>
      <c r="B873" s="53">
        <v>42156</v>
      </c>
      <c r="C873" s="52">
        <v>136</v>
      </c>
      <c r="D873" s="72" t="str">
        <f>IF(DATEDIF($B873,'Inst summary and ER calculation'!$T$6,"y")=1,"1-2 years","2-3 years")</f>
        <v>1-2 years</v>
      </c>
      <c r="E873" s="69">
        <f t="shared" si="37"/>
        <v>0.58082191780821912</v>
      </c>
      <c r="F873" s="69">
        <f>$C873*E873*_xlfn.XLOOKUP($D873,'Sample Size cal and results'!$B$23:$B$24,'Sample Size cal and results'!$D$23:$D$24)</f>
        <v>82.48437248464613</v>
      </c>
      <c r="G873" s="72" t="str">
        <f>IF(DATEDIF($B873,'Inst summary and ER calculation'!$U$6,"y")=2,"2-3 years","3-4 years")</f>
        <v>2-3 years</v>
      </c>
      <c r="H873" s="69">
        <f t="shared" si="38"/>
        <v>1</v>
      </c>
      <c r="I873" s="142">
        <f>$C873*H873*_xlfn.XLOOKUP($G873,'Sample Size cal and results'!$B$25:$B$26,'Sample Size cal and results'!$D$25:$D$26)</f>
        <v>138.42568782896782</v>
      </c>
    </row>
    <row r="874" spans="1:9" ht="13">
      <c r="A874" s="131" t="s">
        <v>152</v>
      </c>
      <c r="B874" s="53">
        <v>42157</v>
      </c>
      <c r="C874" s="52">
        <v>182</v>
      </c>
      <c r="D874" s="72" t="str">
        <f>IF(DATEDIF($B874,'Inst summary and ER calculation'!$T$6,"y")=1,"1-2 years","2-3 years")</f>
        <v>1-2 years</v>
      </c>
      <c r="E874" s="69">
        <f t="shared" si="37"/>
        <v>0.58082191780821912</v>
      </c>
      <c r="F874" s="69">
        <f>$C874*E874*_xlfn.XLOOKUP($D874,'Sample Size cal and results'!$B$23:$B$24,'Sample Size cal and results'!$D$23:$D$24)</f>
        <v>110.38349847209997</v>
      </c>
      <c r="G874" s="72" t="str">
        <f>IF(DATEDIF($B874,'Inst summary and ER calculation'!$U$6,"y")=2,"2-3 years","3-4 years")</f>
        <v>2-3 years</v>
      </c>
      <c r="H874" s="69">
        <f t="shared" si="38"/>
        <v>1</v>
      </c>
      <c r="I874" s="142">
        <f>$C874*H874*_xlfn.XLOOKUP($G874,'Sample Size cal and results'!$B$25:$B$26,'Sample Size cal and results'!$D$25:$D$26)</f>
        <v>185.24614106523634</v>
      </c>
    </row>
    <row r="875" spans="1:9" ht="13">
      <c r="A875" s="131" t="s">
        <v>152</v>
      </c>
      <c r="B875" s="53">
        <v>42158</v>
      </c>
      <c r="C875" s="52">
        <v>164</v>
      </c>
      <c r="D875" s="72" t="str">
        <f>IF(DATEDIF($B875,'Inst summary and ER calculation'!$T$6,"y")=1,"1-2 years","2-3 years")</f>
        <v>1-2 years</v>
      </c>
      <c r="E875" s="69">
        <f t="shared" si="37"/>
        <v>0.58082191780821912</v>
      </c>
      <c r="F875" s="69">
        <f>$C875*E875*_xlfn.XLOOKUP($D875,'Sample Size cal and results'!$B$23:$B$24,'Sample Size cal and results'!$D$23:$D$24)</f>
        <v>99.466449172661513</v>
      </c>
      <c r="G875" s="72" t="str">
        <f>IF(DATEDIF($B875,'Inst summary and ER calculation'!$U$6,"y")=2,"2-3 years","3-4 years")</f>
        <v>2-3 years</v>
      </c>
      <c r="H875" s="69">
        <f t="shared" si="38"/>
        <v>1</v>
      </c>
      <c r="I875" s="142">
        <f>$C875*H875*_xlfn.XLOOKUP($G875,'Sample Size cal and results'!$B$25:$B$26,'Sample Size cal and results'!$D$25:$D$26)</f>
        <v>166.92509414669649</v>
      </c>
    </row>
    <row r="876" spans="1:9" ht="13">
      <c r="A876" s="131" t="s">
        <v>152</v>
      </c>
      <c r="B876" s="53">
        <v>42159</v>
      </c>
      <c r="C876" s="52">
        <v>174</v>
      </c>
      <c r="D876" s="72" t="str">
        <f>IF(DATEDIF($B876,'Inst summary and ER calculation'!$T$6,"y")=1,"1-2 years","2-3 years")</f>
        <v>1-2 years</v>
      </c>
      <c r="E876" s="69">
        <f t="shared" si="37"/>
        <v>0.58082191780821912</v>
      </c>
      <c r="F876" s="69">
        <f>$C876*E876*_xlfn.XLOOKUP($D876,'Sample Size cal and results'!$B$23:$B$24,'Sample Size cal and results'!$D$23:$D$24)</f>
        <v>105.53147656123845</v>
      </c>
      <c r="G876" s="72" t="str">
        <f>IF(DATEDIF($B876,'Inst summary and ER calculation'!$U$6,"y")=2,"2-3 years","3-4 years")</f>
        <v>2-3 years</v>
      </c>
      <c r="H876" s="69">
        <f t="shared" si="38"/>
        <v>1</v>
      </c>
      <c r="I876" s="142">
        <f>$C876*H876*_xlfn.XLOOKUP($G876,'Sample Size cal and results'!$B$25:$B$26,'Sample Size cal and results'!$D$25:$D$26)</f>
        <v>177.10345354588529</v>
      </c>
    </row>
    <row r="877" spans="1:9" ht="13">
      <c r="A877" s="131" t="s">
        <v>152</v>
      </c>
      <c r="B877" s="53">
        <v>42160</v>
      </c>
      <c r="C877" s="52">
        <v>259</v>
      </c>
      <c r="D877" s="72" t="str">
        <f>IF(DATEDIF($B877,'Inst summary and ER calculation'!$T$6,"y")=1,"1-2 years","2-3 years")</f>
        <v>1-2 years</v>
      </c>
      <c r="E877" s="69">
        <f t="shared" si="37"/>
        <v>0.58082191780821912</v>
      </c>
      <c r="F877" s="69">
        <f>$C877*E877*_xlfn.XLOOKUP($D877,'Sample Size cal and results'!$B$23:$B$24,'Sample Size cal and results'!$D$23:$D$24)</f>
        <v>157.08420936414228</v>
      </c>
      <c r="G877" s="72" t="str">
        <f>IF(DATEDIF($B877,'Inst summary and ER calculation'!$U$6,"y")=2,"2-3 years","3-4 years")</f>
        <v>2-3 years</v>
      </c>
      <c r="H877" s="69">
        <f t="shared" si="38"/>
        <v>1</v>
      </c>
      <c r="I877" s="142">
        <f>$C877*H877*_xlfn.XLOOKUP($G877,'Sample Size cal and results'!$B$25:$B$26,'Sample Size cal and results'!$D$25:$D$26)</f>
        <v>263.61950843899018</v>
      </c>
    </row>
    <row r="878" spans="1:9" ht="13">
      <c r="A878" s="131" t="s">
        <v>152</v>
      </c>
      <c r="B878" s="53">
        <v>42161</v>
      </c>
      <c r="C878" s="52">
        <v>232</v>
      </c>
      <c r="D878" s="72" t="str">
        <f>IF(DATEDIF($B878,'Inst summary and ER calculation'!$T$6,"y")=1,"1-2 years","2-3 years")</f>
        <v>1-2 years</v>
      </c>
      <c r="E878" s="69">
        <f t="shared" si="37"/>
        <v>0.58082191780821912</v>
      </c>
      <c r="F878" s="69">
        <f>$C878*E878*_xlfn.XLOOKUP($D878,'Sample Size cal and results'!$B$23:$B$24,'Sample Size cal and results'!$D$23:$D$24)</f>
        <v>140.7086354149846</v>
      </c>
      <c r="G878" s="72" t="str">
        <f>IF(DATEDIF($B878,'Inst summary and ER calculation'!$U$6,"y")=2,"2-3 years","3-4 years")</f>
        <v>2-3 years</v>
      </c>
      <c r="H878" s="69">
        <f t="shared" si="38"/>
        <v>1</v>
      </c>
      <c r="I878" s="142">
        <f>$C878*H878*_xlfn.XLOOKUP($G878,'Sample Size cal and results'!$B$25:$B$26,'Sample Size cal and results'!$D$25:$D$26)</f>
        <v>236.13793806118039</v>
      </c>
    </row>
    <row r="879" spans="1:9" ht="13">
      <c r="A879" s="131" t="s">
        <v>152</v>
      </c>
      <c r="B879" s="53">
        <v>42162</v>
      </c>
      <c r="C879" s="52">
        <v>224</v>
      </c>
      <c r="D879" s="72" t="str">
        <f>IF(DATEDIF($B879,'Inst summary and ER calculation'!$T$6,"y")=1,"1-2 years","2-3 years")</f>
        <v>1-2 years</v>
      </c>
      <c r="E879" s="69">
        <f t="shared" si="37"/>
        <v>0.58082191780821912</v>
      </c>
      <c r="F879" s="69">
        <f>$C879*E879*_xlfn.XLOOKUP($D879,'Sample Size cal and results'!$B$23:$B$24,'Sample Size cal and results'!$D$23:$D$24)</f>
        <v>135.85661350412306</v>
      </c>
      <c r="G879" s="72" t="str">
        <f>IF(DATEDIF($B879,'Inst summary and ER calculation'!$U$6,"y")=2,"2-3 years","3-4 years")</f>
        <v>2-3 years</v>
      </c>
      <c r="H879" s="69">
        <f t="shared" si="38"/>
        <v>1</v>
      </c>
      <c r="I879" s="142">
        <f>$C879*H879*_xlfn.XLOOKUP($G879,'Sample Size cal and results'!$B$25:$B$26,'Sample Size cal and results'!$D$25:$D$26)</f>
        <v>227.99525054182934</v>
      </c>
    </row>
    <row r="880" spans="1:9" ht="13">
      <c r="A880" s="131" t="s">
        <v>152</v>
      </c>
      <c r="B880" s="53">
        <v>42163</v>
      </c>
      <c r="C880" s="52">
        <v>232</v>
      </c>
      <c r="D880" s="72" t="str">
        <f>IF(DATEDIF($B880,'Inst summary and ER calculation'!$T$6,"y")=1,"1-2 years","2-3 years")</f>
        <v>1-2 years</v>
      </c>
      <c r="E880" s="69">
        <f t="shared" si="37"/>
        <v>0.58082191780821912</v>
      </c>
      <c r="F880" s="69">
        <f>$C880*E880*_xlfn.XLOOKUP($D880,'Sample Size cal and results'!$B$23:$B$24,'Sample Size cal and results'!$D$23:$D$24)</f>
        <v>140.7086354149846</v>
      </c>
      <c r="G880" s="72" t="str">
        <f>IF(DATEDIF($B880,'Inst summary and ER calculation'!$U$6,"y")=2,"2-3 years","3-4 years")</f>
        <v>2-3 years</v>
      </c>
      <c r="H880" s="69">
        <f t="shared" si="38"/>
        <v>1</v>
      </c>
      <c r="I880" s="142">
        <f>$C880*H880*_xlfn.XLOOKUP($G880,'Sample Size cal and results'!$B$25:$B$26,'Sample Size cal and results'!$D$25:$D$26)</f>
        <v>236.13793806118039</v>
      </c>
    </row>
    <row r="881" spans="1:9" ht="13">
      <c r="A881" s="131" t="s">
        <v>152</v>
      </c>
      <c r="B881" s="53">
        <v>42164</v>
      </c>
      <c r="C881" s="52">
        <v>215</v>
      </c>
      <c r="D881" s="72" t="str">
        <f>IF(DATEDIF($B881,'Inst summary and ER calculation'!$T$6,"y")=1,"1-2 years","2-3 years")</f>
        <v>1-2 years</v>
      </c>
      <c r="E881" s="69">
        <f t="shared" si="37"/>
        <v>0.58082191780821912</v>
      </c>
      <c r="F881" s="69">
        <f>$C881*E881*_xlfn.XLOOKUP($D881,'Sample Size cal and results'!$B$23:$B$24,'Sample Size cal and results'!$D$23:$D$24)</f>
        <v>130.39808885440382</v>
      </c>
      <c r="G881" s="72" t="str">
        <f>IF(DATEDIF($B881,'Inst summary and ER calculation'!$U$6,"y")=2,"2-3 years","3-4 years")</f>
        <v>2-3 years</v>
      </c>
      <c r="H881" s="69">
        <f t="shared" si="38"/>
        <v>1</v>
      </c>
      <c r="I881" s="142">
        <f>$C881*H881*_xlfn.XLOOKUP($G881,'Sample Size cal and results'!$B$25:$B$26,'Sample Size cal and results'!$D$25:$D$26)</f>
        <v>218.83472708255943</v>
      </c>
    </row>
    <row r="882" spans="1:9" ht="13">
      <c r="A882" s="131" t="s">
        <v>152</v>
      </c>
      <c r="B882" s="53">
        <v>42165</v>
      </c>
      <c r="C882" s="52">
        <v>323</v>
      </c>
      <c r="D882" s="72" t="str">
        <f>IF(DATEDIF($B882,'Inst summary and ER calculation'!$T$6,"y")=1,"1-2 years","2-3 years")</f>
        <v>1-2 years</v>
      </c>
      <c r="E882" s="69">
        <f t="shared" si="37"/>
        <v>0.58082191780821912</v>
      </c>
      <c r="F882" s="69">
        <f>$C882*E882*_xlfn.XLOOKUP($D882,'Sample Size cal and results'!$B$23:$B$24,'Sample Size cal and results'!$D$23:$D$24)</f>
        <v>195.90038465103456</v>
      </c>
      <c r="G882" s="72" t="str">
        <f>IF(DATEDIF($B882,'Inst summary and ER calculation'!$U$6,"y")=2,"2-3 years","3-4 years")</f>
        <v>2-3 years</v>
      </c>
      <c r="H882" s="69">
        <f t="shared" si="38"/>
        <v>1</v>
      </c>
      <c r="I882" s="142">
        <f>$C882*H882*_xlfn.XLOOKUP($G882,'Sample Size cal and results'!$B$25:$B$26,'Sample Size cal and results'!$D$25:$D$26)</f>
        <v>328.76100859379858</v>
      </c>
    </row>
    <row r="883" spans="1:9" ht="13">
      <c r="A883" s="131" t="s">
        <v>152</v>
      </c>
      <c r="B883" s="53">
        <v>42166</v>
      </c>
      <c r="C883" s="52">
        <v>238</v>
      </c>
      <c r="D883" s="72" t="str">
        <f>IF(DATEDIF($B883,'Inst summary and ER calculation'!$T$6,"y")=1,"1-2 years","2-3 years")</f>
        <v>1-2 years</v>
      </c>
      <c r="E883" s="69">
        <f t="shared" si="37"/>
        <v>0.58082191780821912</v>
      </c>
      <c r="F883" s="69">
        <f>$C883*E883*_xlfn.XLOOKUP($D883,'Sample Size cal and results'!$B$23:$B$24,'Sample Size cal and results'!$D$23:$D$24)</f>
        <v>144.34765184813074</v>
      </c>
      <c r="G883" s="72" t="str">
        <f>IF(DATEDIF($B883,'Inst summary and ER calculation'!$U$6,"y")=2,"2-3 years","3-4 years")</f>
        <v>2-3 years</v>
      </c>
      <c r="H883" s="69">
        <f t="shared" si="38"/>
        <v>1</v>
      </c>
      <c r="I883" s="142">
        <f>$C883*H883*_xlfn.XLOOKUP($G883,'Sample Size cal and results'!$B$25:$B$26,'Sample Size cal and results'!$D$25:$D$26)</f>
        <v>242.24495370069369</v>
      </c>
    </row>
    <row r="884" spans="1:9" ht="13">
      <c r="A884" s="131" t="s">
        <v>152</v>
      </c>
      <c r="B884" s="53">
        <v>42167</v>
      </c>
      <c r="C884" s="52">
        <v>319</v>
      </c>
      <c r="D884" s="72" t="str">
        <f>IF(DATEDIF($B884,'Inst summary and ER calculation'!$T$6,"y")=1,"1-2 years","2-3 years")</f>
        <v>1-2 years</v>
      </c>
      <c r="E884" s="69">
        <f t="shared" si="37"/>
        <v>0.58082191780821912</v>
      </c>
      <c r="F884" s="69">
        <f>$C884*E884*_xlfn.XLOOKUP($D884,'Sample Size cal and results'!$B$23:$B$24,'Sample Size cal and results'!$D$23:$D$24)</f>
        <v>193.47437369560382</v>
      </c>
      <c r="G884" s="72" t="str">
        <f>IF(DATEDIF($B884,'Inst summary and ER calculation'!$U$6,"y")=2,"2-3 years","3-4 years")</f>
        <v>2-3 years</v>
      </c>
      <c r="H884" s="69">
        <f t="shared" si="38"/>
        <v>1</v>
      </c>
      <c r="I884" s="142">
        <f>$C884*H884*_xlfn.XLOOKUP($G884,'Sample Size cal and results'!$B$25:$B$26,'Sample Size cal and results'!$D$25:$D$26)</f>
        <v>324.68966483412305</v>
      </c>
    </row>
    <row r="885" spans="1:9" ht="13">
      <c r="A885" s="131" t="s">
        <v>152</v>
      </c>
      <c r="B885" s="53">
        <v>42168</v>
      </c>
      <c r="C885" s="52">
        <v>276</v>
      </c>
      <c r="D885" s="72" t="str">
        <f>IF(DATEDIF($B885,'Inst summary and ER calculation'!$T$6,"y")=1,"1-2 years","2-3 years")</f>
        <v>1-2 years</v>
      </c>
      <c r="E885" s="69">
        <f t="shared" si="37"/>
        <v>0.58082191780821912</v>
      </c>
      <c r="F885" s="69">
        <f>$C885*E885*_xlfn.XLOOKUP($D885,'Sample Size cal and results'!$B$23:$B$24,'Sample Size cal and results'!$D$23:$D$24)</f>
        <v>167.39475592472306</v>
      </c>
      <c r="G885" s="72" t="str">
        <f>IF(DATEDIF($B885,'Inst summary and ER calculation'!$U$6,"y")=2,"2-3 years","3-4 years")</f>
        <v>2-3 years</v>
      </c>
      <c r="H885" s="69">
        <f t="shared" si="38"/>
        <v>1</v>
      </c>
      <c r="I885" s="142">
        <f>$C885*H885*_xlfn.XLOOKUP($G885,'Sample Size cal and results'!$B$25:$B$26,'Sample Size cal and results'!$D$25:$D$26)</f>
        <v>280.92271941761118</v>
      </c>
    </row>
    <row r="886" spans="1:9" ht="13">
      <c r="A886" s="131" t="s">
        <v>152</v>
      </c>
      <c r="B886" s="53">
        <v>42169</v>
      </c>
      <c r="C886" s="52">
        <v>256</v>
      </c>
      <c r="D886" s="72" t="str">
        <f>IF(DATEDIF($B886,'Inst summary and ER calculation'!$T$6,"y")=1,"1-2 years","2-3 years")</f>
        <v>1-2 years</v>
      </c>
      <c r="E886" s="69">
        <f t="shared" si="37"/>
        <v>0.58082191780821912</v>
      </c>
      <c r="F886" s="69">
        <f>$C886*E886*_xlfn.XLOOKUP($D886,'Sample Size cal and results'!$B$23:$B$24,'Sample Size cal and results'!$D$23:$D$24)</f>
        <v>155.26470114756921</v>
      </c>
      <c r="G886" s="72" t="str">
        <f>IF(DATEDIF($B886,'Inst summary and ER calculation'!$U$6,"y")=2,"2-3 years","3-4 years")</f>
        <v>2-3 years</v>
      </c>
      <c r="H886" s="69">
        <f t="shared" si="38"/>
        <v>1</v>
      </c>
      <c r="I886" s="142">
        <f>$C886*H886*_xlfn.XLOOKUP($G886,'Sample Size cal and results'!$B$25:$B$26,'Sample Size cal and results'!$D$25:$D$26)</f>
        <v>260.56600061923353</v>
      </c>
    </row>
    <row r="887" spans="1:9" ht="13">
      <c r="A887" s="131" t="s">
        <v>152</v>
      </c>
      <c r="B887" s="53">
        <v>42170</v>
      </c>
      <c r="C887" s="52">
        <v>2650</v>
      </c>
      <c r="D887" s="72" t="str">
        <f>IF(DATEDIF($B887,'Inst summary and ER calculation'!$T$6,"y")=1,"1-2 years","2-3 years")</f>
        <v>1-2 years</v>
      </c>
      <c r="E887" s="69">
        <f t="shared" si="37"/>
        <v>0.58082191780821912</v>
      </c>
      <c r="F887" s="69">
        <f>$C887*E887*_xlfn.XLOOKUP($D887,'Sample Size cal and results'!$B$23:$B$24,'Sample Size cal and results'!$D$23:$D$24)</f>
        <v>1607.2322579728843</v>
      </c>
      <c r="G887" s="72" t="str">
        <f>IF(DATEDIF($B887,'Inst summary and ER calculation'!$U$6,"y")=2,"2-3 years","3-4 years")</f>
        <v>2-3 years</v>
      </c>
      <c r="H887" s="69">
        <f t="shared" si="38"/>
        <v>1</v>
      </c>
      <c r="I887" s="142">
        <f>$C887*H887*_xlfn.XLOOKUP($G887,'Sample Size cal and results'!$B$25:$B$26,'Sample Size cal and results'!$D$25:$D$26)</f>
        <v>2697.2652407850346</v>
      </c>
    </row>
    <row r="888" spans="1:9" ht="13">
      <c r="A888" s="131" t="s">
        <v>152</v>
      </c>
      <c r="B888" s="53">
        <v>42171</v>
      </c>
      <c r="C888" s="52">
        <v>280</v>
      </c>
      <c r="D888" s="72" t="str">
        <f>IF(DATEDIF($B888,'Inst summary and ER calculation'!$T$6,"y")=1,"1-2 years","2-3 years")</f>
        <v>1-2 years</v>
      </c>
      <c r="E888" s="69">
        <f t="shared" si="37"/>
        <v>0.58082191780821912</v>
      </c>
      <c r="F888" s="69">
        <f>$C888*E888*_xlfn.XLOOKUP($D888,'Sample Size cal and results'!$B$23:$B$24,'Sample Size cal and results'!$D$23:$D$24)</f>
        <v>169.8207668801538</v>
      </c>
      <c r="G888" s="72" t="str">
        <f>IF(DATEDIF($B888,'Inst summary and ER calculation'!$U$6,"y")=2,"2-3 years","3-4 years")</f>
        <v>2-3 years</v>
      </c>
      <c r="H888" s="69">
        <f t="shared" si="38"/>
        <v>1</v>
      </c>
      <c r="I888" s="142">
        <f>$C888*H888*_xlfn.XLOOKUP($G888,'Sample Size cal and results'!$B$25:$B$26,'Sample Size cal and results'!$D$25:$D$26)</f>
        <v>284.99406317728671</v>
      </c>
    </row>
    <row r="889" spans="1:9" ht="13">
      <c r="A889" s="131" t="s">
        <v>152</v>
      </c>
      <c r="B889" s="53">
        <v>42172</v>
      </c>
      <c r="C889" s="52">
        <v>264</v>
      </c>
      <c r="D889" s="72" t="str">
        <f>IF(DATEDIF($B889,'Inst summary and ER calculation'!$T$6,"y")=1,"1-2 years","2-3 years")</f>
        <v>1-2 years</v>
      </c>
      <c r="E889" s="69">
        <f t="shared" si="37"/>
        <v>0.58082191780821912</v>
      </c>
      <c r="F889" s="69">
        <f>$C889*E889*_xlfn.XLOOKUP($D889,'Sample Size cal and results'!$B$23:$B$24,'Sample Size cal and results'!$D$23:$D$24)</f>
        <v>160.11672305843072</v>
      </c>
      <c r="G889" s="72" t="str">
        <f>IF(DATEDIF($B889,'Inst summary and ER calculation'!$U$6,"y")=2,"2-3 years","3-4 years")</f>
        <v>2-3 years</v>
      </c>
      <c r="H889" s="69">
        <f t="shared" si="38"/>
        <v>1</v>
      </c>
      <c r="I889" s="142">
        <f>$C889*H889*_xlfn.XLOOKUP($G889,'Sample Size cal and results'!$B$25:$B$26,'Sample Size cal and results'!$D$25:$D$26)</f>
        <v>268.70868813858459</v>
      </c>
    </row>
    <row r="890" spans="1:9" ht="13">
      <c r="A890" s="131" t="s">
        <v>152</v>
      </c>
      <c r="B890" s="53">
        <v>42173</v>
      </c>
      <c r="C890" s="52">
        <v>285</v>
      </c>
      <c r="D890" s="72" t="str">
        <f>IF(DATEDIF($B890,'Inst summary and ER calculation'!$T$6,"y")=1,"1-2 years","2-3 years")</f>
        <v>1-2 years</v>
      </c>
      <c r="E890" s="69">
        <f t="shared" si="37"/>
        <v>0.58082191780821912</v>
      </c>
      <c r="F890" s="69">
        <f>$C890*E890*_xlfn.XLOOKUP($D890,'Sample Size cal and results'!$B$23:$B$24,'Sample Size cal and results'!$D$23:$D$24)</f>
        <v>172.85328057444227</v>
      </c>
      <c r="G890" s="72" t="str">
        <f>IF(DATEDIF($B890,'Inst summary and ER calculation'!$U$6,"y")=2,"2-3 years","3-4 years")</f>
        <v>2-3 years</v>
      </c>
      <c r="H890" s="69">
        <f t="shared" si="38"/>
        <v>1</v>
      </c>
      <c r="I890" s="142">
        <f>$C890*H890*_xlfn.XLOOKUP($G890,'Sample Size cal and results'!$B$25:$B$26,'Sample Size cal and results'!$D$25:$D$26)</f>
        <v>290.08324287688106</v>
      </c>
    </row>
    <row r="891" spans="1:9" ht="13">
      <c r="A891" s="131" t="s">
        <v>152</v>
      </c>
      <c r="B891" s="53">
        <v>42174</v>
      </c>
      <c r="C891" s="52">
        <v>229</v>
      </c>
      <c r="D891" s="72" t="str">
        <f>IF(DATEDIF($B891,'Inst summary and ER calculation'!$T$6,"y")=1,"1-2 years","2-3 years")</f>
        <v>1-2 years</v>
      </c>
      <c r="E891" s="69">
        <f t="shared" si="37"/>
        <v>0.58082191780821912</v>
      </c>
      <c r="F891" s="69">
        <f>$C891*E891*_xlfn.XLOOKUP($D891,'Sample Size cal and results'!$B$23:$B$24,'Sample Size cal and results'!$D$23:$D$24)</f>
        <v>138.88912719841153</v>
      </c>
      <c r="G891" s="72" t="str">
        <f>IF(DATEDIF($B891,'Inst summary and ER calculation'!$U$6,"y")=2,"2-3 years","3-4 years")</f>
        <v>2-3 years</v>
      </c>
      <c r="H891" s="69">
        <f t="shared" si="38"/>
        <v>1</v>
      </c>
      <c r="I891" s="142">
        <f>$C891*H891*_xlfn.XLOOKUP($G891,'Sample Size cal and results'!$B$25:$B$26,'Sample Size cal and results'!$D$25:$D$26)</f>
        <v>233.08443024142375</v>
      </c>
    </row>
    <row r="892" spans="1:9" ht="13">
      <c r="A892" s="131" t="s">
        <v>152</v>
      </c>
      <c r="B892" s="53">
        <v>42175</v>
      </c>
      <c r="C892" s="52">
        <v>555</v>
      </c>
      <c r="D892" s="72" t="str">
        <f>IF(DATEDIF($B892,'Inst summary and ER calculation'!$T$6,"y")=1,"1-2 years","2-3 years")</f>
        <v>1-2 years</v>
      </c>
      <c r="E892" s="69">
        <f t="shared" si="37"/>
        <v>0.58082191780821912</v>
      </c>
      <c r="F892" s="69">
        <f>$C892*E892*_xlfn.XLOOKUP($D892,'Sample Size cal and results'!$B$23:$B$24,'Sample Size cal and results'!$D$23:$D$24)</f>
        <v>336.60902006601918</v>
      </c>
      <c r="G892" s="72" t="str">
        <f>IF(DATEDIF($B892,'Inst summary and ER calculation'!$U$6,"y")=2,"2-3 years","3-4 years")</f>
        <v>2-3 years</v>
      </c>
      <c r="H892" s="69">
        <f t="shared" si="38"/>
        <v>1</v>
      </c>
      <c r="I892" s="142">
        <f>$C892*H892*_xlfn.XLOOKUP($G892,'Sample Size cal and results'!$B$25:$B$26,'Sample Size cal and results'!$D$25:$D$26)</f>
        <v>564.898946654979</v>
      </c>
    </row>
    <row r="893" spans="1:9" ht="13">
      <c r="A893" s="131" t="s">
        <v>152</v>
      </c>
      <c r="B893" s="53">
        <v>42176</v>
      </c>
      <c r="C893" s="52">
        <v>240</v>
      </c>
      <c r="D893" s="72" t="str">
        <f>IF(DATEDIF($B893,'Inst summary and ER calculation'!$T$6,"y")=1,"1-2 years","2-3 years")</f>
        <v>1-2 years</v>
      </c>
      <c r="E893" s="69">
        <f t="shared" si="37"/>
        <v>0.58082191780821912</v>
      </c>
      <c r="F893" s="69">
        <f>$C893*E893*_xlfn.XLOOKUP($D893,'Sample Size cal and results'!$B$23:$B$24,'Sample Size cal and results'!$D$23:$D$24)</f>
        <v>145.56065732584614</v>
      </c>
      <c r="G893" s="72" t="str">
        <f>IF(DATEDIF($B893,'Inst summary and ER calculation'!$U$6,"y")=2,"2-3 years","3-4 years")</f>
        <v>2-3 years</v>
      </c>
      <c r="H893" s="69">
        <f t="shared" si="38"/>
        <v>1</v>
      </c>
      <c r="I893" s="142">
        <f>$C893*H893*_xlfn.XLOOKUP($G893,'Sample Size cal and results'!$B$25:$B$26,'Sample Size cal and results'!$D$25:$D$26)</f>
        <v>244.28062558053145</v>
      </c>
    </row>
    <row r="894" spans="1:9" ht="13">
      <c r="A894" s="131" t="s">
        <v>152</v>
      </c>
      <c r="B894" s="53">
        <v>42177</v>
      </c>
      <c r="C894" s="52">
        <v>1069</v>
      </c>
      <c r="D894" s="72" t="str">
        <f>IF(DATEDIF($B894,'Inst summary and ER calculation'!$T$6,"y")=1,"1-2 years","2-3 years")</f>
        <v>1-2 years</v>
      </c>
      <c r="E894" s="69">
        <f t="shared" si="37"/>
        <v>0.58082191780821912</v>
      </c>
      <c r="F894" s="69">
        <f>$C894*E894*_xlfn.XLOOKUP($D894,'Sample Size cal and results'!$B$23:$B$24,'Sample Size cal and results'!$D$23:$D$24)</f>
        <v>648.35142783887295</v>
      </c>
      <c r="G894" s="72" t="str">
        <f>IF(DATEDIF($B894,'Inst summary and ER calculation'!$U$6,"y")=2,"2-3 years","3-4 years")</f>
        <v>2-3 years</v>
      </c>
      <c r="H894" s="69">
        <f t="shared" si="38"/>
        <v>1</v>
      </c>
      <c r="I894" s="142">
        <f>$C894*H894*_xlfn.XLOOKUP($G894,'Sample Size cal and results'!$B$25:$B$26,'Sample Size cal and results'!$D$25:$D$26)</f>
        <v>1088.0666197732837</v>
      </c>
    </row>
    <row r="895" spans="1:9" ht="13">
      <c r="A895" s="131" t="s">
        <v>152</v>
      </c>
      <c r="B895" s="53">
        <v>42178</v>
      </c>
      <c r="C895" s="52">
        <v>127</v>
      </c>
      <c r="D895" s="72" t="str">
        <f>IF(DATEDIF($B895,'Inst summary and ER calculation'!$T$6,"y")=1,"1-2 years","2-3 years")</f>
        <v>1-2 years</v>
      </c>
      <c r="E895" s="69">
        <f t="shared" si="37"/>
        <v>0.58082191780821912</v>
      </c>
      <c r="F895" s="69">
        <f>$C895*E895*_xlfn.XLOOKUP($D895,'Sample Size cal and results'!$B$23:$B$24,'Sample Size cal and results'!$D$23:$D$24)</f>
        <v>77.025847834926907</v>
      </c>
      <c r="G895" s="72" t="str">
        <f>IF(DATEDIF($B895,'Inst summary and ER calculation'!$U$6,"y")=2,"2-3 years","3-4 years")</f>
        <v>2-3 years</v>
      </c>
      <c r="H895" s="69">
        <f t="shared" si="38"/>
        <v>1</v>
      </c>
      <c r="I895" s="142">
        <f>$C895*H895*_xlfn.XLOOKUP($G895,'Sample Size cal and results'!$B$25:$B$26,'Sample Size cal and results'!$D$25:$D$26)</f>
        <v>129.26516436969789</v>
      </c>
    </row>
    <row r="896" spans="1:9" ht="13">
      <c r="A896" s="131" t="s">
        <v>153</v>
      </c>
      <c r="B896" s="53">
        <v>42178</v>
      </c>
      <c r="C896" s="52">
        <v>102</v>
      </c>
      <c r="D896" s="72" t="str">
        <f>IF(DATEDIF($B896,'Inst summary and ER calculation'!$T$6,"y")=1,"1-2 years","2-3 years")</f>
        <v>1-2 years</v>
      </c>
      <c r="E896" s="69">
        <f t="shared" si="37"/>
        <v>0.58082191780821912</v>
      </c>
      <c r="F896" s="69">
        <f>$C896*E896*_xlfn.XLOOKUP($D896,'Sample Size cal and results'!$B$23:$B$24,'Sample Size cal and results'!$D$23:$D$24)</f>
        <v>61.863279363484608</v>
      </c>
      <c r="G896" s="72" t="str">
        <f>IF(DATEDIF($B896,'Inst summary and ER calculation'!$U$6,"y")=2,"2-3 years","3-4 years")</f>
        <v>2-3 years</v>
      </c>
      <c r="H896" s="69">
        <f t="shared" si="38"/>
        <v>1</v>
      </c>
      <c r="I896" s="142">
        <f>$C896*H896*_xlfn.XLOOKUP($G896,'Sample Size cal and results'!$B$25:$B$26,'Sample Size cal and results'!$D$25:$D$26)</f>
        <v>103.81926587172586</v>
      </c>
    </row>
    <row r="897" spans="1:9" ht="13">
      <c r="A897" s="131" t="s">
        <v>153</v>
      </c>
      <c r="B897" s="53">
        <v>42179</v>
      </c>
      <c r="C897" s="52">
        <v>210</v>
      </c>
      <c r="D897" s="72" t="str">
        <f>IF(DATEDIF($B897,'Inst summary and ER calculation'!$T$6,"y")=1,"1-2 years","2-3 years")</f>
        <v>1-2 years</v>
      </c>
      <c r="E897" s="69">
        <f t="shared" si="37"/>
        <v>0.58082191780821912</v>
      </c>
      <c r="F897" s="69">
        <f>$C897*E897*_xlfn.XLOOKUP($D897,'Sample Size cal and results'!$B$23:$B$24,'Sample Size cal and results'!$D$23:$D$24)</f>
        <v>127.36557516011536</v>
      </c>
      <c r="G897" s="72" t="str">
        <f>IF(DATEDIF($B897,'Inst summary and ER calculation'!$U$6,"y")=2,"2-3 years","3-4 years")</f>
        <v>2-3 years</v>
      </c>
      <c r="H897" s="69">
        <f t="shared" si="38"/>
        <v>1</v>
      </c>
      <c r="I897" s="142">
        <f>$C897*H897*_xlfn.XLOOKUP($G897,'Sample Size cal and results'!$B$25:$B$26,'Sample Size cal and results'!$D$25:$D$26)</f>
        <v>213.74554738296501</v>
      </c>
    </row>
    <row r="898" spans="1:9" ht="13">
      <c r="A898" s="131" t="s">
        <v>153</v>
      </c>
      <c r="B898" s="53">
        <v>42180</v>
      </c>
      <c r="C898" s="52">
        <v>310</v>
      </c>
      <c r="D898" s="72" t="str">
        <f>IF(DATEDIF($B898,'Inst summary and ER calculation'!$T$6,"y")=1,"1-2 years","2-3 years")</f>
        <v>1-2 years</v>
      </c>
      <c r="E898" s="69">
        <f t="shared" si="37"/>
        <v>0.58082191780821912</v>
      </c>
      <c r="F898" s="69">
        <f>$C898*E898*_xlfn.XLOOKUP($D898,'Sample Size cal and results'!$B$23:$B$24,'Sample Size cal and results'!$D$23:$D$24)</f>
        <v>188.01584904588455</v>
      </c>
      <c r="G898" s="72" t="str">
        <f>IF(DATEDIF($B898,'Inst summary and ER calculation'!$U$6,"y")=2,"2-3 years","3-4 years")</f>
        <v>2-3 years</v>
      </c>
      <c r="H898" s="69">
        <f t="shared" si="38"/>
        <v>1</v>
      </c>
      <c r="I898" s="142">
        <f>$C898*H898*_xlfn.XLOOKUP($G898,'Sample Size cal and results'!$B$25:$B$26,'Sample Size cal and results'!$D$25:$D$26)</f>
        <v>315.52914137485311</v>
      </c>
    </row>
    <row r="899" spans="1:9" ht="13">
      <c r="A899" s="131" t="s">
        <v>153</v>
      </c>
      <c r="B899" s="53">
        <v>42181</v>
      </c>
      <c r="C899" s="52">
        <v>183</v>
      </c>
      <c r="D899" s="72" t="str">
        <f>IF(DATEDIF($B899,'Inst summary and ER calculation'!$T$6,"y")=1,"1-2 years","2-3 years")</f>
        <v>1-2 years</v>
      </c>
      <c r="E899" s="69">
        <f t="shared" si="37"/>
        <v>0.58082191780821912</v>
      </c>
      <c r="F899" s="69">
        <f>$C899*E899*_xlfn.XLOOKUP($D899,'Sample Size cal and results'!$B$23:$B$24,'Sample Size cal and results'!$D$23:$D$24)</f>
        <v>110.99000121095767</v>
      </c>
      <c r="G899" s="72" t="str">
        <f>IF(DATEDIF($B899,'Inst summary and ER calculation'!$U$6,"y")=2,"2-3 years","3-4 years")</f>
        <v>2-3 years</v>
      </c>
      <c r="H899" s="69">
        <f t="shared" si="38"/>
        <v>1</v>
      </c>
      <c r="I899" s="142">
        <f>$C899*H899*_xlfn.XLOOKUP($G899,'Sample Size cal and results'!$B$25:$B$26,'Sample Size cal and results'!$D$25:$D$26)</f>
        <v>186.26397700515523</v>
      </c>
    </row>
    <row r="900" spans="1:9" ht="13">
      <c r="A900" s="131" t="s">
        <v>153</v>
      </c>
      <c r="B900" s="53">
        <v>42182</v>
      </c>
      <c r="C900" s="52">
        <v>266</v>
      </c>
      <c r="D900" s="72" t="str">
        <f>IF(DATEDIF($B900,'Inst summary and ER calculation'!$T$6,"y")=1,"1-2 years","2-3 years")</f>
        <v>1-2 years</v>
      </c>
      <c r="E900" s="69">
        <f t="shared" si="37"/>
        <v>0.58082191780821912</v>
      </c>
      <c r="F900" s="69">
        <f>$C900*E900*_xlfn.XLOOKUP($D900,'Sample Size cal and results'!$B$23:$B$24,'Sample Size cal and results'!$D$23:$D$24)</f>
        <v>161.32972853614612</v>
      </c>
      <c r="G900" s="72" t="str">
        <f>IF(DATEDIF($B900,'Inst summary and ER calculation'!$U$6,"y")=2,"2-3 years","3-4 years")</f>
        <v>2-3 years</v>
      </c>
      <c r="H900" s="69">
        <f t="shared" si="38"/>
        <v>1</v>
      </c>
      <c r="I900" s="142">
        <f>$C900*H900*_xlfn.XLOOKUP($G900,'Sample Size cal and results'!$B$25:$B$26,'Sample Size cal and results'!$D$25:$D$26)</f>
        <v>270.74436001842236</v>
      </c>
    </row>
    <row r="901" spans="1:9" ht="13">
      <c r="A901" s="131" t="s">
        <v>153</v>
      </c>
      <c r="B901" s="53">
        <v>42183</v>
      </c>
      <c r="C901" s="52">
        <v>1888</v>
      </c>
      <c r="D901" s="72" t="str">
        <f>IF(DATEDIF($B901,'Inst summary and ER calculation'!$T$6,"y")=1,"1-2 years","2-3 years")</f>
        <v>1-2 years</v>
      </c>
      <c r="E901" s="69">
        <f t="shared" si="37"/>
        <v>0.58082191780821912</v>
      </c>
      <c r="F901" s="69">
        <f>$C901*E901*_xlfn.XLOOKUP($D901,'Sample Size cal and results'!$B$23:$B$24,'Sample Size cal and results'!$D$23:$D$24)</f>
        <v>1145.0771709633227</v>
      </c>
      <c r="G901" s="72" t="str">
        <f>IF(DATEDIF($B901,'Inst summary and ER calculation'!$U$6,"y")=2,"2-3 years","3-4 years")</f>
        <v>2-3 years</v>
      </c>
      <c r="H901" s="69">
        <f t="shared" si="38"/>
        <v>1</v>
      </c>
      <c r="I901" s="142">
        <f>$C901*H901*_xlfn.XLOOKUP($G901,'Sample Size cal and results'!$B$25:$B$26,'Sample Size cal and results'!$D$25:$D$26)</f>
        <v>1921.6742545668474</v>
      </c>
    </row>
    <row r="902" spans="1:9" ht="13">
      <c r="A902" s="131" t="s">
        <v>153</v>
      </c>
      <c r="B902" s="53">
        <v>42184</v>
      </c>
      <c r="C902" s="52">
        <v>6010</v>
      </c>
      <c r="D902" s="72" t="str">
        <f>IF(DATEDIF($B902,'Inst summary and ER calculation'!$T$6,"y")=1,"1-2 years","2-3 years")</f>
        <v>1-2 years</v>
      </c>
      <c r="E902" s="69">
        <f t="shared" si="37"/>
        <v>0.58082191780821912</v>
      </c>
      <c r="F902" s="69">
        <f>$C902*E902*_xlfn.XLOOKUP($D902,'Sample Size cal and results'!$B$23:$B$24,'Sample Size cal and results'!$D$23:$D$24)</f>
        <v>3645.08146053473</v>
      </c>
      <c r="G902" s="72" t="str">
        <f>IF(DATEDIF($B902,'Inst summary and ER calculation'!$U$6,"y")=2,"2-3 years","3-4 years")</f>
        <v>2-3 years</v>
      </c>
      <c r="H902" s="69">
        <f t="shared" si="38"/>
        <v>1</v>
      </c>
      <c r="I902" s="142">
        <f>$C902*H902*_xlfn.XLOOKUP($G902,'Sample Size cal and results'!$B$25:$B$26,'Sample Size cal and results'!$D$25:$D$26)</f>
        <v>6117.1939989124749</v>
      </c>
    </row>
    <row r="903" spans="1:9" ht="13.5" thickBot="1">
      <c r="A903" s="143" t="s">
        <v>153</v>
      </c>
      <c r="B903" s="144">
        <v>42185</v>
      </c>
      <c r="C903" s="145">
        <v>250</v>
      </c>
      <c r="D903" s="146" t="str">
        <f>IF(DATEDIF($B903,'Inst summary and ER calculation'!$T$6,"y")=1,"1-2 years","2-3 years")</f>
        <v>1-2 years</v>
      </c>
      <c r="E903" s="147">
        <f t="shared" si="37"/>
        <v>0.58082191780821912</v>
      </c>
      <c r="F903" s="147">
        <f>$C903*E903*_xlfn.XLOOKUP($D903,'Sample Size cal and results'!$B$23:$B$24,'Sample Size cal and results'!$D$23:$D$24)</f>
        <v>151.62568471442304</v>
      </c>
      <c r="G903" s="146" t="str">
        <f>IF(DATEDIF($B903,'Inst summary and ER calculation'!$U$6,"y")=2,"2-3 years","3-4 years")</f>
        <v>2-3 years</v>
      </c>
      <c r="H903" s="147">
        <f t="shared" si="38"/>
        <v>1</v>
      </c>
      <c r="I903" s="148">
        <f>$C903*H903*_xlfn.XLOOKUP($G903,'Sample Size cal and results'!$B$25:$B$26,'Sample Size cal and results'!$D$25:$D$26)</f>
        <v>254.45898497972024</v>
      </c>
    </row>
    <row r="904" spans="1:9" ht="16" customHeight="1">
      <c r="F904"/>
      <c r="G904"/>
      <c r="H904"/>
      <c r="I904"/>
    </row>
  </sheetData>
  <mergeCells count="8">
    <mergeCell ref="K1:K3"/>
    <mergeCell ref="L2:M2"/>
    <mergeCell ref="S1:U1"/>
    <mergeCell ref="O2:P2"/>
    <mergeCell ref="N2:N3"/>
    <mergeCell ref="Q2:Q3"/>
    <mergeCell ref="L1:N1"/>
    <mergeCell ref="O1:Q1"/>
  </mergeCells>
  <phoneticPr fontId="27" type="noConversion"/>
  <conditionalFormatting sqref="T3:U6">
    <cfRule type="timePeriod" dxfId="0" priority="1" timePeriod="lastMonth">
      <formula>AND(MONTH(T3)=MONTH(EDATE(TODAY(),0-1)),YEAR(T3)=YEAR(EDATE(TODAY(),0-1)))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54"/>
  <sheetViews>
    <sheetView zoomScale="115" zoomScaleNormal="115" workbookViewId="0">
      <selection activeCell="I13" sqref="I13"/>
    </sheetView>
  </sheetViews>
  <sheetFormatPr defaultColWidth="11.1640625" defaultRowHeight="13"/>
  <cols>
    <col min="1" max="1" width="20.5" style="25" bestFit="1" customWidth="1"/>
    <col min="2" max="2" width="25.6640625" style="25" customWidth="1"/>
    <col min="3" max="3" width="24.33203125" style="24" customWidth="1"/>
    <col min="4" max="7" width="15.33203125" style="24" customWidth="1"/>
    <col min="8" max="8" width="14.6640625" style="25" customWidth="1"/>
    <col min="9" max="9" width="15.33203125" style="25" customWidth="1"/>
    <col min="10" max="10" width="13.5" style="25" customWidth="1"/>
    <col min="11" max="11" width="14" style="25" customWidth="1"/>
    <col min="12" max="16384" width="11.1640625" style="25"/>
  </cols>
  <sheetData>
    <row r="1" spans="1:9">
      <c r="A1" s="151" t="s">
        <v>7</v>
      </c>
      <c r="B1" s="109" t="s">
        <v>1451</v>
      </c>
      <c r="C1" s="110" t="s">
        <v>1452</v>
      </c>
    </row>
    <row r="2" spans="1:9">
      <c r="A2" s="111" t="s">
        <v>1507</v>
      </c>
      <c r="B2" s="26" t="s">
        <v>1508</v>
      </c>
      <c r="C2" s="112" t="s">
        <v>1508</v>
      </c>
    </row>
    <row r="3" spans="1:9">
      <c r="A3" s="111" t="s">
        <v>8</v>
      </c>
      <c r="B3" s="26" t="s">
        <v>3</v>
      </c>
      <c r="C3" s="112" t="s">
        <v>3</v>
      </c>
      <c r="E3" s="152"/>
    </row>
    <row r="4" spans="1:9" ht="12.75" customHeight="1">
      <c r="A4" s="111" t="s">
        <v>9</v>
      </c>
      <c r="B4" s="153">
        <f>IF(B3="PoA",0.95,IF(B2="annual",0.9,0.95))</f>
        <v>0.95</v>
      </c>
      <c r="C4" s="154">
        <f>IF(C3="PoA",0.95,IF(C2="annual",0.9,0.95))</f>
        <v>0.95</v>
      </c>
    </row>
    <row r="5" spans="1:9">
      <c r="A5" s="111" t="s">
        <v>10</v>
      </c>
      <c r="B5" s="155">
        <f>IF(B2="annual",0.1,0.05)</f>
        <v>0.1</v>
      </c>
      <c r="C5" s="156">
        <f>IF(C2="annual",0.1,0.05)</f>
        <v>0.1</v>
      </c>
    </row>
    <row r="6" spans="1:9" ht="13.5" thickBot="1">
      <c r="A6" s="113" t="s">
        <v>11</v>
      </c>
      <c r="B6" s="157">
        <f>NORMSINV(1-(1-B4)/2)</f>
        <v>1.9599639845400536</v>
      </c>
      <c r="C6" s="114">
        <f>NORMSINV(1-(1-C4)/2)</f>
        <v>1.9599639845400536</v>
      </c>
    </row>
    <row r="7" spans="1:9" ht="13.5" thickBot="1">
      <c r="I7" s="25" t="s">
        <v>1006</v>
      </c>
    </row>
    <row r="8" spans="1:9" ht="15.75" customHeight="1">
      <c r="A8" s="236" t="s">
        <v>1</v>
      </c>
      <c r="B8" s="237"/>
      <c r="C8" s="237"/>
      <c r="D8" s="237"/>
      <c r="E8" s="237"/>
      <c r="F8" s="237"/>
      <c r="G8" s="238"/>
    </row>
    <row r="9" spans="1:9" ht="26">
      <c r="A9" s="103" t="s">
        <v>552</v>
      </c>
      <c r="B9" s="59" t="s">
        <v>0</v>
      </c>
      <c r="C9" s="59" t="s">
        <v>2</v>
      </c>
      <c r="D9" s="60" t="s">
        <v>1453</v>
      </c>
      <c r="E9" s="59" t="s">
        <v>1467</v>
      </c>
      <c r="F9" s="59" t="s">
        <v>1468</v>
      </c>
      <c r="G9" s="104" t="s">
        <v>529</v>
      </c>
    </row>
    <row r="10" spans="1:9">
      <c r="A10" s="239" t="s">
        <v>553</v>
      </c>
      <c r="B10" s="61" t="s">
        <v>4</v>
      </c>
      <c r="C10" s="66">
        <f>'Inst summary and ER calculation'!L40</f>
        <v>59438</v>
      </c>
      <c r="D10" s="67">
        <v>0.97499999999999998</v>
      </c>
      <c r="E10" s="68">
        <f>D10*(1-D10)</f>
        <v>2.4375000000000022E-2</v>
      </c>
      <c r="F10" s="68">
        <f>E10/(D10^2)</f>
        <v>2.5641025641025664E-2</v>
      </c>
      <c r="G10" s="105">
        <f>MAX(100,ROUNDUP((($B$6^2*C10*F10)/((C10-1)*$B$5^2+($B$6^2*F10))),0))</f>
        <v>100</v>
      </c>
    </row>
    <row r="11" spans="1:9">
      <c r="A11" s="240"/>
      <c r="B11" s="61" t="s">
        <v>551</v>
      </c>
      <c r="C11" s="66">
        <f>'Inst summary and ER calculation'!M40</f>
        <v>124444</v>
      </c>
      <c r="D11" s="67">
        <v>0.95</v>
      </c>
      <c r="E11" s="68">
        <f>D11*(1-D11)</f>
        <v>4.7500000000000042E-2</v>
      </c>
      <c r="F11" s="68">
        <f>E11/(D11^2)</f>
        <v>5.2631578947368467E-2</v>
      </c>
      <c r="G11" s="105">
        <f>MAX(100,ROUNDUP((($B$6^2*C11*F11)/((C11-1)*$B$5^2+($B$6^2*F11))),0))</f>
        <v>100</v>
      </c>
    </row>
    <row r="12" spans="1:9">
      <c r="A12" s="241" t="s">
        <v>5</v>
      </c>
      <c r="B12" s="242"/>
      <c r="C12" s="62">
        <f>SUM(C10:C11)</f>
        <v>183882</v>
      </c>
      <c r="D12" s="63">
        <f>SUMPRODUCT(C10:C11,D10:D11)/C12</f>
        <v>0.9580809975962844</v>
      </c>
      <c r="E12" s="62"/>
      <c r="F12" s="62"/>
      <c r="G12" s="106">
        <f>SUM(G10:G11)</f>
        <v>200</v>
      </c>
    </row>
    <row r="13" spans="1:9">
      <c r="A13" s="249" t="s">
        <v>555</v>
      </c>
      <c r="B13" s="64" t="s">
        <v>551</v>
      </c>
      <c r="C13" s="66">
        <f>'Inst summary and ER calculation'!O40</f>
        <v>59438</v>
      </c>
      <c r="D13" s="67">
        <f>D10-0.025</f>
        <v>0.95</v>
      </c>
      <c r="E13" s="68">
        <f>D13*(1-D13)</f>
        <v>4.7500000000000042E-2</v>
      </c>
      <c r="F13" s="68">
        <f>E13/(D13^2)</f>
        <v>5.2631578947368467E-2</v>
      </c>
      <c r="G13" s="105">
        <f>MAX(100,ROUNDUP((($C$6^2*C13*F13)/((C13-1)*$C$5^2+($C$6^2*F13))),0))</f>
        <v>100</v>
      </c>
    </row>
    <row r="14" spans="1:9">
      <c r="A14" s="250"/>
      <c r="B14" s="64" t="s">
        <v>554</v>
      </c>
      <c r="C14" s="66">
        <f>'Inst summary and ER calculation'!P40</f>
        <v>124444</v>
      </c>
      <c r="D14" s="67">
        <f>D11-0.025</f>
        <v>0.92499999999999993</v>
      </c>
      <c r="E14" s="68">
        <f>D14*(1-D14)</f>
        <v>6.9375000000000062E-2</v>
      </c>
      <c r="F14" s="68">
        <f>E14/(D14^2)</f>
        <v>8.1081081081081169E-2</v>
      </c>
      <c r="G14" s="105">
        <f>MAX(100,ROUNDUP((($C$6^2*C14*F14)/((C14-1)*$C$5^2+($C$6^2*F14))),0))</f>
        <v>100</v>
      </c>
    </row>
    <row r="15" spans="1:9" ht="13.5" thickBot="1">
      <c r="A15" s="251" t="s">
        <v>5</v>
      </c>
      <c r="B15" s="252"/>
      <c r="C15" s="87">
        <f>SUM(C13:C14)</f>
        <v>183882</v>
      </c>
      <c r="D15" s="107">
        <f>SUMPRODUCT(C13:C14,D13:D14)/C15</f>
        <v>0.93308099759628449</v>
      </c>
      <c r="E15" s="87"/>
      <c r="F15" s="87"/>
      <c r="G15" s="108">
        <f>SUM(G13:G14)</f>
        <v>200</v>
      </c>
    </row>
    <row r="16" spans="1:9" ht="13.5" thickBot="1">
      <c r="A16" s="1"/>
      <c r="B16" s="1"/>
      <c r="C16" s="1"/>
      <c r="D16" s="2"/>
      <c r="E16" s="2"/>
      <c r="F16" s="2"/>
      <c r="G16" s="2"/>
    </row>
    <row r="17" spans="1:8">
      <c r="A17" s="247" t="s">
        <v>527</v>
      </c>
      <c r="B17" s="253" t="s">
        <v>20</v>
      </c>
      <c r="C17" s="243" t="s">
        <v>24</v>
      </c>
      <c r="D17" s="245" t="s">
        <v>553</v>
      </c>
      <c r="E17" s="246"/>
      <c r="F17" s="274" t="s">
        <v>555</v>
      </c>
      <c r="G17" s="275"/>
    </row>
    <row r="18" spans="1:8">
      <c r="A18" s="248"/>
      <c r="B18" s="254"/>
      <c r="C18" s="244"/>
      <c r="D18" s="62" t="s">
        <v>4</v>
      </c>
      <c r="E18" s="62" t="s">
        <v>551</v>
      </c>
      <c r="F18" s="65" t="s">
        <v>551</v>
      </c>
      <c r="G18" s="95" t="s">
        <v>554</v>
      </c>
    </row>
    <row r="19" spans="1:8" ht="72" customHeight="1">
      <c r="A19" s="96" t="s">
        <v>1454</v>
      </c>
      <c r="B19" s="27" t="s">
        <v>124</v>
      </c>
      <c r="C19" s="28" t="s">
        <v>22</v>
      </c>
      <c r="D19" s="29">
        <f>COUNTIFS('Monitoring Summary MS1'!$K$3:$K$207,$D$18,'Monitoring Summary MS1'!$M$3:$M$207,"yes")/COUNTIF('Monitoring Summary MS1'!$K$3:$K$207,$D$18)</f>
        <v>0.98039215686274506</v>
      </c>
      <c r="E19" s="29">
        <f>COUNTIFS('Monitoring Summary MS1'!$K$3:$K$207,$E$18,'Monitoring Summary MS1'!$M$3:$M$207,"yes")/COUNTIF('Monitoring Summary MS1'!$K$3:$K$207,$E$18)</f>
        <v>0.970873786407767</v>
      </c>
      <c r="F19" s="29">
        <f>COUNTIFS('Monitoring Summary MS2'!$K$3:$K$208,$F$18,'Monitoring Summary MS2'!$M$3:$M$208,"yes")/COUNTIF('Monitoring Summary MS2'!$K$3:$K$208,$F$18)</f>
        <v>0.97029702970297027</v>
      </c>
      <c r="G19" s="97">
        <f>COUNTIFS('Monitoring Summary MS2'!$K$3:$K$208,$G$18,'Monitoring Summary MS2'!$M$3:$M$208,"yes")/COUNTIF('Monitoring Summary MS2'!$K$3:$K$208,$G$18)</f>
        <v>0.96190476190476193</v>
      </c>
      <c r="H19" s="30"/>
    </row>
    <row r="20" spans="1:8" ht="51.75" customHeight="1" thickBot="1">
      <c r="A20" s="98" t="s">
        <v>1455</v>
      </c>
      <c r="B20" s="99" t="s">
        <v>125</v>
      </c>
      <c r="C20" s="100" t="s">
        <v>22</v>
      </c>
      <c r="D20" s="101">
        <f>SUMIFS('Monitoring Summary MS1'!$AB$3:$AB$207,'Monitoring Summary MS1'!$K$3:$K$207,$D$18,'Monitoring Summary MS1'!$M$3:$M$207,"yes")/COUNTIFS('Monitoring Summary MS1'!$K$3:$K$207,$D$18,'Monitoring Summary MS1'!$M$3:$M$207,"yes")</f>
        <v>1.3125E-2</v>
      </c>
      <c r="E20" s="101">
        <f>SUMIFS('Monitoring Summary MS1'!$AB$3:$AB$207,'Monitoring Summary MS1'!$K$3:$K$207,$E$18,'Monitoring Summary MS1'!$M$3:$M$207,"yes")/COUNTIFS('Monitoring Summary MS1'!$K$3:$K$207,$E$18,'Monitoring Summary MS1'!$M$3:$M$207,"yes")</f>
        <v>1.9640350877192982E-2</v>
      </c>
      <c r="F20" s="101">
        <f>SUMIFS('Monitoring Summary MS2'!$AB$3:$AB$208,'Monitoring Summary MS2'!$K$3:$K$208,$F$18,'Monitoring Summary MS2'!$M$3:$M$208,"yes")/COUNTIFS('Monitoring Summary MS2'!$K$3:$K$208,$F$18,'Monitoring Summary MS2'!$M$3:$M$208,"yes")</f>
        <v>1.9542904881250742E-2</v>
      </c>
      <c r="G20" s="102">
        <f>SUMIFS('Monitoring Summary MS2'!$AB$3:$AB$208,'Monitoring Summary MS2'!$K$3:$K$208,$G$18,'Monitoring Summary MS2'!$M$3:$M$208,"yes")/COUNTIFS('Monitoring Summary MS2'!$K$3:$K$208,$G$18,'Monitoring Summary MS2'!$M$3:$M$208,"yes")</f>
        <v>2.4422442244224418E-2</v>
      </c>
    </row>
    <row r="21" spans="1:8" ht="13.5" thickBot="1"/>
    <row r="22" spans="1:8" ht="15">
      <c r="A22" s="93" t="s">
        <v>552</v>
      </c>
      <c r="B22" s="94" t="s">
        <v>1005</v>
      </c>
      <c r="C22" s="84" t="s">
        <v>126</v>
      </c>
      <c r="D22" s="84" t="s">
        <v>528</v>
      </c>
      <c r="E22" s="84" t="s">
        <v>1456</v>
      </c>
      <c r="F22" s="84" t="s">
        <v>1457</v>
      </c>
      <c r="G22" s="84" t="s">
        <v>1458</v>
      </c>
      <c r="H22" s="85" t="s">
        <v>1459</v>
      </c>
    </row>
    <row r="23" spans="1:8">
      <c r="A23" s="267" t="s">
        <v>553</v>
      </c>
      <c r="B23" s="62" t="s">
        <v>4</v>
      </c>
      <c r="C23" s="31">
        <v>1</v>
      </c>
      <c r="D23" s="32">
        <f>E23*(1-F23)*H23*('Default Parameters'!$C$6*'Default Parameters'!$C$7+'Default Parameters'!$C$8)</f>
        <v>1.0442146211464984</v>
      </c>
      <c r="E23" s="33">
        <f>C30</f>
        <v>0.98039215686274506</v>
      </c>
      <c r="F23" s="34">
        <f>C40</f>
        <v>1.3125000000000053E-2</v>
      </c>
      <c r="G23" s="33">
        <f>'Default Parameters'!$C$9*'Default Parameters'!$C$4^'Sample Size cal and results'!C23*'Default Parameters'!$C$5</f>
        <v>0.21645755999999999</v>
      </c>
      <c r="H23" s="86">
        <f>'Default Parameters'!$C$2*(1-'Default Parameters'!$C$3/G23)*'Default Parameters'!$C$10</f>
        <v>0.54425557961976467</v>
      </c>
    </row>
    <row r="24" spans="1:8">
      <c r="A24" s="268"/>
      <c r="B24" s="62" t="s">
        <v>551</v>
      </c>
      <c r="C24" s="31">
        <v>2</v>
      </c>
      <c r="D24" s="32">
        <f>E24*(1-F24)*H24*('Default Parameters'!$C$6*'Default Parameters'!$C$7+'Default Parameters'!$C$8)</f>
        <v>1.0183397331988269</v>
      </c>
      <c r="E24" s="33">
        <f>D30</f>
        <v>0.970873786407767</v>
      </c>
      <c r="F24" s="34">
        <f>D40</f>
        <v>1.9640350877192958E-2</v>
      </c>
      <c r="G24" s="33">
        <f>'Default Parameters'!$C$9*'Default Parameters'!$C$4^'Sample Size cal and results'!C24*'Default Parameters'!$C$5</f>
        <v>0.21429298439999997</v>
      </c>
      <c r="H24" s="86">
        <f>'Default Parameters'!$C$2*(1-'Default Parameters'!$C$3/G24)*'Default Parameters'!$C$10</f>
        <v>0.5395349491108733</v>
      </c>
    </row>
    <row r="25" spans="1:8">
      <c r="A25" s="265" t="s">
        <v>555</v>
      </c>
      <c r="B25" s="65" t="s">
        <v>551</v>
      </c>
      <c r="C25" s="31">
        <v>2</v>
      </c>
      <c r="D25" s="32">
        <f>E25*(1-F25)*H25*('Default Parameters'!$C$6*'Default Parameters'!$C$7+'Default Parameters'!$C$8)</f>
        <v>1.017835939918881</v>
      </c>
      <c r="E25" s="33">
        <f>E30</f>
        <v>0.97029702970297027</v>
      </c>
      <c r="F25" s="34">
        <f>E40</f>
        <v>1.9542904881250767E-2</v>
      </c>
      <c r="G25" s="33">
        <f>'Default Parameters'!$C$9*'Default Parameters'!$C$4^'Sample Size cal and results'!C25*'Default Parameters'!$C$5</f>
        <v>0.21429298439999997</v>
      </c>
      <c r="H25" s="86">
        <f>'Default Parameters'!$C$2*(1-'Default Parameters'!$C$3/G25)*'Default Parameters'!$C$10</f>
        <v>0.5395349491108733</v>
      </c>
    </row>
    <row r="26" spans="1:8" ht="13.5" thickBot="1">
      <c r="A26" s="266"/>
      <c r="B26" s="87" t="s">
        <v>554</v>
      </c>
      <c r="C26" s="88">
        <v>3</v>
      </c>
      <c r="D26" s="89">
        <f>E26*(1-F26)*H26*('Default Parameters'!$C$6*'Default Parameters'!$C$7+'Default Parameters'!$C$8)</f>
        <v>0.99513748051064654</v>
      </c>
      <c r="E26" s="90">
        <f>F30</f>
        <v>0.96190476190476193</v>
      </c>
      <c r="F26" s="91">
        <f>F40</f>
        <v>2.4422442244224407E-2</v>
      </c>
      <c r="G26" s="90">
        <f>'Default Parameters'!$C$9*'Default Parameters'!$C$4^'Sample Size cal and results'!C26*'Default Parameters'!$C$5</f>
        <v>0.21215005455599997</v>
      </c>
      <c r="H26" s="92">
        <f>'Default Parameters'!$C$2*(1-'Default Parameters'!$C$3/G26)*'Default Parameters'!$C$10</f>
        <v>0.53476663546552872</v>
      </c>
    </row>
    <row r="27" spans="1:8" ht="13.5" thickBot="1">
      <c r="C27" s="35"/>
      <c r="D27" s="36"/>
      <c r="E27" s="37"/>
      <c r="F27" s="38"/>
      <c r="G27" s="39"/>
    </row>
    <row r="28" spans="1:8" ht="18.75" customHeight="1">
      <c r="A28" s="269" t="s">
        <v>1460</v>
      </c>
      <c r="B28" s="270"/>
      <c r="C28" s="245" t="s">
        <v>553</v>
      </c>
      <c r="D28" s="246"/>
      <c r="E28" s="273" t="s">
        <v>555</v>
      </c>
      <c r="F28" s="273"/>
      <c r="G28" s="276" t="s">
        <v>530</v>
      </c>
    </row>
    <row r="29" spans="1:8" ht="15.75" customHeight="1">
      <c r="A29" s="271"/>
      <c r="B29" s="272"/>
      <c r="C29" s="62" t="s">
        <v>4</v>
      </c>
      <c r="D29" s="62" t="s">
        <v>551</v>
      </c>
      <c r="E29" s="65" t="s">
        <v>551</v>
      </c>
      <c r="F29" s="65" t="s">
        <v>554</v>
      </c>
      <c r="G29" s="277"/>
    </row>
    <row r="30" spans="1:8" ht="15.75" customHeight="1">
      <c r="A30" s="271"/>
      <c r="B30" s="272"/>
      <c r="C30" s="40">
        <f>IF(C36="ok, acceptable",C33,C33-$B$6*C34)</f>
        <v>0.98039215686274506</v>
      </c>
      <c r="D30" s="40">
        <f>IF(D36="ok, acceptable",D33,D33-$B$6*D34)</f>
        <v>0.970873786407767</v>
      </c>
      <c r="E30" s="40">
        <f>IF(E36="ok, acceptable",E33,E33-$C$6*E34)</f>
        <v>0.97029702970297027</v>
      </c>
      <c r="F30" s="40">
        <f>IF(F36="ok, acceptable",F33,F33-$C$6*F34)</f>
        <v>0.96190476190476193</v>
      </c>
      <c r="G30" s="47" t="s">
        <v>22</v>
      </c>
    </row>
    <row r="31" spans="1:8">
      <c r="A31" s="255" t="s">
        <v>538</v>
      </c>
      <c r="B31" s="256"/>
      <c r="C31" s="41">
        <f>C10</f>
        <v>59438</v>
      </c>
      <c r="D31" s="41">
        <f>C11</f>
        <v>124444</v>
      </c>
      <c r="E31" s="42">
        <f>C13</f>
        <v>59438</v>
      </c>
      <c r="F31" s="42">
        <f>C14</f>
        <v>124444</v>
      </c>
      <c r="G31" s="47" t="s">
        <v>539</v>
      </c>
    </row>
    <row r="32" spans="1:8">
      <c r="A32" s="255" t="s">
        <v>540</v>
      </c>
      <c r="B32" s="256"/>
      <c r="C32" s="41">
        <f>COUNTIF('Monitoring Summary MS1'!$K$3:$K$207,$C$29)</f>
        <v>102</v>
      </c>
      <c r="D32" s="41">
        <f>COUNTIF('Monitoring Summary MS1'!$K$3:$K$207,$D$29)</f>
        <v>103</v>
      </c>
      <c r="E32" s="71">
        <f>COUNTIF('Monitoring Summary MS2'!$K$3:$K$208,$E$29)</f>
        <v>101</v>
      </c>
      <c r="F32" s="71">
        <f>COUNTIF('Monitoring Summary MS2'!$K$3:$K$208,$F$29)</f>
        <v>105</v>
      </c>
      <c r="G32" s="47" t="s">
        <v>539</v>
      </c>
    </row>
    <row r="33" spans="1:9">
      <c r="A33" s="255" t="s">
        <v>541</v>
      </c>
      <c r="B33" s="256"/>
      <c r="C33" s="43">
        <f>D19</f>
        <v>0.98039215686274506</v>
      </c>
      <c r="D33" s="43">
        <f>E19</f>
        <v>0.970873786407767</v>
      </c>
      <c r="E33" s="43">
        <f t="shared" ref="E33:F33" si="0">F19</f>
        <v>0.97029702970297027</v>
      </c>
      <c r="F33" s="43">
        <f t="shared" si="0"/>
        <v>0.96190476190476193</v>
      </c>
      <c r="G33" s="47" t="s">
        <v>22</v>
      </c>
    </row>
    <row r="34" spans="1:9">
      <c r="A34" s="255" t="s">
        <v>542</v>
      </c>
      <c r="B34" s="256"/>
      <c r="C34" s="44">
        <f>SQRT((1-(C32/C31))*(C33*(1-C33)/C32))</f>
        <v>1.3716451726235659E-2</v>
      </c>
      <c r="D34" s="45">
        <f>SQRT((1-(D32/D31))*(D33*(1-D33)/D32))</f>
        <v>1.6562465518515597E-2</v>
      </c>
      <c r="E34" s="45">
        <f t="shared" ref="E34:F34" si="1">SQRT((1-(E32/E31))*(E33*(1-E33)/E32))</f>
        <v>1.6878051328667643E-2</v>
      </c>
      <c r="F34" s="45">
        <f t="shared" si="1"/>
        <v>1.8673401621388318E-2</v>
      </c>
      <c r="G34" s="47" t="s">
        <v>30</v>
      </c>
    </row>
    <row r="35" spans="1:9">
      <c r="A35" s="255" t="s">
        <v>543</v>
      </c>
      <c r="B35" s="256" t="e">
        <f>#REF!*#REF!/#REF!</f>
        <v>#REF!</v>
      </c>
      <c r="C35" s="46">
        <f>C34*$B$6/C33</f>
        <v>2.7421426406686225E-2</v>
      </c>
      <c r="D35" s="46">
        <f>D34*$B$6/D33</f>
        <v>3.343569098882139E-2</v>
      </c>
      <c r="E35" s="46">
        <f>E34*$C$6/E33</f>
        <v>3.4093037204837806E-2</v>
      </c>
      <c r="F35" s="46">
        <f>F34*$C$6/F33</f>
        <v>3.8048667702090685E-2</v>
      </c>
      <c r="G35" s="47" t="s">
        <v>30</v>
      </c>
    </row>
    <row r="36" spans="1:9" ht="13.5" thickBot="1">
      <c r="A36" s="257" t="s">
        <v>544</v>
      </c>
      <c r="B36" s="258"/>
      <c r="C36" s="82" t="str">
        <f>IF(C35&lt;0.1, "ok, acceptable", "user upper bound value")</f>
        <v>ok, acceptable</v>
      </c>
      <c r="D36" s="82" t="str">
        <f>IF(D35&lt;0.1, "ok, acceptable", "user upper bound value")</f>
        <v>ok, acceptable</v>
      </c>
      <c r="E36" s="83" t="str">
        <f t="shared" ref="E36:F36" si="2">IF(E35&lt;0.1, "ok, acceptable", "user upper bound value")</f>
        <v>ok, acceptable</v>
      </c>
      <c r="F36" s="83" t="str">
        <f t="shared" si="2"/>
        <v>ok, acceptable</v>
      </c>
      <c r="G36" s="51" t="s">
        <v>545</v>
      </c>
    </row>
    <row r="37" spans="1:9" ht="13.5" thickBot="1"/>
    <row r="38" spans="1:9" ht="18.75" customHeight="1">
      <c r="A38" s="259" t="s">
        <v>1461</v>
      </c>
      <c r="B38" s="260"/>
      <c r="C38" s="245" t="s">
        <v>553</v>
      </c>
      <c r="D38" s="246"/>
      <c r="E38" s="273" t="s">
        <v>555</v>
      </c>
      <c r="F38" s="273"/>
      <c r="G38" s="276" t="s">
        <v>530</v>
      </c>
    </row>
    <row r="39" spans="1:9" ht="15.75" customHeight="1">
      <c r="A39" s="261"/>
      <c r="B39" s="262"/>
      <c r="C39" s="62" t="s">
        <v>4</v>
      </c>
      <c r="D39" s="62" t="s">
        <v>551</v>
      </c>
      <c r="E39" s="65" t="s">
        <v>551</v>
      </c>
      <c r="F39" s="65" t="s">
        <v>554</v>
      </c>
      <c r="G39" s="277"/>
    </row>
    <row r="40" spans="1:9">
      <c r="A40" s="263"/>
      <c r="B40" s="264"/>
      <c r="C40" s="40">
        <f>1-IF(C46="ok, acceptable",C43,C43-$B$6*C44)</f>
        <v>1.3125000000000053E-2</v>
      </c>
      <c r="D40" s="40">
        <f>1-IF(D46="ok, acceptable",D43,D43-$B$6*D44)</f>
        <v>1.9640350877192958E-2</v>
      </c>
      <c r="E40" s="40">
        <f>1-IF(E46="ok, acceptable",E43,E43-$C$6*E44)</f>
        <v>1.9542904881250767E-2</v>
      </c>
      <c r="F40" s="40">
        <f>1-IF(F46="ok, acceptable",F43,F43-$C$6*F44)</f>
        <v>2.4422442244224407E-2</v>
      </c>
      <c r="G40" s="47" t="s">
        <v>22</v>
      </c>
    </row>
    <row r="41" spans="1:9">
      <c r="A41" s="255" t="s">
        <v>538</v>
      </c>
      <c r="B41" s="256"/>
      <c r="C41" s="41">
        <f>C10</f>
        <v>59438</v>
      </c>
      <c r="D41" s="48">
        <f>C11</f>
        <v>124444</v>
      </c>
      <c r="E41" s="41">
        <f>C13</f>
        <v>59438</v>
      </c>
      <c r="F41" s="48">
        <f>C14</f>
        <v>124444</v>
      </c>
      <c r="G41" s="47" t="s">
        <v>539</v>
      </c>
    </row>
    <row r="42" spans="1:9">
      <c r="A42" s="255" t="s">
        <v>540</v>
      </c>
      <c r="B42" s="256"/>
      <c r="C42" s="41">
        <f>C32</f>
        <v>102</v>
      </c>
      <c r="D42" s="48">
        <f>D32</f>
        <v>103</v>
      </c>
      <c r="E42" s="48">
        <f t="shared" ref="E42:F42" si="3">E32</f>
        <v>101</v>
      </c>
      <c r="F42" s="48">
        <f t="shared" si="3"/>
        <v>105</v>
      </c>
      <c r="G42" s="47" t="s">
        <v>539</v>
      </c>
    </row>
    <row r="43" spans="1:9">
      <c r="A43" s="255" t="s">
        <v>546</v>
      </c>
      <c r="B43" s="256"/>
      <c r="C43" s="49">
        <f>1-D20</f>
        <v>0.98687499999999995</v>
      </c>
      <c r="D43" s="50">
        <f>1-E20</f>
        <v>0.98035964912280704</v>
      </c>
      <c r="E43" s="50">
        <f t="shared" ref="E43:F43" si="4">1-F20</f>
        <v>0.98045709511874923</v>
      </c>
      <c r="F43" s="50">
        <f t="shared" si="4"/>
        <v>0.97557755775577559</v>
      </c>
      <c r="G43" s="47" t="s">
        <v>22</v>
      </c>
    </row>
    <row r="44" spans="1:9">
      <c r="A44" s="255" t="s">
        <v>547</v>
      </c>
      <c r="B44" s="256"/>
      <c r="C44" s="44">
        <f>SQRT((1-(C42/C41))*(C43*(1-C43)/C42))</f>
        <v>1.1259203871529367E-2</v>
      </c>
      <c r="D44" s="44">
        <f>SQRT((1-(D42/D41))*(D43*(1-D43)/D42))</f>
        <v>1.3666865469587747E-2</v>
      </c>
      <c r="E44" s="44">
        <f t="shared" ref="E44:F44" si="5">SQRT((1-(E42/E41))*(E43*(1-E43)/E42))</f>
        <v>1.3761914896023165E-2</v>
      </c>
      <c r="F44" s="44">
        <f t="shared" si="5"/>
        <v>1.5057313777726381E-2</v>
      </c>
      <c r="G44" s="47" t="s">
        <v>30</v>
      </c>
      <c r="I44" s="25" t="s">
        <v>569</v>
      </c>
    </row>
    <row r="45" spans="1:9">
      <c r="A45" s="255" t="s">
        <v>548</v>
      </c>
      <c r="B45" s="256" t="e">
        <f>#REF!*#REF!/#REF!</f>
        <v>#REF!</v>
      </c>
      <c r="C45" s="46">
        <f>C44*$B$6/C43</f>
        <v>2.2361123833100946E-2</v>
      </c>
      <c r="D45" s="46">
        <f>D44*$B$6/D43</f>
        <v>2.7323201363819688E-2</v>
      </c>
      <c r="E45" s="46">
        <f>E44*$C$6/E43</f>
        <v>2.7510492492528529E-2</v>
      </c>
      <c r="F45" s="46">
        <f>F44*$C$6/F43</f>
        <v>3.0250585895140462E-2</v>
      </c>
      <c r="G45" s="47" t="s">
        <v>30</v>
      </c>
    </row>
    <row r="46" spans="1:9" ht="13.5" thickBot="1">
      <c r="A46" s="257" t="s">
        <v>549</v>
      </c>
      <c r="B46" s="258"/>
      <c r="C46" s="82" t="str">
        <f>IF(C45&lt;0.1, "ok, acceptable", "user upper bound value")</f>
        <v>ok, acceptable</v>
      </c>
      <c r="D46" s="82" t="str">
        <f>IF(D45&lt;0.1, "ok, acceptable", "user upper bound value")</f>
        <v>ok, acceptable</v>
      </c>
      <c r="E46" s="83" t="str">
        <f t="shared" ref="E46:F46" si="6">IF(E45&lt;0.1, "ok, acceptable", "user upper bound value")</f>
        <v>ok, acceptable</v>
      </c>
      <c r="F46" s="83" t="str">
        <f t="shared" si="6"/>
        <v>ok, acceptable</v>
      </c>
      <c r="G46" s="51" t="s">
        <v>545</v>
      </c>
    </row>
    <row r="54" spans="4:4">
      <c r="D54" s="24" t="s">
        <v>17</v>
      </c>
    </row>
  </sheetData>
  <mergeCells count="32">
    <mergeCell ref="C28:D28"/>
    <mergeCell ref="E28:F28"/>
    <mergeCell ref="C38:D38"/>
    <mergeCell ref="E38:F38"/>
    <mergeCell ref="F17:G17"/>
    <mergeCell ref="G28:G29"/>
    <mergeCell ref="G38:G39"/>
    <mergeCell ref="A25:A26"/>
    <mergeCell ref="A23:A24"/>
    <mergeCell ref="A43:B43"/>
    <mergeCell ref="A44:B44"/>
    <mergeCell ref="A31:B31"/>
    <mergeCell ref="A32:B32"/>
    <mergeCell ref="A33:B33"/>
    <mergeCell ref="A34:B34"/>
    <mergeCell ref="A28:B30"/>
    <mergeCell ref="A45:B45"/>
    <mergeCell ref="A46:B46"/>
    <mergeCell ref="A35:B35"/>
    <mergeCell ref="A36:B36"/>
    <mergeCell ref="A41:B41"/>
    <mergeCell ref="A42:B42"/>
    <mergeCell ref="A38:B40"/>
    <mergeCell ref="A8:G8"/>
    <mergeCell ref="A10:A11"/>
    <mergeCell ref="A12:B12"/>
    <mergeCell ref="C17:C18"/>
    <mergeCell ref="D17:E17"/>
    <mergeCell ref="A17:A18"/>
    <mergeCell ref="A13:A14"/>
    <mergeCell ref="A15:B15"/>
    <mergeCell ref="B17:B18"/>
  </mergeCells>
  <phoneticPr fontId="27" type="noConversion"/>
  <pageMargins left="0.7" right="0.7" top="0.75" bottom="0.75" header="0.3" footer="0.3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EF55-BC50-4A3C-A0F6-419FA5614200}">
  <sheetPr codeName="Sheet4"/>
  <dimension ref="A1:AB207"/>
  <sheetViews>
    <sheetView zoomScale="50" zoomScaleNormal="50" workbookViewId="0">
      <selection activeCell="J6" sqref="J6"/>
    </sheetView>
  </sheetViews>
  <sheetFormatPr defaultColWidth="9" defaultRowHeight="15.5"/>
  <cols>
    <col min="1" max="1" width="11.83203125" style="3" customWidth="1"/>
    <col min="2" max="2" width="30.83203125" style="3" customWidth="1"/>
    <col min="3" max="3" width="34.1640625" style="3" customWidth="1"/>
    <col min="4" max="4" width="39.1640625" style="3" customWidth="1"/>
    <col min="5" max="5" width="16.1640625" style="3" customWidth="1"/>
    <col min="6" max="6" width="10.33203125" style="3" customWidth="1"/>
    <col min="7" max="7" width="11.83203125" style="3" customWidth="1"/>
    <col min="8" max="8" width="11.5" style="3" customWidth="1"/>
    <col min="9" max="9" width="31.5" style="3" customWidth="1"/>
    <col min="10" max="10" width="14.1640625" style="3" customWidth="1"/>
    <col min="11" max="11" width="11.6640625" style="3" customWidth="1"/>
    <col min="12" max="12" width="11.33203125" style="3" customWidth="1"/>
    <col min="13" max="13" width="13.1640625" style="3" customWidth="1"/>
    <col min="14" max="15" width="11.5" style="3" customWidth="1"/>
    <col min="16" max="21" width="12.6640625" style="3" customWidth="1"/>
    <col min="22" max="22" width="13.6640625" style="3" customWidth="1"/>
    <col min="23" max="24" width="12.6640625" style="3" customWidth="1"/>
    <col min="25" max="26" width="12.6640625" style="5" customWidth="1"/>
    <col min="27" max="27" width="12.6640625" style="3" customWidth="1"/>
    <col min="28" max="28" width="12.6640625" customWidth="1"/>
    <col min="29" max="16384" width="9" style="3"/>
  </cols>
  <sheetData>
    <row r="1" spans="1:28" s="20" customFormat="1" ht="89.25" customHeight="1">
      <c r="A1" s="281" t="s">
        <v>900</v>
      </c>
      <c r="B1" s="281" t="s">
        <v>761</v>
      </c>
      <c r="C1" s="281" t="s">
        <v>762</v>
      </c>
      <c r="D1" s="281" t="s">
        <v>763</v>
      </c>
      <c r="E1" s="281" t="s">
        <v>764</v>
      </c>
      <c r="F1" s="283" t="s">
        <v>1010</v>
      </c>
      <c r="G1" s="284"/>
      <c r="H1" s="279" t="s">
        <v>765</v>
      </c>
      <c r="I1" s="279" t="s">
        <v>766</v>
      </c>
      <c r="J1" s="279" t="s">
        <v>767</v>
      </c>
      <c r="K1" s="279" t="s">
        <v>0</v>
      </c>
      <c r="L1" s="279" t="s">
        <v>768</v>
      </c>
      <c r="M1" s="279" t="s">
        <v>769</v>
      </c>
      <c r="N1" s="283" t="s">
        <v>1009</v>
      </c>
      <c r="O1" s="284"/>
      <c r="P1" s="279" t="s">
        <v>770</v>
      </c>
      <c r="Q1" s="279" t="s">
        <v>771</v>
      </c>
      <c r="R1" s="279" t="s">
        <v>772</v>
      </c>
      <c r="S1" s="279" t="s">
        <v>773</v>
      </c>
      <c r="T1" s="279" t="s">
        <v>774</v>
      </c>
      <c r="U1" s="279" t="s">
        <v>775</v>
      </c>
      <c r="V1" s="279" t="s">
        <v>776</v>
      </c>
      <c r="W1" s="279" t="s">
        <v>777</v>
      </c>
      <c r="X1" s="279" t="s">
        <v>778</v>
      </c>
      <c r="Y1" s="279" t="s">
        <v>779</v>
      </c>
      <c r="Z1" s="283" t="s">
        <v>1014</v>
      </c>
      <c r="AA1" s="284"/>
      <c r="AB1" s="278" t="s">
        <v>1440</v>
      </c>
    </row>
    <row r="2" spans="1:28" s="20" customFormat="1" ht="16.5" customHeight="1">
      <c r="A2" s="282"/>
      <c r="B2" s="282"/>
      <c r="C2" s="282"/>
      <c r="D2" s="282"/>
      <c r="E2" s="282"/>
      <c r="F2" s="149" t="s">
        <v>1011</v>
      </c>
      <c r="G2" s="149" t="s">
        <v>1012</v>
      </c>
      <c r="H2" s="280"/>
      <c r="I2" s="280"/>
      <c r="J2" s="280"/>
      <c r="K2" s="280"/>
      <c r="L2" s="280"/>
      <c r="M2" s="280"/>
      <c r="N2" s="149" t="s">
        <v>1007</v>
      </c>
      <c r="O2" s="149" t="s">
        <v>1008</v>
      </c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149" t="s">
        <v>1007</v>
      </c>
      <c r="AA2" s="149" t="s">
        <v>1008</v>
      </c>
      <c r="AB2" s="278"/>
    </row>
    <row r="3" spans="1:28" s="203" customFormat="1" ht="14.5">
      <c r="A3" s="15">
        <v>42740</v>
      </c>
      <c r="B3" s="4" t="s">
        <v>906</v>
      </c>
      <c r="C3" s="4" t="s">
        <v>1530</v>
      </c>
      <c r="D3" s="4" t="s">
        <v>908</v>
      </c>
      <c r="E3" s="4"/>
      <c r="F3" s="4">
        <v>2</v>
      </c>
      <c r="G3" s="4">
        <v>0</v>
      </c>
      <c r="H3" s="4" t="s">
        <v>780</v>
      </c>
      <c r="I3" s="4" t="s">
        <v>377</v>
      </c>
      <c r="J3" s="7">
        <v>42118</v>
      </c>
      <c r="K3" s="201" t="str">
        <f>IF(DATEDIF($J3,'Inst summary and ER calculation'!$T$6,"y")=1,"1-2 years","2-3 years")</f>
        <v>1-2 years</v>
      </c>
      <c r="L3" s="6" t="s">
        <v>780</v>
      </c>
      <c r="M3" s="4" t="s">
        <v>780</v>
      </c>
      <c r="N3" s="4">
        <v>18</v>
      </c>
      <c r="O3" s="4">
        <v>76</v>
      </c>
      <c r="P3" s="4" t="s">
        <v>780</v>
      </c>
      <c r="Q3" s="4" t="s">
        <v>780</v>
      </c>
      <c r="R3" s="4" t="s">
        <v>780</v>
      </c>
      <c r="S3" s="4" t="s">
        <v>780</v>
      </c>
      <c r="T3" s="4" t="s">
        <v>780</v>
      </c>
      <c r="U3" s="4" t="s">
        <v>780</v>
      </c>
      <c r="V3" s="4" t="s">
        <v>15</v>
      </c>
      <c r="W3" s="4"/>
      <c r="X3" s="4" t="s">
        <v>15</v>
      </c>
      <c r="Y3" s="4"/>
      <c r="Z3" s="4"/>
      <c r="AA3" s="4"/>
      <c r="AB3" s="202" t="str">
        <f t="shared" ref="AB3:AB66" si="0">IF(Y3="yes",MAX(Z3/(Z3+N3),AA3/(AA3+O3)),"")</f>
        <v/>
      </c>
    </row>
    <row r="4" spans="1:28" s="203" customFormat="1" ht="14.5">
      <c r="A4" s="15">
        <v>42739</v>
      </c>
      <c r="B4" s="4" t="s">
        <v>213</v>
      </c>
      <c r="C4" s="4" t="s">
        <v>1526</v>
      </c>
      <c r="D4" s="4" t="s">
        <v>959</v>
      </c>
      <c r="E4" s="4"/>
      <c r="F4" s="4">
        <v>4</v>
      </c>
      <c r="G4" s="4">
        <v>0</v>
      </c>
      <c r="H4" s="4" t="s">
        <v>780</v>
      </c>
      <c r="I4" s="4" t="s">
        <v>374</v>
      </c>
      <c r="J4" s="7">
        <v>42116</v>
      </c>
      <c r="K4" s="201" t="str">
        <f>IF(DATEDIF($J4,'Inst summary and ER calculation'!$T$6,"y")=1,"1-2 years","2-3 years")</f>
        <v>1-2 years</v>
      </c>
      <c r="L4" s="6" t="s">
        <v>780</v>
      </c>
      <c r="M4" s="4" t="s">
        <v>780</v>
      </c>
      <c r="N4" s="4">
        <v>21</v>
      </c>
      <c r="O4" s="4">
        <v>90</v>
      </c>
      <c r="P4" s="4" t="s">
        <v>780</v>
      </c>
      <c r="Q4" s="4" t="s">
        <v>780</v>
      </c>
      <c r="R4" s="4" t="s">
        <v>780</v>
      </c>
      <c r="S4" s="4" t="s">
        <v>780</v>
      </c>
      <c r="T4" s="4" t="s">
        <v>780</v>
      </c>
      <c r="U4" s="4" t="s">
        <v>780</v>
      </c>
      <c r="V4" s="4" t="s">
        <v>15</v>
      </c>
      <c r="W4" s="4"/>
      <c r="X4" s="4" t="s">
        <v>15</v>
      </c>
      <c r="Y4" s="4"/>
      <c r="Z4" s="4"/>
      <c r="AA4" s="4"/>
      <c r="AB4" s="202" t="str">
        <f t="shared" si="0"/>
        <v/>
      </c>
    </row>
    <row r="5" spans="1:28" s="203" customFormat="1" ht="14.5">
      <c r="A5" s="15">
        <v>42739</v>
      </c>
      <c r="B5" s="4" t="s">
        <v>935</v>
      </c>
      <c r="C5" s="4" t="s">
        <v>1525</v>
      </c>
      <c r="D5" s="4" t="s">
        <v>936</v>
      </c>
      <c r="E5" s="4"/>
      <c r="F5" s="4">
        <v>3</v>
      </c>
      <c r="G5" s="4">
        <v>1</v>
      </c>
      <c r="H5" s="4" t="s">
        <v>780</v>
      </c>
      <c r="I5" s="4" t="s">
        <v>350</v>
      </c>
      <c r="J5" s="7">
        <v>42106</v>
      </c>
      <c r="K5" s="201" t="str">
        <f>IF(DATEDIF($J5,'Inst summary and ER calculation'!$T$6,"y")=1,"1-2 years","2-3 years")</f>
        <v>1-2 years</v>
      </c>
      <c r="L5" s="6" t="s">
        <v>780</v>
      </c>
      <c r="M5" s="4" t="s">
        <v>780</v>
      </c>
      <c r="N5" s="4">
        <v>21</v>
      </c>
      <c r="O5" s="4">
        <v>90</v>
      </c>
      <c r="P5" s="4" t="s">
        <v>780</v>
      </c>
      <c r="Q5" s="4" t="s">
        <v>780</v>
      </c>
      <c r="R5" s="4" t="s">
        <v>780</v>
      </c>
      <c r="S5" s="4" t="s">
        <v>780</v>
      </c>
      <c r="T5" s="4" t="s">
        <v>780</v>
      </c>
      <c r="U5" s="4" t="s">
        <v>780</v>
      </c>
      <c r="V5" s="4" t="s">
        <v>15</v>
      </c>
      <c r="W5" s="4"/>
      <c r="X5" s="4" t="s">
        <v>15</v>
      </c>
      <c r="Y5" s="4"/>
      <c r="Z5" s="4"/>
      <c r="AA5" s="4"/>
      <c r="AB5" s="202" t="str">
        <f t="shared" si="0"/>
        <v/>
      </c>
    </row>
    <row r="6" spans="1:28" s="203" customFormat="1" ht="14.5">
      <c r="A6" s="15">
        <v>42746</v>
      </c>
      <c r="B6" s="4" t="s">
        <v>622</v>
      </c>
      <c r="C6" s="4" t="s">
        <v>1549</v>
      </c>
      <c r="D6" s="4" t="s">
        <v>954</v>
      </c>
      <c r="E6" s="4"/>
      <c r="F6" s="4">
        <v>4</v>
      </c>
      <c r="G6" s="4">
        <v>2</v>
      </c>
      <c r="H6" s="4" t="s">
        <v>780</v>
      </c>
      <c r="I6" s="4" t="s">
        <v>664</v>
      </c>
      <c r="J6" s="7">
        <v>41934</v>
      </c>
      <c r="K6" s="201" t="str">
        <f>IF(DATEDIF($J6,'Inst summary and ER calculation'!$T$6,"y")=1,"1-2 years","2-3 years")</f>
        <v>2-3 years</v>
      </c>
      <c r="L6" s="6" t="s">
        <v>780</v>
      </c>
      <c r="M6" s="4" t="s">
        <v>780</v>
      </c>
      <c r="N6" s="4">
        <v>14</v>
      </c>
      <c r="O6" s="4">
        <v>60</v>
      </c>
      <c r="P6" s="4" t="s">
        <v>780</v>
      </c>
      <c r="Q6" s="4" t="s">
        <v>780</v>
      </c>
      <c r="R6" s="4" t="s">
        <v>780</v>
      </c>
      <c r="S6" s="4" t="s">
        <v>780</v>
      </c>
      <c r="T6" s="4" t="s">
        <v>780</v>
      </c>
      <c r="U6" s="4" t="s">
        <v>780</v>
      </c>
      <c r="V6" s="4" t="s">
        <v>15</v>
      </c>
      <c r="W6" s="4"/>
      <c r="X6" s="4" t="s">
        <v>15</v>
      </c>
      <c r="Y6" s="4"/>
      <c r="Z6" s="4"/>
      <c r="AA6" s="4"/>
      <c r="AB6" s="202" t="str">
        <f t="shared" si="0"/>
        <v/>
      </c>
    </row>
    <row r="7" spans="1:28" s="203" customFormat="1" ht="14.5">
      <c r="A7" s="15">
        <v>42753</v>
      </c>
      <c r="B7" s="4" t="s">
        <v>117</v>
      </c>
      <c r="C7" s="4" t="s">
        <v>1559</v>
      </c>
      <c r="D7" s="4" t="s">
        <v>938</v>
      </c>
      <c r="E7" s="4"/>
      <c r="F7" s="4">
        <v>3</v>
      </c>
      <c r="G7" s="4">
        <v>1</v>
      </c>
      <c r="H7" s="4" t="s">
        <v>780</v>
      </c>
      <c r="I7" s="4" t="s">
        <v>557</v>
      </c>
      <c r="J7" s="7">
        <v>41744</v>
      </c>
      <c r="K7" s="201" t="str">
        <f>IF(DATEDIF($J7,'Inst summary and ER calculation'!$T$6,"y")=1,"1-2 years","2-3 years")</f>
        <v>2-3 years</v>
      </c>
      <c r="L7" s="6" t="s">
        <v>780</v>
      </c>
      <c r="M7" s="4" t="s">
        <v>780</v>
      </c>
      <c r="N7" s="4">
        <v>20</v>
      </c>
      <c r="O7" s="4">
        <v>84</v>
      </c>
      <c r="P7" s="4" t="s">
        <v>780</v>
      </c>
      <c r="Q7" s="4" t="s">
        <v>780</v>
      </c>
      <c r="R7" s="4" t="s">
        <v>780</v>
      </c>
      <c r="S7" s="4" t="s">
        <v>780</v>
      </c>
      <c r="T7" s="4" t="s">
        <v>780</v>
      </c>
      <c r="U7" s="4" t="s">
        <v>780</v>
      </c>
      <c r="V7" s="4" t="s">
        <v>15</v>
      </c>
      <c r="W7" s="4"/>
      <c r="X7" s="4" t="s">
        <v>15</v>
      </c>
      <c r="Y7" s="4"/>
      <c r="Z7" s="4"/>
      <c r="AA7" s="4"/>
      <c r="AB7" s="202" t="str">
        <f t="shared" si="0"/>
        <v/>
      </c>
    </row>
    <row r="8" spans="1:28" s="203" customFormat="1" ht="14.5">
      <c r="A8" s="15">
        <v>42744</v>
      </c>
      <c r="B8" s="204" t="s">
        <v>1114</v>
      </c>
      <c r="C8" s="11" t="s">
        <v>1115</v>
      </c>
      <c r="D8" s="12" t="s">
        <v>1116</v>
      </c>
      <c r="E8" s="12"/>
      <c r="F8" s="204">
        <v>2</v>
      </c>
      <c r="G8" s="204">
        <v>1</v>
      </c>
      <c r="H8" s="204" t="s">
        <v>16</v>
      </c>
      <c r="I8" s="204" t="s">
        <v>370</v>
      </c>
      <c r="J8" s="205">
        <v>42114</v>
      </c>
      <c r="K8" s="201" t="str">
        <f>IF(DATEDIF($J8,'Inst summary and ER calculation'!$T$6,"y")=1,"1-2 years","2-3 years")</f>
        <v>1-2 years</v>
      </c>
      <c r="L8" s="204" t="s">
        <v>16</v>
      </c>
      <c r="M8" s="204" t="s">
        <v>16</v>
      </c>
      <c r="N8" s="204">
        <v>14</v>
      </c>
      <c r="O8" s="204">
        <v>56</v>
      </c>
      <c r="P8" s="204" t="s">
        <v>16</v>
      </c>
      <c r="Q8" s="204" t="s">
        <v>16</v>
      </c>
      <c r="R8" s="204" t="s">
        <v>16</v>
      </c>
      <c r="S8" s="204" t="s">
        <v>16</v>
      </c>
      <c r="T8" s="204" t="s">
        <v>16</v>
      </c>
      <c r="U8" s="204" t="s">
        <v>16</v>
      </c>
      <c r="V8" s="204"/>
      <c r="W8" s="22"/>
      <c r="X8" s="204" t="s">
        <v>15</v>
      </c>
      <c r="Y8" s="204"/>
      <c r="Z8" s="204"/>
      <c r="AA8" s="204"/>
      <c r="AB8" s="202" t="str">
        <f t="shared" si="0"/>
        <v/>
      </c>
    </row>
    <row r="9" spans="1:28" s="203" customFormat="1" ht="14.5">
      <c r="A9" s="15">
        <v>42738</v>
      </c>
      <c r="B9" s="204" t="s">
        <v>1380</v>
      </c>
      <c r="C9" s="204" t="s">
        <v>1382</v>
      </c>
      <c r="D9" s="206" t="s">
        <v>1383</v>
      </c>
      <c r="E9" s="204"/>
      <c r="F9" s="204">
        <v>2</v>
      </c>
      <c r="G9" s="204">
        <v>2</v>
      </c>
      <c r="H9" s="204" t="s">
        <v>16</v>
      </c>
      <c r="I9" s="204" t="s">
        <v>355</v>
      </c>
      <c r="J9" s="205">
        <v>42109</v>
      </c>
      <c r="K9" s="201" t="str">
        <f>IF(DATEDIF($J9,'Inst summary and ER calculation'!$T$6,"y")=1,"1-2 years","2-3 years")</f>
        <v>1-2 years</v>
      </c>
      <c r="L9" s="204" t="s">
        <v>16</v>
      </c>
      <c r="M9" s="204" t="s">
        <v>16</v>
      </c>
      <c r="N9" s="204">
        <v>19</v>
      </c>
      <c r="O9" s="204">
        <v>78</v>
      </c>
      <c r="P9" s="204" t="s">
        <v>16</v>
      </c>
      <c r="Q9" s="204" t="s">
        <v>16</v>
      </c>
      <c r="R9" s="204" t="s">
        <v>16</v>
      </c>
      <c r="S9" s="204" t="s">
        <v>16</v>
      </c>
      <c r="T9" s="204" t="s">
        <v>16</v>
      </c>
      <c r="U9" s="204" t="s">
        <v>16</v>
      </c>
      <c r="V9" s="204"/>
      <c r="W9" s="22"/>
      <c r="X9" s="204" t="s">
        <v>15</v>
      </c>
      <c r="Y9" s="204"/>
      <c r="Z9" s="204"/>
      <c r="AA9" s="204"/>
      <c r="AB9" s="202" t="str">
        <f t="shared" si="0"/>
        <v/>
      </c>
    </row>
    <row r="10" spans="1:28" s="203" customFormat="1" ht="14.5">
      <c r="A10" s="15">
        <v>42755</v>
      </c>
      <c r="B10" s="204" t="s">
        <v>1392</v>
      </c>
      <c r="C10" s="204" t="s">
        <v>1393</v>
      </c>
      <c r="D10" s="206" t="s">
        <v>1394</v>
      </c>
      <c r="E10" s="204"/>
      <c r="F10" s="204">
        <v>2</v>
      </c>
      <c r="G10" s="204">
        <v>1</v>
      </c>
      <c r="H10" s="204" t="s">
        <v>16</v>
      </c>
      <c r="I10" s="204" t="s">
        <v>400</v>
      </c>
      <c r="J10" s="205">
        <v>42124</v>
      </c>
      <c r="K10" s="201" t="str">
        <f>IF(DATEDIF($J10,'Inst summary and ER calculation'!$T$6,"y")=1,"1-2 years","2-3 years")</f>
        <v>1-2 years</v>
      </c>
      <c r="L10" s="204" t="s">
        <v>16</v>
      </c>
      <c r="M10" s="204" t="s">
        <v>16</v>
      </c>
      <c r="N10" s="204">
        <v>18</v>
      </c>
      <c r="O10" s="204">
        <v>80</v>
      </c>
      <c r="P10" s="204" t="s">
        <v>16</v>
      </c>
      <c r="Q10" s="204" t="s">
        <v>16</v>
      </c>
      <c r="R10" s="204" t="s">
        <v>16</v>
      </c>
      <c r="S10" s="204" t="s">
        <v>16</v>
      </c>
      <c r="T10" s="204" t="s">
        <v>16</v>
      </c>
      <c r="U10" s="204" t="s">
        <v>16</v>
      </c>
      <c r="V10" s="204"/>
      <c r="W10" s="22"/>
      <c r="X10" s="204" t="s">
        <v>15</v>
      </c>
      <c r="Y10" s="204"/>
      <c r="Z10" s="204"/>
      <c r="AA10" s="204"/>
      <c r="AB10" s="202" t="str">
        <f t="shared" si="0"/>
        <v/>
      </c>
    </row>
    <row r="11" spans="1:28" s="203" customFormat="1" ht="14.5">
      <c r="A11" s="15">
        <v>42742</v>
      </c>
      <c r="B11" s="204" t="s">
        <v>1364</v>
      </c>
      <c r="C11" s="204" t="s">
        <v>1389</v>
      </c>
      <c r="D11" s="206" t="s">
        <v>1390</v>
      </c>
      <c r="E11" s="204"/>
      <c r="F11" s="204">
        <v>3</v>
      </c>
      <c r="G11" s="204">
        <v>2</v>
      </c>
      <c r="H11" s="204" t="s">
        <v>16</v>
      </c>
      <c r="I11" s="204" t="s">
        <v>390</v>
      </c>
      <c r="J11" s="205">
        <v>42123</v>
      </c>
      <c r="K11" s="201" t="str">
        <f>IF(DATEDIF($J11,'Inst summary and ER calculation'!$T$6,"y")=1,"1-2 years","2-3 years")</f>
        <v>1-2 years</v>
      </c>
      <c r="L11" s="204" t="s">
        <v>16</v>
      </c>
      <c r="M11" s="204" t="s">
        <v>16</v>
      </c>
      <c r="N11" s="204">
        <v>18</v>
      </c>
      <c r="O11" s="204">
        <v>72</v>
      </c>
      <c r="P11" s="204" t="s">
        <v>16</v>
      </c>
      <c r="Q11" s="204" t="s">
        <v>16</v>
      </c>
      <c r="R11" s="204" t="s">
        <v>16</v>
      </c>
      <c r="S11" s="204" t="s">
        <v>16</v>
      </c>
      <c r="T11" s="204" t="s">
        <v>16</v>
      </c>
      <c r="U11" s="204" t="s">
        <v>16</v>
      </c>
      <c r="V11" s="204"/>
      <c r="W11" s="22"/>
      <c r="X11" s="204" t="s">
        <v>15</v>
      </c>
      <c r="Y11" s="204"/>
      <c r="Z11" s="204"/>
      <c r="AA11" s="204"/>
      <c r="AB11" s="202" t="str">
        <f t="shared" si="0"/>
        <v/>
      </c>
    </row>
    <row r="12" spans="1:28" s="203" customFormat="1" ht="14.5">
      <c r="A12" s="15">
        <v>42751</v>
      </c>
      <c r="B12" s="204" t="s">
        <v>1339</v>
      </c>
      <c r="C12" s="204" t="s">
        <v>102</v>
      </c>
      <c r="D12" s="206" t="s">
        <v>1388</v>
      </c>
      <c r="E12" s="204"/>
      <c r="F12" s="204">
        <v>3</v>
      </c>
      <c r="G12" s="204">
        <v>2</v>
      </c>
      <c r="H12" s="204" t="s">
        <v>16</v>
      </c>
      <c r="I12" s="204" t="s">
        <v>386</v>
      </c>
      <c r="J12" s="205">
        <v>42122</v>
      </c>
      <c r="K12" s="201" t="str">
        <f>IF(DATEDIF($J12,'Inst summary and ER calculation'!$T$6,"y")=1,"1-2 years","2-3 years")</f>
        <v>1-2 years</v>
      </c>
      <c r="L12" s="204" t="s">
        <v>16</v>
      </c>
      <c r="M12" s="204" t="s">
        <v>16</v>
      </c>
      <c r="N12" s="204">
        <v>18</v>
      </c>
      <c r="O12" s="204">
        <v>70</v>
      </c>
      <c r="P12" s="204" t="s">
        <v>16</v>
      </c>
      <c r="Q12" s="204" t="s">
        <v>16</v>
      </c>
      <c r="R12" s="204" t="s">
        <v>16</v>
      </c>
      <c r="S12" s="204" t="s">
        <v>16</v>
      </c>
      <c r="T12" s="204" t="s">
        <v>16</v>
      </c>
      <c r="U12" s="204" t="s">
        <v>16</v>
      </c>
      <c r="V12" s="204"/>
      <c r="W12" s="22"/>
      <c r="X12" s="204" t="s">
        <v>15</v>
      </c>
      <c r="Y12" s="204"/>
      <c r="Z12" s="204"/>
      <c r="AA12" s="204"/>
      <c r="AB12" s="202" t="str">
        <f t="shared" si="0"/>
        <v/>
      </c>
    </row>
    <row r="13" spans="1:28" s="203" customFormat="1" ht="14.5">
      <c r="A13" s="15">
        <v>42751</v>
      </c>
      <c r="B13" s="204" t="s">
        <v>1050</v>
      </c>
      <c r="C13" s="204" t="s">
        <v>1222</v>
      </c>
      <c r="D13" s="206" t="s">
        <v>1223</v>
      </c>
      <c r="E13" s="204"/>
      <c r="F13" s="204">
        <v>5</v>
      </c>
      <c r="G13" s="204">
        <v>1</v>
      </c>
      <c r="H13" s="204" t="s">
        <v>16</v>
      </c>
      <c r="I13" s="204" t="s">
        <v>348</v>
      </c>
      <c r="J13" s="205">
        <v>42104</v>
      </c>
      <c r="K13" s="201" t="str">
        <f>IF(DATEDIF($J13,'Inst summary and ER calculation'!$T$6,"y")=1,"1-2 years","2-3 years")</f>
        <v>1-2 years</v>
      </c>
      <c r="L13" s="204" t="s">
        <v>16</v>
      </c>
      <c r="M13" s="204" t="s">
        <v>16</v>
      </c>
      <c r="N13" s="204">
        <v>20</v>
      </c>
      <c r="O13" s="204">
        <v>80</v>
      </c>
      <c r="P13" s="204" t="s">
        <v>16</v>
      </c>
      <c r="Q13" s="204" t="s">
        <v>16</v>
      </c>
      <c r="R13" s="204" t="s">
        <v>16</v>
      </c>
      <c r="S13" s="204" t="s">
        <v>16</v>
      </c>
      <c r="T13" s="204" t="s">
        <v>16</v>
      </c>
      <c r="U13" s="204" t="s">
        <v>16</v>
      </c>
      <c r="V13" s="204"/>
      <c r="W13" s="22"/>
      <c r="X13" s="204" t="s">
        <v>15</v>
      </c>
      <c r="Y13" s="204"/>
      <c r="Z13" s="204"/>
      <c r="AA13" s="204"/>
      <c r="AB13" s="202" t="str">
        <f t="shared" si="0"/>
        <v/>
      </c>
    </row>
    <row r="14" spans="1:28" s="203" customFormat="1" ht="14.5">
      <c r="A14" s="15">
        <v>42743</v>
      </c>
      <c r="B14" s="204" t="s">
        <v>1180</v>
      </c>
      <c r="C14" s="204" t="s">
        <v>85</v>
      </c>
      <c r="D14" s="206" t="s">
        <v>1232</v>
      </c>
      <c r="E14" s="204"/>
      <c r="F14" s="204">
        <v>5</v>
      </c>
      <c r="G14" s="204">
        <v>2</v>
      </c>
      <c r="H14" s="204" t="s">
        <v>16</v>
      </c>
      <c r="I14" s="204" t="s">
        <v>395</v>
      </c>
      <c r="J14" s="205">
        <v>42123</v>
      </c>
      <c r="K14" s="201" t="str">
        <f>IF(DATEDIF($J14,'Inst summary and ER calculation'!$T$6,"y")=1,"1-2 years","2-3 years")</f>
        <v>1-2 years</v>
      </c>
      <c r="L14" s="204" t="s">
        <v>16</v>
      </c>
      <c r="M14" s="204" t="s">
        <v>16</v>
      </c>
      <c r="N14" s="204">
        <v>14</v>
      </c>
      <c r="O14" s="204">
        <v>60</v>
      </c>
      <c r="P14" s="204" t="s">
        <v>16</v>
      </c>
      <c r="Q14" s="204" t="s">
        <v>16</v>
      </c>
      <c r="R14" s="204" t="s">
        <v>16</v>
      </c>
      <c r="S14" s="204" t="s">
        <v>16</v>
      </c>
      <c r="T14" s="204" t="s">
        <v>16</v>
      </c>
      <c r="U14" s="204" t="s">
        <v>16</v>
      </c>
      <c r="V14" s="204"/>
      <c r="W14" s="22"/>
      <c r="X14" s="204" t="s">
        <v>15</v>
      </c>
      <c r="Y14" s="204"/>
      <c r="Z14" s="204"/>
      <c r="AA14" s="204"/>
      <c r="AB14" s="202" t="str">
        <f t="shared" si="0"/>
        <v/>
      </c>
    </row>
    <row r="15" spans="1:28" s="203" customFormat="1" ht="14.5">
      <c r="A15" s="15">
        <v>42739</v>
      </c>
      <c r="B15" s="204" t="s">
        <v>1015</v>
      </c>
      <c r="C15" s="204" t="s">
        <v>1069</v>
      </c>
      <c r="D15" s="12" t="s">
        <v>1070</v>
      </c>
      <c r="E15" s="12"/>
      <c r="F15" s="204">
        <v>4</v>
      </c>
      <c r="G15" s="204">
        <v>2</v>
      </c>
      <c r="H15" s="204" t="s">
        <v>16</v>
      </c>
      <c r="I15" s="204" t="s">
        <v>754</v>
      </c>
      <c r="J15" s="207">
        <v>42017</v>
      </c>
      <c r="K15" s="201" t="str">
        <f>IF(DATEDIF($J15,'Inst summary and ER calculation'!$T$6,"y")=1,"1-2 years","2-3 years")</f>
        <v>2-3 years</v>
      </c>
      <c r="L15" s="204" t="s">
        <v>16</v>
      </c>
      <c r="M15" s="204" t="s">
        <v>16</v>
      </c>
      <c r="N15" s="204">
        <v>17</v>
      </c>
      <c r="O15" s="204">
        <v>70</v>
      </c>
      <c r="P15" s="204" t="s">
        <v>16</v>
      </c>
      <c r="Q15" s="204" t="s">
        <v>16</v>
      </c>
      <c r="R15" s="204" t="s">
        <v>16</v>
      </c>
      <c r="S15" s="204" t="s">
        <v>16</v>
      </c>
      <c r="T15" s="204" t="s">
        <v>16</v>
      </c>
      <c r="U15" s="204" t="s">
        <v>16</v>
      </c>
      <c r="V15" s="204"/>
      <c r="W15" s="22"/>
      <c r="X15" s="204" t="s">
        <v>15</v>
      </c>
      <c r="Y15" s="204"/>
      <c r="Z15" s="204"/>
      <c r="AA15" s="204"/>
      <c r="AB15" s="202" t="str">
        <f t="shared" si="0"/>
        <v/>
      </c>
    </row>
    <row r="16" spans="1:28" s="203" customFormat="1" ht="14.5">
      <c r="A16" s="15">
        <v>42744</v>
      </c>
      <c r="B16" s="204" t="s">
        <v>19</v>
      </c>
      <c r="C16" s="12" t="s">
        <v>111</v>
      </c>
      <c r="D16" s="12" t="s">
        <v>1035</v>
      </c>
      <c r="E16" s="12"/>
      <c r="F16" s="204">
        <v>2</v>
      </c>
      <c r="G16" s="204">
        <v>2</v>
      </c>
      <c r="H16" s="204" t="s">
        <v>16</v>
      </c>
      <c r="I16" s="204" t="s">
        <v>638</v>
      </c>
      <c r="J16" s="207">
        <v>41927</v>
      </c>
      <c r="K16" s="201" t="str">
        <f>IF(DATEDIF($J16,'Inst summary and ER calculation'!$T$6,"y")=1,"1-2 years","2-3 years")</f>
        <v>2-3 years</v>
      </c>
      <c r="L16" s="204" t="s">
        <v>16</v>
      </c>
      <c r="M16" s="204" t="s">
        <v>16</v>
      </c>
      <c r="N16" s="204">
        <v>14</v>
      </c>
      <c r="O16" s="204">
        <v>60</v>
      </c>
      <c r="P16" s="204" t="s">
        <v>16</v>
      </c>
      <c r="Q16" s="204" t="s">
        <v>16</v>
      </c>
      <c r="R16" s="204" t="s">
        <v>16</v>
      </c>
      <c r="S16" s="204" t="s">
        <v>16</v>
      </c>
      <c r="T16" s="204" t="s">
        <v>16</v>
      </c>
      <c r="U16" s="204" t="s">
        <v>16</v>
      </c>
      <c r="V16" s="204"/>
      <c r="W16" s="22"/>
      <c r="X16" s="204" t="s">
        <v>15</v>
      </c>
      <c r="Y16" s="204"/>
      <c r="Z16" s="204"/>
      <c r="AA16" s="204"/>
      <c r="AB16" s="202" t="str">
        <f t="shared" si="0"/>
        <v/>
      </c>
    </row>
    <row r="17" spans="1:28" s="203" customFormat="1" ht="14.5">
      <c r="A17" s="15">
        <v>42747</v>
      </c>
      <c r="B17" s="208" t="s">
        <v>838</v>
      </c>
      <c r="C17" s="208" t="s">
        <v>88</v>
      </c>
      <c r="D17" s="4" t="s">
        <v>926</v>
      </c>
      <c r="E17" s="4"/>
      <c r="F17" s="4">
        <v>3</v>
      </c>
      <c r="G17" s="4">
        <v>1</v>
      </c>
      <c r="H17" s="4" t="s">
        <v>780</v>
      </c>
      <c r="I17" s="4" t="s">
        <v>728</v>
      </c>
      <c r="J17" s="7">
        <v>41988</v>
      </c>
      <c r="K17" s="201" t="str">
        <f>IF(DATEDIF($J17,'Inst summary and ER calculation'!$T$6,"y")=1,"1-2 years","2-3 years")</f>
        <v>2-3 years</v>
      </c>
      <c r="L17" s="6" t="s">
        <v>780</v>
      </c>
      <c r="M17" s="4" t="s">
        <v>780</v>
      </c>
      <c r="N17" s="4">
        <v>20</v>
      </c>
      <c r="O17" s="4">
        <v>84</v>
      </c>
      <c r="P17" s="4" t="s">
        <v>780</v>
      </c>
      <c r="Q17" s="4" t="s">
        <v>780</v>
      </c>
      <c r="R17" s="4" t="s">
        <v>780</v>
      </c>
      <c r="S17" s="4" t="s">
        <v>780</v>
      </c>
      <c r="T17" s="4" t="s">
        <v>780</v>
      </c>
      <c r="U17" s="4" t="s">
        <v>780</v>
      </c>
      <c r="V17" s="4" t="s">
        <v>15</v>
      </c>
      <c r="W17" s="4"/>
      <c r="X17" s="4" t="s">
        <v>15</v>
      </c>
      <c r="Y17" s="4"/>
      <c r="Z17" s="4"/>
      <c r="AA17" s="4"/>
      <c r="AB17" s="202" t="str">
        <f t="shared" si="0"/>
        <v/>
      </c>
    </row>
    <row r="18" spans="1:28" s="203" customFormat="1" ht="14.5">
      <c r="A18" s="15">
        <v>42754</v>
      </c>
      <c r="B18" s="204" t="s">
        <v>1263</v>
      </c>
      <c r="C18" s="204" t="s">
        <v>1344</v>
      </c>
      <c r="D18" s="206" t="s">
        <v>1345</v>
      </c>
      <c r="E18" s="204"/>
      <c r="F18" s="204">
        <v>4</v>
      </c>
      <c r="G18" s="204"/>
      <c r="H18" s="204" t="s">
        <v>16</v>
      </c>
      <c r="I18" s="204" t="s">
        <v>273</v>
      </c>
      <c r="J18" s="205">
        <v>42042</v>
      </c>
      <c r="K18" s="201" t="str">
        <f>IF(DATEDIF($J18,'Inst summary and ER calculation'!$T$6,"y")=1,"1-2 years","2-3 years")</f>
        <v>2-3 years</v>
      </c>
      <c r="L18" s="204" t="s">
        <v>16</v>
      </c>
      <c r="M18" s="204" t="s">
        <v>16</v>
      </c>
      <c r="N18" s="204">
        <v>14</v>
      </c>
      <c r="O18" s="204">
        <v>60</v>
      </c>
      <c r="P18" s="204" t="s">
        <v>16</v>
      </c>
      <c r="Q18" s="204" t="s">
        <v>16</v>
      </c>
      <c r="R18" s="204" t="s">
        <v>16</v>
      </c>
      <c r="S18" s="204" t="s">
        <v>16</v>
      </c>
      <c r="T18" s="204" t="s">
        <v>16</v>
      </c>
      <c r="U18" s="204" t="s">
        <v>16</v>
      </c>
      <c r="V18" s="204"/>
      <c r="W18" s="22"/>
      <c r="X18" s="204" t="s">
        <v>15</v>
      </c>
      <c r="Y18" s="204"/>
      <c r="Z18" s="204"/>
      <c r="AA18" s="204"/>
      <c r="AB18" s="202" t="str">
        <f t="shared" si="0"/>
        <v/>
      </c>
    </row>
    <row r="19" spans="1:28" s="203" customFormat="1" ht="14.5">
      <c r="A19" s="15">
        <v>42751</v>
      </c>
      <c r="B19" s="4" t="s">
        <v>823</v>
      </c>
      <c r="C19" s="4" t="s">
        <v>716</v>
      </c>
      <c r="D19" s="4" t="s">
        <v>1001</v>
      </c>
      <c r="E19" s="4"/>
      <c r="F19" s="4">
        <v>5</v>
      </c>
      <c r="G19" s="4">
        <v>0</v>
      </c>
      <c r="H19" s="4" t="s">
        <v>780</v>
      </c>
      <c r="I19" s="4" t="s">
        <v>715</v>
      </c>
      <c r="J19" s="7">
        <v>41972</v>
      </c>
      <c r="K19" s="201" t="str">
        <f>IF(DATEDIF($J19,'Inst summary and ER calculation'!$T$6,"y")=1,"1-2 years","2-3 years")</f>
        <v>2-3 years</v>
      </c>
      <c r="L19" s="6" t="s">
        <v>780</v>
      </c>
      <c r="M19" s="4" t="s">
        <v>780</v>
      </c>
      <c r="N19" s="4">
        <v>14</v>
      </c>
      <c r="O19" s="4">
        <v>60</v>
      </c>
      <c r="P19" s="4" t="s">
        <v>780</v>
      </c>
      <c r="Q19" s="4" t="s">
        <v>780</v>
      </c>
      <c r="R19" s="4" t="s">
        <v>780</v>
      </c>
      <c r="S19" s="4" t="s">
        <v>780</v>
      </c>
      <c r="T19" s="4" t="s">
        <v>780</v>
      </c>
      <c r="U19" s="4" t="s">
        <v>780</v>
      </c>
      <c r="V19" s="4" t="s">
        <v>15</v>
      </c>
      <c r="W19" s="4"/>
      <c r="X19" s="4" t="s">
        <v>15</v>
      </c>
      <c r="Y19" s="4"/>
      <c r="Z19" s="4"/>
      <c r="AA19" s="4"/>
      <c r="AB19" s="202" t="str">
        <f t="shared" si="0"/>
        <v/>
      </c>
    </row>
    <row r="20" spans="1:28" s="203" customFormat="1" ht="14.5">
      <c r="A20" s="15">
        <v>42755</v>
      </c>
      <c r="B20" s="204" t="s">
        <v>573</v>
      </c>
      <c r="C20" s="204" t="s">
        <v>1066</v>
      </c>
      <c r="D20" s="12" t="s">
        <v>1067</v>
      </c>
      <c r="E20" s="12"/>
      <c r="F20" s="204">
        <v>3</v>
      </c>
      <c r="G20" s="204">
        <v>1</v>
      </c>
      <c r="H20" s="204" t="s">
        <v>16</v>
      </c>
      <c r="I20" s="204" t="s">
        <v>745</v>
      </c>
      <c r="J20" s="205">
        <v>42003</v>
      </c>
      <c r="K20" s="201" t="str">
        <f>IF(DATEDIF($J20,'Inst summary and ER calculation'!$T$6,"y")=1,"1-2 years","2-3 years")</f>
        <v>2-3 years</v>
      </c>
      <c r="L20" s="204" t="s">
        <v>16</v>
      </c>
      <c r="M20" s="204" t="s">
        <v>16</v>
      </c>
      <c r="N20" s="204">
        <v>18</v>
      </c>
      <c r="O20" s="204">
        <v>81</v>
      </c>
      <c r="P20" s="204" t="s">
        <v>16</v>
      </c>
      <c r="Q20" s="204" t="s">
        <v>16</v>
      </c>
      <c r="R20" s="204" t="s">
        <v>16</v>
      </c>
      <c r="S20" s="204" t="s">
        <v>16</v>
      </c>
      <c r="T20" s="204" t="s">
        <v>16</v>
      </c>
      <c r="U20" s="204" t="s">
        <v>16</v>
      </c>
      <c r="V20" s="204"/>
      <c r="W20" s="22"/>
      <c r="X20" s="204" t="s">
        <v>15</v>
      </c>
      <c r="Y20" s="204"/>
      <c r="Z20" s="204"/>
      <c r="AA20" s="204"/>
      <c r="AB20" s="202" t="str">
        <f t="shared" si="0"/>
        <v/>
      </c>
    </row>
    <row r="21" spans="1:28" s="203" customFormat="1" ht="14.5">
      <c r="A21" s="15">
        <v>42740</v>
      </c>
      <c r="B21" s="4" t="s">
        <v>840</v>
      </c>
      <c r="C21" s="4" t="s">
        <v>705</v>
      </c>
      <c r="D21" s="4" t="s">
        <v>977</v>
      </c>
      <c r="E21" s="4"/>
      <c r="F21" s="4">
        <v>2</v>
      </c>
      <c r="G21" s="4">
        <v>2</v>
      </c>
      <c r="H21" s="4" t="s">
        <v>780</v>
      </c>
      <c r="I21" s="4" t="s">
        <v>704</v>
      </c>
      <c r="J21" s="7">
        <v>41959</v>
      </c>
      <c r="K21" s="201" t="str">
        <f>IF(DATEDIF($J21,'Inst summary and ER calculation'!$T$6,"y")=1,"1-2 years","2-3 years")</f>
        <v>2-3 years</v>
      </c>
      <c r="L21" s="6" t="s">
        <v>780</v>
      </c>
      <c r="M21" s="4" t="s">
        <v>780</v>
      </c>
      <c r="N21" s="4">
        <v>19</v>
      </c>
      <c r="O21" s="4">
        <v>80</v>
      </c>
      <c r="P21" s="4" t="s">
        <v>780</v>
      </c>
      <c r="Q21" s="4" t="s">
        <v>780</v>
      </c>
      <c r="R21" s="4" t="s">
        <v>780</v>
      </c>
      <c r="S21" s="4" t="s">
        <v>780</v>
      </c>
      <c r="T21" s="4" t="s">
        <v>780</v>
      </c>
      <c r="U21" s="4" t="s">
        <v>780</v>
      </c>
      <c r="V21" s="4" t="s">
        <v>15</v>
      </c>
      <c r="W21" s="4"/>
      <c r="X21" s="4" t="s">
        <v>15</v>
      </c>
      <c r="Y21" s="4"/>
      <c r="Z21" s="4"/>
      <c r="AA21" s="4"/>
      <c r="AB21" s="202" t="str">
        <f t="shared" si="0"/>
        <v/>
      </c>
    </row>
    <row r="22" spans="1:28" s="203" customFormat="1" ht="14.5">
      <c r="A22" s="15">
        <v>42745</v>
      </c>
      <c r="B22" s="4" t="s">
        <v>40</v>
      </c>
      <c r="C22" s="4" t="s">
        <v>237</v>
      </c>
      <c r="D22" s="4" t="s">
        <v>911</v>
      </c>
      <c r="E22" s="4"/>
      <c r="F22" s="4">
        <v>5</v>
      </c>
      <c r="G22" s="4">
        <v>1</v>
      </c>
      <c r="H22" s="4" t="s">
        <v>780</v>
      </c>
      <c r="I22" s="4" t="s">
        <v>752</v>
      </c>
      <c r="J22" s="7">
        <v>42006</v>
      </c>
      <c r="K22" s="201" t="str">
        <f>IF(DATEDIF($J22,'Inst summary and ER calculation'!$T$6,"y")=1,"1-2 years","2-3 years")</f>
        <v>2-3 years</v>
      </c>
      <c r="L22" s="6" t="s">
        <v>780</v>
      </c>
      <c r="M22" s="4" t="s">
        <v>780</v>
      </c>
      <c r="N22" s="4">
        <v>18</v>
      </c>
      <c r="O22" s="4">
        <v>76</v>
      </c>
      <c r="P22" s="4" t="s">
        <v>780</v>
      </c>
      <c r="Q22" s="4" t="s">
        <v>780</v>
      </c>
      <c r="R22" s="4" t="s">
        <v>780</v>
      </c>
      <c r="S22" s="4" t="s">
        <v>780</v>
      </c>
      <c r="T22" s="4" t="s">
        <v>780</v>
      </c>
      <c r="U22" s="4" t="s">
        <v>780</v>
      </c>
      <c r="V22" s="4" t="s">
        <v>15</v>
      </c>
      <c r="W22" s="4"/>
      <c r="X22" s="4" t="s">
        <v>15</v>
      </c>
      <c r="Y22" s="4"/>
      <c r="Z22" s="4"/>
      <c r="AA22" s="4"/>
      <c r="AB22" s="202" t="str">
        <f t="shared" si="0"/>
        <v/>
      </c>
    </row>
    <row r="23" spans="1:28" s="203" customFormat="1" ht="14.5">
      <c r="A23" s="15">
        <v>42739</v>
      </c>
      <c r="B23" s="4" t="s">
        <v>922</v>
      </c>
      <c r="C23" s="4" t="s">
        <v>1528</v>
      </c>
      <c r="D23" s="4" t="s">
        <v>923</v>
      </c>
      <c r="E23" s="4"/>
      <c r="F23" s="4">
        <v>2</v>
      </c>
      <c r="G23" s="4">
        <v>2</v>
      </c>
      <c r="H23" s="4" t="s">
        <v>780</v>
      </c>
      <c r="I23" s="4" t="s">
        <v>572</v>
      </c>
      <c r="J23" s="7">
        <v>41812</v>
      </c>
      <c r="K23" s="201" t="str">
        <f>IF(DATEDIF($J23,'Inst summary and ER calculation'!$T$6,"y")=1,"1-2 years","2-3 years")</f>
        <v>2-3 years</v>
      </c>
      <c r="L23" s="6" t="s">
        <v>780</v>
      </c>
      <c r="M23" s="4" t="s">
        <v>780</v>
      </c>
      <c r="N23" s="4">
        <v>14</v>
      </c>
      <c r="O23" s="4">
        <v>65</v>
      </c>
      <c r="P23" s="4" t="s">
        <v>780</v>
      </c>
      <c r="Q23" s="4" t="s">
        <v>780</v>
      </c>
      <c r="R23" s="4" t="s">
        <v>780</v>
      </c>
      <c r="S23" s="4" t="s">
        <v>780</v>
      </c>
      <c r="T23" s="4" t="s">
        <v>780</v>
      </c>
      <c r="U23" s="4" t="s">
        <v>780</v>
      </c>
      <c r="V23" s="4" t="s">
        <v>15</v>
      </c>
      <c r="W23" s="4"/>
      <c r="X23" s="4" t="s">
        <v>15</v>
      </c>
      <c r="Y23" s="4"/>
      <c r="Z23" s="4"/>
      <c r="AA23" s="4"/>
      <c r="AB23" s="202" t="str">
        <f t="shared" si="0"/>
        <v/>
      </c>
    </row>
    <row r="24" spans="1:28" s="203" customFormat="1" ht="14.5">
      <c r="A24" s="15">
        <v>42744</v>
      </c>
      <c r="B24" s="208" t="s">
        <v>927</v>
      </c>
      <c r="C24" s="4" t="s">
        <v>1545</v>
      </c>
      <c r="D24" s="4" t="s">
        <v>930</v>
      </c>
      <c r="E24" s="4"/>
      <c r="F24" s="4">
        <v>3</v>
      </c>
      <c r="G24" s="4">
        <v>2</v>
      </c>
      <c r="H24" s="4" t="s">
        <v>780</v>
      </c>
      <c r="I24" s="4" t="s">
        <v>333</v>
      </c>
      <c r="J24" s="7">
        <v>42091</v>
      </c>
      <c r="K24" s="201" t="str">
        <f>IF(DATEDIF($J24,'Inst summary and ER calculation'!$T$6,"y")=1,"1-2 years","2-3 years")</f>
        <v>1-2 years</v>
      </c>
      <c r="L24" s="6" t="s">
        <v>780</v>
      </c>
      <c r="M24" s="4" t="s">
        <v>780</v>
      </c>
      <c r="N24" s="4">
        <v>14</v>
      </c>
      <c r="O24" s="4">
        <v>60</v>
      </c>
      <c r="P24" s="4" t="s">
        <v>780</v>
      </c>
      <c r="Q24" s="4" t="s">
        <v>780</v>
      </c>
      <c r="R24" s="4" t="s">
        <v>780</v>
      </c>
      <c r="S24" s="4" t="s">
        <v>780</v>
      </c>
      <c r="T24" s="4" t="s">
        <v>780</v>
      </c>
      <c r="U24" s="4" t="s">
        <v>780</v>
      </c>
      <c r="V24" s="4" t="s">
        <v>15</v>
      </c>
      <c r="W24" s="4"/>
      <c r="X24" s="4" t="s">
        <v>15</v>
      </c>
      <c r="Y24" s="4"/>
      <c r="Z24" s="4"/>
      <c r="AA24" s="4"/>
      <c r="AB24" s="202" t="str">
        <f t="shared" si="0"/>
        <v/>
      </c>
    </row>
    <row r="25" spans="1:28" s="203" customFormat="1" ht="14.5">
      <c r="A25" s="15">
        <v>42742</v>
      </c>
      <c r="B25" s="4" t="s">
        <v>172</v>
      </c>
      <c r="C25" s="4" t="s">
        <v>1540</v>
      </c>
      <c r="D25" s="4" t="s">
        <v>953</v>
      </c>
      <c r="E25" s="4"/>
      <c r="F25" s="4">
        <v>2</v>
      </c>
      <c r="G25" s="4">
        <v>2</v>
      </c>
      <c r="H25" s="4" t="s">
        <v>780</v>
      </c>
      <c r="I25" s="4" t="s">
        <v>582</v>
      </c>
      <c r="J25" s="7">
        <v>41857</v>
      </c>
      <c r="K25" s="201" t="str">
        <f>IF(DATEDIF($J25,'Inst summary and ER calculation'!$T$6,"y")=1,"1-2 years","2-3 years")</f>
        <v>2-3 years</v>
      </c>
      <c r="L25" s="6" t="s">
        <v>780</v>
      </c>
      <c r="M25" s="4" t="s">
        <v>780</v>
      </c>
      <c r="N25" s="4">
        <v>14</v>
      </c>
      <c r="O25" s="4">
        <v>60</v>
      </c>
      <c r="P25" s="4" t="s">
        <v>780</v>
      </c>
      <c r="Q25" s="4" t="s">
        <v>780</v>
      </c>
      <c r="R25" s="4" t="s">
        <v>780</v>
      </c>
      <c r="S25" s="4" t="s">
        <v>780</v>
      </c>
      <c r="T25" s="4" t="s">
        <v>780</v>
      </c>
      <c r="U25" s="4" t="s">
        <v>780</v>
      </c>
      <c r="V25" s="4" t="s">
        <v>15</v>
      </c>
      <c r="W25" s="4"/>
      <c r="X25" s="4" t="s">
        <v>15</v>
      </c>
      <c r="Y25" s="4"/>
      <c r="Z25" s="4"/>
      <c r="AA25" s="4"/>
      <c r="AB25" s="202" t="str">
        <f t="shared" si="0"/>
        <v/>
      </c>
    </row>
    <row r="26" spans="1:28" s="203" customFormat="1" ht="14.5">
      <c r="A26" s="15">
        <v>42751</v>
      </c>
      <c r="B26" s="4" t="s">
        <v>785</v>
      </c>
      <c r="C26" s="4" t="s">
        <v>1557</v>
      </c>
      <c r="D26" s="4" t="s">
        <v>988</v>
      </c>
      <c r="E26" s="4"/>
      <c r="F26" s="4">
        <v>2</v>
      </c>
      <c r="G26" s="4">
        <v>4</v>
      </c>
      <c r="H26" s="4" t="s">
        <v>780</v>
      </c>
      <c r="I26" s="4" t="s">
        <v>695</v>
      </c>
      <c r="J26" s="7">
        <v>41943</v>
      </c>
      <c r="K26" s="201" t="str">
        <f>IF(DATEDIF($J26,'Inst summary and ER calculation'!$T$6,"y")=1,"1-2 years","2-3 years")</f>
        <v>2-3 years</v>
      </c>
      <c r="L26" s="6" t="s">
        <v>780</v>
      </c>
      <c r="M26" s="4" t="s">
        <v>780</v>
      </c>
      <c r="N26" s="4">
        <v>14</v>
      </c>
      <c r="O26" s="4">
        <v>60</v>
      </c>
      <c r="P26" s="4" t="s">
        <v>780</v>
      </c>
      <c r="Q26" s="4" t="s">
        <v>780</v>
      </c>
      <c r="R26" s="4" t="s">
        <v>780</v>
      </c>
      <c r="S26" s="4" t="s">
        <v>780</v>
      </c>
      <c r="T26" s="4" t="s">
        <v>780</v>
      </c>
      <c r="U26" s="4" t="s">
        <v>780</v>
      </c>
      <c r="V26" s="4" t="s">
        <v>15</v>
      </c>
      <c r="W26" s="4"/>
      <c r="X26" s="4" t="s">
        <v>15</v>
      </c>
      <c r="Y26" s="4"/>
      <c r="Z26" s="4"/>
      <c r="AA26" s="4"/>
      <c r="AB26" s="202" t="str">
        <f t="shared" si="0"/>
        <v/>
      </c>
    </row>
    <row r="27" spans="1:28" s="203" customFormat="1" ht="14.5">
      <c r="A27" s="15">
        <v>42751</v>
      </c>
      <c r="B27" s="4" t="s">
        <v>932</v>
      </c>
      <c r="C27" s="4" t="s">
        <v>1555</v>
      </c>
      <c r="D27" s="4" t="s">
        <v>933</v>
      </c>
      <c r="E27" s="4"/>
      <c r="F27" s="4">
        <v>2</v>
      </c>
      <c r="G27" s="4">
        <v>2</v>
      </c>
      <c r="H27" s="4" t="s">
        <v>780</v>
      </c>
      <c r="I27" s="4" t="s">
        <v>681</v>
      </c>
      <c r="J27" s="7">
        <v>41940</v>
      </c>
      <c r="K27" s="201" t="str">
        <f>IF(DATEDIF($J27,'Inst summary and ER calculation'!$T$6,"y")=1,"1-2 years","2-3 years")</f>
        <v>2-3 years</v>
      </c>
      <c r="L27" s="6" t="s">
        <v>780</v>
      </c>
      <c r="M27" s="4" t="s">
        <v>780</v>
      </c>
      <c r="N27" s="4">
        <v>20</v>
      </c>
      <c r="O27" s="4">
        <v>84</v>
      </c>
      <c r="P27" s="4" t="s">
        <v>780</v>
      </c>
      <c r="Q27" s="4" t="s">
        <v>780</v>
      </c>
      <c r="R27" s="4" t="s">
        <v>780</v>
      </c>
      <c r="S27" s="4" t="s">
        <v>780</v>
      </c>
      <c r="T27" s="4" t="s">
        <v>780</v>
      </c>
      <c r="U27" s="4" t="s">
        <v>780</v>
      </c>
      <c r="V27" s="4" t="s">
        <v>15</v>
      </c>
      <c r="W27" s="4"/>
      <c r="X27" s="4" t="s">
        <v>15</v>
      </c>
      <c r="Y27" s="4"/>
      <c r="Z27" s="4"/>
      <c r="AA27" s="4"/>
      <c r="AB27" s="202" t="str">
        <f t="shared" si="0"/>
        <v/>
      </c>
    </row>
    <row r="28" spans="1:28" s="203" customFormat="1" ht="14.5">
      <c r="A28" s="15">
        <v>42741</v>
      </c>
      <c r="B28" s="208" t="s">
        <v>43</v>
      </c>
      <c r="C28" s="4" t="s">
        <v>1535</v>
      </c>
      <c r="D28" s="209" t="s">
        <v>969</v>
      </c>
      <c r="E28" s="209"/>
      <c r="F28" s="4">
        <v>2</v>
      </c>
      <c r="G28" s="4">
        <v>2</v>
      </c>
      <c r="H28" s="4" t="s">
        <v>780</v>
      </c>
      <c r="I28" s="4" t="s">
        <v>240</v>
      </c>
      <c r="J28" s="7">
        <v>42017</v>
      </c>
      <c r="K28" s="201" t="str">
        <f>IF(DATEDIF($J28,'Inst summary and ER calculation'!$T$6,"y")=1,"1-2 years","2-3 years")</f>
        <v>2-3 years</v>
      </c>
      <c r="L28" s="6" t="s">
        <v>780</v>
      </c>
      <c r="M28" s="4" t="s">
        <v>780</v>
      </c>
      <c r="N28" s="4">
        <v>21</v>
      </c>
      <c r="O28" s="4">
        <v>88</v>
      </c>
      <c r="P28" s="4" t="s">
        <v>780</v>
      </c>
      <c r="Q28" s="4" t="s">
        <v>780</v>
      </c>
      <c r="R28" s="4" t="s">
        <v>780</v>
      </c>
      <c r="S28" s="4" t="s">
        <v>780</v>
      </c>
      <c r="T28" s="4" t="s">
        <v>780</v>
      </c>
      <c r="U28" s="4" t="s">
        <v>780</v>
      </c>
      <c r="V28" s="4" t="s">
        <v>15</v>
      </c>
      <c r="W28" s="4"/>
      <c r="X28" s="4" t="s">
        <v>15</v>
      </c>
      <c r="Y28" s="4"/>
      <c r="Z28" s="4"/>
      <c r="AA28" s="4"/>
      <c r="AB28" s="202" t="str">
        <f t="shared" si="0"/>
        <v/>
      </c>
    </row>
    <row r="29" spans="1:28" s="203" customFormat="1" ht="14.5">
      <c r="A29" s="15">
        <v>42753</v>
      </c>
      <c r="B29" s="8" t="s">
        <v>942</v>
      </c>
      <c r="C29" s="4" t="s">
        <v>1562</v>
      </c>
      <c r="D29" s="209" t="s">
        <v>943</v>
      </c>
      <c r="E29" s="209"/>
      <c r="F29" s="4">
        <v>3</v>
      </c>
      <c r="G29" s="4">
        <v>2</v>
      </c>
      <c r="H29" s="4" t="s">
        <v>780</v>
      </c>
      <c r="I29" s="4" t="s">
        <v>709</v>
      </c>
      <c r="J29" s="7">
        <v>41969</v>
      </c>
      <c r="K29" s="201" t="str">
        <f>IF(DATEDIF($J29,'Inst summary and ER calculation'!$T$6,"y")=1,"1-2 years","2-3 years")</f>
        <v>2-3 years</v>
      </c>
      <c r="L29" s="6" t="s">
        <v>780</v>
      </c>
      <c r="M29" s="4" t="s">
        <v>780</v>
      </c>
      <c r="N29" s="4">
        <v>18</v>
      </c>
      <c r="O29" s="4">
        <v>76</v>
      </c>
      <c r="P29" s="4" t="s">
        <v>780</v>
      </c>
      <c r="Q29" s="4" t="s">
        <v>780</v>
      </c>
      <c r="R29" s="4" t="s">
        <v>780</v>
      </c>
      <c r="S29" s="4" t="s">
        <v>780</v>
      </c>
      <c r="T29" s="4" t="s">
        <v>780</v>
      </c>
      <c r="U29" s="4" t="s">
        <v>780</v>
      </c>
      <c r="V29" s="4" t="s">
        <v>15</v>
      </c>
      <c r="W29" s="4"/>
      <c r="X29" s="4" t="s">
        <v>15</v>
      </c>
      <c r="Y29" s="4"/>
      <c r="Z29" s="4"/>
      <c r="AA29" s="4"/>
      <c r="AB29" s="202" t="str">
        <f t="shared" si="0"/>
        <v/>
      </c>
    </row>
    <row r="30" spans="1:28" s="203" customFormat="1" ht="14.5">
      <c r="A30" s="15">
        <v>42740</v>
      </c>
      <c r="B30" s="4" t="s">
        <v>999</v>
      </c>
      <c r="C30" s="4" t="s">
        <v>1532</v>
      </c>
      <c r="D30" s="4" t="s">
        <v>1000</v>
      </c>
      <c r="E30" s="4"/>
      <c r="F30" s="4">
        <v>2</v>
      </c>
      <c r="G30" s="4">
        <v>2</v>
      </c>
      <c r="H30" s="4" t="s">
        <v>780</v>
      </c>
      <c r="I30" s="4" t="s">
        <v>719</v>
      </c>
      <c r="J30" s="7">
        <v>41981</v>
      </c>
      <c r="K30" s="201" t="str">
        <f>IF(DATEDIF($J30,'Inst summary and ER calculation'!$T$6,"y")=1,"1-2 years","2-3 years")</f>
        <v>2-3 years</v>
      </c>
      <c r="L30" s="6" t="s">
        <v>780</v>
      </c>
      <c r="M30" s="4" t="s">
        <v>780</v>
      </c>
      <c r="N30" s="4">
        <v>18</v>
      </c>
      <c r="O30" s="4">
        <v>76</v>
      </c>
      <c r="P30" s="4" t="s">
        <v>780</v>
      </c>
      <c r="Q30" s="4" t="s">
        <v>780</v>
      </c>
      <c r="R30" s="4" t="s">
        <v>780</v>
      </c>
      <c r="S30" s="4" t="s">
        <v>780</v>
      </c>
      <c r="T30" s="4" t="s">
        <v>780</v>
      </c>
      <c r="U30" s="4" t="s">
        <v>780</v>
      </c>
      <c r="V30" s="4" t="s">
        <v>15</v>
      </c>
      <c r="W30" s="4"/>
      <c r="X30" s="4" t="s">
        <v>15</v>
      </c>
      <c r="Y30" s="4"/>
      <c r="Z30" s="4"/>
      <c r="AA30" s="4"/>
      <c r="AB30" s="202" t="str">
        <f t="shared" si="0"/>
        <v/>
      </c>
    </row>
    <row r="31" spans="1:28" s="203" customFormat="1" ht="14.5">
      <c r="A31" s="15">
        <v>42740</v>
      </c>
      <c r="B31" s="208" t="s">
        <v>41</v>
      </c>
      <c r="C31" s="4" t="s">
        <v>1531</v>
      </c>
      <c r="D31" s="4" t="s">
        <v>909</v>
      </c>
      <c r="E31" s="4"/>
      <c r="F31" s="4">
        <v>6</v>
      </c>
      <c r="G31" s="4">
        <v>1</v>
      </c>
      <c r="H31" s="4" t="s">
        <v>780</v>
      </c>
      <c r="I31" s="4" t="s">
        <v>448</v>
      </c>
      <c r="J31" s="7">
        <v>42151</v>
      </c>
      <c r="K31" s="201" t="str">
        <f>IF(DATEDIF($J31,'Inst summary and ER calculation'!$T$6,"y")=1,"1-2 years","2-3 years")</f>
        <v>1-2 years</v>
      </c>
      <c r="L31" s="6" t="s">
        <v>780</v>
      </c>
      <c r="M31" s="4" t="s">
        <v>780</v>
      </c>
      <c r="N31" s="4">
        <v>14</v>
      </c>
      <c r="O31" s="4">
        <v>60</v>
      </c>
      <c r="P31" s="4" t="s">
        <v>780</v>
      </c>
      <c r="Q31" s="4" t="s">
        <v>780</v>
      </c>
      <c r="R31" s="4" t="s">
        <v>780</v>
      </c>
      <c r="S31" s="4" t="s">
        <v>780</v>
      </c>
      <c r="T31" s="4" t="s">
        <v>780</v>
      </c>
      <c r="U31" s="4" t="s">
        <v>780</v>
      </c>
      <c r="V31" s="4" t="s">
        <v>15</v>
      </c>
      <c r="W31" s="4"/>
      <c r="X31" s="4" t="s">
        <v>15</v>
      </c>
      <c r="Y31" s="4"/>
      <c r="Z31" s="4"/>
      <c r="AA31" s="4"/>
      <c r="AB31" s="202" t="str">
        <f t="shared" si="0"/>
        <v/>
      </c>
    </row>
    <row r="32" spans="1:28" s="203" customFormat="1" ht="14.5">
      <c r="A32" s="15">
        <v>42753</v>
      </c>
      <c r="B32" s="208" t="s">
        <v>906</v>
      </c>
      <c r="C32" s="4" t="s">
        <v>1560</v>
      </c>
      <c r="D32" s="209" t="s">
        <v>907</v>
      </c>
      <c r="E32" s="209"/>
      <c r="F32" s="4">
        <v>3</v>
      </c>
      <c r="G32" s="4">
        <v>2</v>
      </c>
      <c r="H32" s="4" t="s">
        <v>780</v>
      </c>
      <c r="I32" s="4" t="s">
        <v>586</v>
      </c>
      <c r="J32" s="7">
        <v>41863</v>
      </c>
      <c r="K32" s="201" t="str">
        <f>IF(DATEDIF($J32,'Inst summary and ER calculation'!$T$6,"y")=1,"1-2 years","2-3 years")</f>
        <v>2-3 years</v>
      </c>
      <c r="L32" s="6" t="s">
        <v>780</v>
      </c>
      <c r="M32" s="4" t="s">
        <v>780</v>
      </c>
      <c r="N32" s="4">
        <v>18</v>
      </c>
      <c r="O32" s="4">
        <v>76</v>
      </c>
      <c r="P32" s="4" t="s">
        <v>780</v>
      </c>
      <c r="Q32" s="4" t="s">
        <v>780</v>
      </c>
      <c r="R32" s="4" t="s">
        <v>780</v>
      </c>
      <c r="S32" s="4" t="s">
        <v>780</v>
      </c>
      <c r="T32" s="4" t="s">
        <v>780</v>
      </c>
      <c r="U32" s="4" t="s">
        <v>780</v>
      </c>
      <c r="V32" s="4" t="s">
        <v>15</v>
      </c>
      <c r="W32" s="4"/>
      <c r="X32" s="4" t="s">
        <v>15</v>
      </c>
      <c r="Y32" s="4"/>
      <c r="Z32" s="4"/>
      <c r="AA32" s="4"/>
      <c r="AB32" s="202" t="str">
        <f t="shared" si="0"/>
        <v/>
      </c>
    </row>
    <row r="33" spans="1:28" s="203" customFormat="1" ht="14.5">
      <c r="A33" s="15">
        <v>42745</v>
      </c>
      <c r="B33" s="4" t="s">
        <v>41</v>
      </c>
      <c r="C33" s="4" t="s">
        <v>1548</v>
      </c>
      <c r="D33" s="4" t="s">
        <v>1004</v>
      </c>
      <c r="E33" s="4"/>
      <c r="F33" s="4">
        <v>6</v>
      </c>
      <c r="G33" s="4">
        <v>1</v>
      </c>
      <c r="H33" s="4" t="s">
        <v>780</v>
      </c>
      <c r="I33" s="4" t="s">
        <v>384</v>
      </c>
      <c r="J33" s="7">
        <v>42121</v>
      </c>
      <c r="K33" s="201" t="str">
        <f>IF(DATEDIF($J33,'Inst summary and ER calculation'!$T$6,"y")=1,"1-2 years","2-3 years")</f>
        <v>1-2 years</v>
      </c>
      <c r="L33" s="6" t="s">
        <v>780</v>
      </c>
      <c r="M33" s="4" t="s">
        <v>780</v>
      </c>
      <c r="N33" s="4">
        <v>14</v>
      </c>
      <c r="O33" s="4">
        <v>60</v>
      </c>
      <c r="P33" s="4" t="s">
        <v>780</v>
      </c>
      <c r="Q33" s="4" t="s">
        <v>780</v>
      </c>
      <c r="R33" s="4" t="s">
        <v>780</v>
      </c>
      <c r="S33" s="4" t="s">
        <v>780</v>
      </c>
      <c r="T33" s="4" t="s">
        <v>780</v>
      </c>
      <c r="U33" s="4" t="s">
        <v>780</v>
      </c>
      <c r="V33" s="4" t="s">
        <v>15</v>
      </c>
      <c r="W33" s="4"/>
      <c r="X33" s="4" t="s">
        <v>15</v>
      </c>
      <c r="Y33" s="4"/>
      <c r="Z33" s="4"/>
      <c r="AA33" s="4"/>
      <c r="AB33" s="202" t="str">
        <f t="shared" si="0"/>
        <v/>
      </c>
    </row>
    <row r="34" spans="1:28" s="203" customFormat="1" ht="14.5">
      <c r="A34" s="15">
        <v>42742</v>
      </c>
      <c r="B34" s="4" t="s">
        <v>40</v>
      </c>
      <c r="C34" s="4" t="s">
        <v>1539</v>
      </c>
      <c r="D34" s="4" t="s">
        <v>961</v>
      </c>
      <c r="E34" s="4"/>
      <c r="F34" s="4">
        <v>5</v>
      </c>
      <c r="G34" s="4">
        <v>0</v>
      </c>
      <c r="H34" s="4" t="s">
        <v>780</v>
      </c>
      <c r="I34" s="4" t="s">
        <v>462</v>
      </c>
      <c r="J34" s="7">
        <v>42162</v>
      </c>
      <c r="K34" s="201" t="str">
        <f>IF(DATEDIF($J34,'Inst summary and ER calculation'!$T$6,"y")=1,"1-2 years","2-3 years")</f>
        <v>1-2 years</v>
      </c>
      <c r="L34" s="6" t="s">
        <v>780</v>
      </c>
      <c r="M34" s="4" t="s">
        <v>780</v>
      </c>
      <c r="N34" s="4">
        <v>18</v>
      </c>
      <c r="O34" s="4">
        <v>76</v>
      </c>
      <c r="P34" s="4" t="s">
        <v>780</v>
      </c>
      <c r="Q34" s="4" t="s">
        <v>780</v>
      </c>
      <c r="R34" s="4" t="s">
        <v>780</v>
      </c>
      <c r="S34" s="4" t="s">
        <v>780</v>
      </c>
      <c r="T34" s="4" t="s">
        <v>780</v>
      </c>
      <c r="U34" s="4" t="s">
        <v>780</v>
      </c>
      <c r="V34" s="4" t="s">
        <v>15</v>
      </c>
      <c r="W34" s="4"/>
      <c r="X34" s="4" t="s">
        <v>15</v>
      </c>
      <c r="Y34" s="4"/>
      <c r="Z34" s="4"/>
      <c r="AA34" s="4"/>
      <c r="AB34" s="202" t="str">
        <f t="shared" si="0"/>
        <v/>
      </c>
    </row>
    <row r="35" spans="1:28" s="203" customFormat="1" ht="14.5">
      <c r="A35" s="15">
        <v>42752</v>
      </c>
      <c r="B35" s="4" t="s">
        <v>798</v>
      </c>
      <c r="C35" s="4" t="s">
        <v>1558</v>
      </c>
      <c r="D35" s="4" t="s">
        <v>1003</v>
      </c>
      <c r="E35" s="4"/>
      <c r="F35" s="4">
        <v>5</v>
      </c>
      <c r="G35" s="4">
        <v>0</v>
      </c>
      <c r="H35" s="4" t="s">
        <v>780</v>
      </c>
      <c r="I35" s="4" t="s">
        <v>285</v>
      </c>
      <c r="J35" s="7">
        <v>42055</v>
      </c>
      <c r="K35" s="201" t="str">
        <f>IF(DATEDIF($J35,'Inst summary and ER calculation'!$T$6,"y")=1,"1-2 years","2-3 years")</f>
        <v>2-3 years</v>
      </c>
      <c r="L35" s="6" t="s">
        <v>780</v>
      </c>
      <c r="M35" s="4" t="s">
        <v>780</v>
      </c>
      <c r="N35" s="4">
        <v>18</v>
      </c>
      <c r="O35" s="4">
        <v>76</v>
      </c>
      <c r="P35" s="4" t="s">
        <v>780</v>
      </c>
      <c r="Q35" s="4" t="s">
        <v>780</v>
      </c>
      <c r="R35" s="4" t="s">
        <v>780</v>
      </c>
      <c r="S35" s="4" t="s">
        <v>780</v>
      </c>
      <c r="T35" s="4" t="s">
        <v>780</v>
      </c>
      <c r="U35" s="4" t="s">
        <v>780</v>
      </c>
      <c r="V35" s="4" t="s">
        <v>15</v>
      </c>
      <c r="W35" s="4"/>
      <c r="X35" s="4" t="s">
        <v>15</v>
      </c>
      <c r="Y35" s="4"/>
      <c r="Z35" s="4"/>
      <c r="AA35" s="4"/>
      <c r="AB35" s="202" t="str">
        <f t="shared" si="0"/>
        <v/>
      </c>
    </row>
    <row r="36" spans="1:28" s="203" customFormat="1" ht="14.5">
      <c r="A36" s="15">
        <v>42741</v>
      </c>
      <c r="B36" s="4" t="s">
        <v>192</v>
      </c>
      <c r="C36" s="4" t="s">
        <v>1534</v>
      </c>
      <c r="D36" s="4" t="s">
        <v>944</v>
      </c>
      <c r="E36" s="4"/>
      <c r="F36" s="4">
        <v>4</v>
      </c>
      <c r="G36" s="4">
        <v>2</v>
      </c>
      <c r="H36" s="4" t="s">
        <v>780</v>
      </c>
      <c r="I36" s="4" t="s">
        <v>477</v>
      </c>
      <c r="J36" s="7">
        <v>42170</v>
      </c>
      <c r="K36" s="201" t="str">
        <f>IF(DATEDIF($J36,'Inst summary and ER calculation'!$T$6,"y")=1,"1-2 years","2-3 years")</f>
        <v>1-2 years</v>
      </c>
      <c r="L36" s="6" t="s">
        <v>780</v>
      </c>
      <c r="M36" s="4" t="s">
        <v>780</v>
      </c>
      <c r="N36" s="4">
        <v>20</v>
      </c>
      <c r="O36" s="4">
        <v>84</v>
      </c>
      <c r="P36" s="4" t="s">
        <v>780</v>
      </c>
      <c r="Q36" s="4" t="s">
        <v>780</v>
      </c>
      <c r="R36" s="4" t="s">
        <v>780</v>
      </c>
      <c r="S36" s="4" t="s">
        <v>780</v>
      </c>
      <c r="T36" s="4" t="s">
        <v>780</v>
      </c>
      <c r="U36" s="4" t="s">
        <v>780</v>
      </c>
      <c r="V36" s="4" t="s">
        <v>15</v>
      </c>
      <c r="W36" s="4"/>
      <c r="X36" s="4" t="s">
        <v>15</v>
      </c>
      <c r="Y36" s="4"/>
      <c r="Z36" s="4"/>
      <c r="AA36" s="4"/>
      <c r="AB36" s="202" t="str">
        <f t="shared" si="0"/>
        <v/>
      </c>
    </row>
    <row r="37" spans="1:28" s="203" customFormat="1" ht="14.5">
      <c r="A37" s="15">
        <v>42743</v>
      </c>
      <c r="B37" s="4" t="s">
        <v>872</v>
      </c>
      <c r="C37" s="4" t="s">
        <v>1542</v>
      </c>
      <c r="D37" s="4" t="s">
        <v>948</v>
      </c>
      <c r="E37" s="4"/>
      <c r="F37" s="4">
        <v>4</v>
      </c>
      <c r="G37" s="4">
        <v>5</v>
      </c>
      <c r="H37" s="4" t="s">
        <v>780</v>
      </c>
      <c r="I37" s="4" t="s">
        <v>408</v>
      </c>
      <c r="J37" s="7">
        <v>42126</v>
      </c>
      <c r="K37" s="201" t="str">
        <f>IF(DATEDIF($J37,'Inst summary and ER calculation'!$T$6,"y")=1,"1-2 years","2-3 years")</f>
        <v>1-2 years</v>
      </c>
      <c r="L37" s="6" t="s">
        <v>780</v>
      </c>
      <c r="M37" s="4" t="s">
        <v>780</v>
      </c>
      <c r="N37" s="4">
        <v>14</v>
      </c>
      <c r="O37" s="4">
        <v>60</v>
      </c>
      <c r="P37" s="4" t="s">
        <v>780</v>
      </c>
      <c r="Q37" s="4" t="s">
        <v>780</v>
      </c>
      <c r="R37" s="4" t="s">
        <v>780</v>
      </c>
      <c r="S37" s="4" t="s">
        <v>780</v>
      </c>
      <c r="T37" s="4" t="s">
        <v>780</v>
      </c>
      <c r="U37" s="4" t="s">
        <v>780</v>
      </c>
      <c r="V37" s="4" t="s">
        <v>15</v>
      </c>
      <c r="W37" s="4"/>
      <c r="X37" s="4" t="s">
        <v>15</v>
      </c>
      <c r="Y37" s="4"/>
      <c r="Z37" s="4"/>
      <c r="AA37" s="4"/>
      <c r="AB37" s="202" t="str">
        <f t="shared" si="0"/>
        <v/>
      </c>
    </row>
    <row r="38" spans="1:28" s="203" customFormat="1" ht="14.5">
      <c r="A38" s="15">
        <v>42739</v>
      </c>
      <c r="B38" s="10" t="s">
        <v>622</v>
      </c>
      <c r="C38" s="4" t="s">
        <v>1529</v>
      </c>
      <c r="D38" s="4" t="s">
        <v>973</v>
      </c>
      <c r="E38" s="4"/>
      <c r="F38" s="4">
        <v>3</v>
      </c>
      <c r="G38" s="4">
        <v>1</v>
      </c>
      <c r="H38" s="4" t="s">
        <v>780</v>
      </c>
      <c r="I38" s="4" t="s">
        <v>612</v>
      </c>
      <c r="J38" s="7">
        <v>41904</v>
      </c>
      <c r="K38" s="201" t="str">
        <f>IF(DATEDIF($J38,'Inst summary and ER calculation'!$T$6,"y")=1,"1-2 years","2-3 years")</f>
        <v>2-3 years</v>
      </c>
      <c r="L38" s="6" t="s">
        <v>780</v>
      </c>
      <c r="M38" s="4" t="s">
        <v>780</v>
      </c>
      <c r="N38" s="4">
        <v>14</v>
      </c>
      <c r="O38" s="4">
        <v>60</v>
      </c>
      <c r="P38" s="4" t="s">
        <v>780</v>
      </c>
      <c r="Q38" s="4" t="s">
        <v>780</v>
      </c>
      <c r="R38" s="4" t="s">
        <v>780</v>
      </c>
      <c r="S38" s="4" t="s">
        <v>780</v>
      </c>
      <c r="T38" s="4" t="s">
        <v>780</v>
      </c>
      <c r="U38" s="4" t="s">
        <v>780</v>
      </c>
      <c r="V38" s="4" t="s">
        <v>15</v>
      </c>
      <c r="W38" s="4"/>
      <c r="X38" s="4" t="s">
        <v>15</v>
      </c>
      <c r="Y38" s="4"/>
      <c r="Z38" s="4"/>
      <c r="AA38" s="4"/>
      <c r="AB38" s="202" t="str">
        <f t="shared" si="0"/>
        <v/>
      </c>
    </row>
    <row r="39" spans="1:28" s="203" customFormat="1" ht="14.5">
      <c r="A39" s="15">
        <v>42751</v>
      </c>
      <c r="B39" s="4" t="s">
        <v>192</v>
      </c>
      <c r="C39" s="4" t="s">
        <v>1554</v>
      </c>
      <c r="D39" s="4" t="s">
        <v>937</v>
      </c>
      <c r="E39" s="4"/>
      <c r="F39" s="4">
        <v>3</v>
      </c>
      <c r="G39" s="4">
        <v>1</v>
      </c>
      <c r="H39" s="4" t="s">
        <v>780</v>
      </c>
      <c r="I39" s="4" t="s">
        <v>427</v>
      </c>
      <c r="J39" s="7">
        <v>42139</v>
      </c>
      <c r="K39" s="201" t="str">
        <f>IF(DATEDIF($J39,'Inst summary and ER calculation'!$T$6,"y")=1,"1-2 years","2-3 years")</f>
        <v>1-2 years</v>
      </c>
      <c r="L39" s="6" t="s">
        <v>780</v>
      </c>
      <c r="M39" s="4" t="s">
        <v>780</v>
      </c>
      <c r="N39" s="4">
        <v>20</v>
      </c>
      <c r="O39" s="4">
        <v>84</v>
      </c>
      <c r="P39" s="4" t="s">
        <v>780</v>
      </c>
      <c r="Q39" s="4" t="s">
        <v>780</v>
      </c>
      <c r="R39" s="4" t="s">
        <v>780</v>
      </c>
      <c r="S39" s="4" t="s">
        <v>780</v>
      </c>
      <c r="T39" s="4" t="s">
        <v>780</v>
      </c>
      <c r="U39" s="4" t="s">
        <v>780</v>
      </c>
      <c r="V39" s="4" t="s">
        <v>15</v>
      </c>
      <c r="W39" s="4"/>
      <c r="X39" s="4" t="s">
        <v>15</v>
      </c>
      <c r="Y39" s="4"/>
      <c r="Z39" s="4"/>
      <c r="AA39" s="4"/>
      <c r="AB39" s="202" t="str">
        <f t="shared" si="0"/>
        <v/>
      </c>
    </row>
    <row r="40" spans="1:28" s="203" customFormat="1" ht="14.5">
      <c r="A40" s="15">
        <v>42741</v>
      </c>
      <c r="B40" s="208" t="s">
        <v>914</v>
      </c>
      <c r="C40" s="4" t="s">
        <v>1533</v>
      </c>
      <c r="D40" s="208" t="s">
        <v>915</v>
      </c>
      <c r="E40" s="208"/>
      <c r="F40" s="4">
        <v>4</v>
      </c>
      <c r="G40" s="4">
        <v>4</v>
      </c>
      <c r="H40" s="4" t="s">
        <v>780</v>
      </c>
      <c r="I40" s="4" t="s">
        <v>330</v>
      </c>
      <c r="J40" s="7">
        <v>42089</v>
      </c>
      <c r="K40" s="201" t="str">
        <f>IF(DATEDIF($J40,'Inst summary and ER calculation'!$T$6,"y")=1,"1-2 years","2-3 years")</f>
        <v>1-2 years</v>
      </c>
      <c r="L40" s="6" t="s">
        <v>780</v>
      </c>
      <c r="M40" s="4" t="s">
        <v>780</v>
      </c>
      <c r="N40" s="4">
        <v>21</v>
      </c>
      <c r="O40" s="4">
        <v>90</v>
      </c>
      <c r="P40" s="4" t="s">
        <v>780</v>
      </c>
      <c r="Q40" s="4" t="s">
        <v>780</v>
      </c>
      <c r="R40" s="4" t="s">
        <v>780</v>
      </c>
      <c r="S40" s="4" t="s">
        <v>780</v>
      </c>
      <c r="T40" s="4" t="s">
        <v>780</v>
      </c>
      <c r="U40" s="4" t="s">
        <v>780</v>
      </c>
      <c r="V40" s="4" t="s">
        <v>15</v>
      </c>
      <c r="W40" s="4"/>
      <c r="X40" s="4" t="s">
        <v>15</v>
      </c>
      <c r="Y40" s="4"/>
      <c r="Z40" s="4"/>
      <c r="AA40" s="4"/>
      <c r="AB40" s="202" t="str">
        <f t="shared" si="0"/>
        <v/>
      </c>
    </row>
    <row r="41" spans="1:28" s="203" customFormat="1" ht="14.5">
      <c r="A41" s="15">
        <v>42742</v>
      </c>
      <c r="B41" s="4" t="s">
        <v>962</v>
      </c>
      <c r="C41" s="4" t="s">
        <v>1541</v>
      </c>
      <c r="D41" s="4" t="s">
        <v>963</v>
      </c>
      <c r="E41" s="4"/>
      <c r="F41" s="4">
        <v>5</v>
      </c>
      <c r="G41" s="4">
        <v>1</v>
      </c>
      <c r="H41" s="4" t="s">
        <v>780</v>
      </c>
      <c r="I41" s="4" t="s">
        <v>693</v>
      </c>
      <c r="J41" s="7">
        <v>41943</v>
      </c>
      <c r="K41" s="201" t="str">
        <f>IF(DATEDIF($J41,'Inst summary and ER calculation'!$T$6,"y")=1,"1-2 years","2-3 years")</f>
        <v>2-3 years</v>
      </c>
      <c r="L41" s="6" t="s">
        <v>780</v>
      </c>
      <c r="M41" s="4" t="s">
        <v>780</v>
      </c>
      <c r="N41" s="4">
        <v>15</v>
      </c>
      <c r="O41" s="4">
        <v>64</v>
      </c>
      <c r="P41" s="4" t="s">
        <v>780</v>
      </c>
      <c r="Q41" s="4" t="s">
        <v>780</v>
      </c>
      <c r="R41" s="4" t="s">
        <v>780</v>
      </c>
      <c r="S41" s="4" t="s">
        <v>780</v>
      </c>
      <c r="T41" s="4" t="s">
        <v>780</v>
      </c>
      <c r="U41" s="4" t="s">
        <v>780</v>
      </c>
      <c r="V41" s="4" t="s">
        <v>15</v>
      </c>
      <c r="W41" s="4"/>
      <c r="X41" s="4" t="s">
        <v>15</v>
      </c>
      <c r="Y41" s="4"/>
      <c r="Z41" s="4"/>
      <c r="AA41" s="4"/>
      <c r="AB41" s="202" t="str">
        <f t="shared" si="0"/>
        <v/>
      </c>
    </row>
    <row r="42" spans="1:28" s="203" customFormat="1" ht="14.5">
      <c r="A42" s="15">
        <v>42743</v>
      </c>
      <c r="B42" s="8" t="s">
        <v>117</v>
      </c>
      <c r="C42" s="4" t="s">
        <v>1544</v>
      </c>
      <c r="D42" s="9" t="s">
        <v>983</v>
      </c>
      <c r="E42" s="9"/>
      <c r="F42" s="4">
        <v>2</v>
      </c>
      <c r="G42" s="4">
        <v>2</v>
      </c>
      <c r="H42" s="4" t="s">
        <v>780</v>
      </c>
      <c r="I42" s="4" t="s">
        <v>643</v>
      </c>
      <c r="J42" s="7">
        <v>41927</v>
      </c>
      <c r="K42" s="201" t="str">
        <f>IF(DATEDIF($J42,'Inst summary and ER calculation'!$T$6,"y")=1,"1-2 years","2-3 years")</f>
        <v>2-3 years</v>
      </c>
      <c r="L42" s="6" t="s">
        <v>780</v>
      </c>
      <c r="M42" s="4" t="s">
        <v>780</v>
      </c>
      <c r="N42" s="4">
        <v>16</v>
      </c>
      <c r="O42" s="4">
        <v>70</v>
      </c>
      <c r="P42" s="4" t="s">
        <v>780</v>
      </c>
      <c r="Q42" s="4" t="s">
        <v>780</v>
      </c>
      <c r="R42" s="4" t="s">
        <v>780</v>
      </c>
      <c r="S42" s="4" t="s">
        <v>780</v>
      </c>
      <c r="T42" s="4" t="s">
        <v>780</v>
      </c>
      <c r="U42" s="4" t="s">
        <v>780</v>
      </c>
      <c r="V42" s="4" t="s">
        <v>15</v>
      </c>
      <c r="W42" s="4"/>
      <c r="X42" s="4" t="s">
        <v>15</v>
      </c>
      <c r="Y42" s="4"/>
      <c r="Z42" s="4"/>
      <c r="AA42" s="4"/>
      <c r="AB42" s="202" t="str">
        <f t="shared" si="0"/>
        <v/>
      </c>
    </row>
    <row r="43" spans="1:28" s="203" customFormat="1" ht="14.5">
      <c r="A43" s="15">
        <v>42750</v>
      </c>
      <c r="B43" s="4" t="s">
        <v>622</v>
      </c>
      <c r="C43" s="4" t="s">
        <v>1553</v>
      </c>
      <c r="D43" s="4" t="s">
        <v>995</v>
      </c>
      <c r="E43" s="4"/>
      <c r="F43" s="4">
        <v>5</v>
      </c>
      <c r="G43" s="4">
        <v>0</v>
      </c>
      <c r="H43" s="4" t="s">
        <v>780</v>
      </c>
      <c r="I43" s="4" t="s">
        <v>650</v>
      </c>
      <c r="J43" s="7">
        <v>41930</v>
      </c>
      <c r="K43" s="201" t="str">
        <f>IF(DATEDIF($J43,'Inst summary and ER calculation'!$T$6,"y")=1,"1-2 years","2-3 years")</f>
        <v>2-3 years</v>
      </c>
      <c r="L43" s="6" t="s">
        <v>780</v>
      </c>
      <c r="M43" s="4" t="s">
        <v>780</v>
      </c>
      <c r="N43" s="4">
        <v>14</v>
      </c>
      <c r="O43" s="4">
        <v>60</v>
      </c>
      <c r="P43" s="4" t="s">
        <v>780</v>
      </c>
      <c r="Q43" s="4" t="s">
        <v>780</v>
      </c>
      <c r="R43" s="4" t="s">
        <v>780</v>
      </c>
      <c r="S43" s="4" t="s">
        <v>780</v>
      </c>
      <c r="T43" s="4" t="s">
        <v>780</v>
      </c>
      <c r="U43" s="4" t="s">
        <v>780</v>
      </c>
      <c r="V43" s="4" t="s">
        <v>15</v>
      </c>
      <c r="W43" s="4"/>
      <c r="X43" s="4" t="s">
        <v>15</v>
      </c>
      <c r="Y43" s="4"/>
      <c r="Z43" s="4"/>
      <c r="AA43" s="4"/>
      <c r="AB43" s="202" t="str">
        <f t="shared" si="0"/>
        <v/>
      </c>
    </row>
    <row r="44" spans="1:28" s="203" customFormat="1" ht="14.5">
      <c r="A44" s="15">
        <v>42742</v>
      </c>
      <c r="B44" s="4" t="s">
        <v>192</v>
      </c>
      <c r="C44" s="4" t="s">
        <v>1537</v>
      </c>
      <c r="D44" s="4" t="s">
        <v>919</v>
      </c>
      <c r="E44" s="4"/>
      <c r="F44" s="4">
        <v>2</v>
      </c>
      <c r="G44" s="4">
        <v>1</v>
      </c>
      <c r="H44" s="4" t="s">
        <v>780</v>
      </c>
      <c r="I44" s="4" t="s">
        <v>359</v>
      </c>
      <c r="J44" s="7">
        <v>42109</v>
      </c>
      <c r="K44" s="201" t="str">
        <f>IF(DATEDIF($J44,'Inst summary and ER calculation'!$T$6,"y")=1,"1-2 years","2-3 years")</f>
        <v>1-2 years</v>
      </c>
      <c r="L44" s="6" t="s">
        <v>780</v>
      </c>
      <c r="M44" s="4" t="s">
        <v>780</v>
      </c>
      <c r="N44" s="4">
        <v>19</v>
      </c>
      <c r="O44" s="4">
        <v>80</v>
      </c>
      <c r="P44" s="4" t="s">
        <v>780</v>
      </c>
      <c r="Q44" s="4" t="s">
        <v>780</v>
      </c>
      <c r="R44" s="4" t="s">
        <v>780</v>
      </c>
      <c r="S44" s="4" t="s">
        <v>780</v>
      </c>
      <c r="T44" s="4" t="s">
        <v>780</v>
      </c>
      <c r="U44" s="4" t="s">
        <v>780</v>
      </c>
      <c r="V44" s="4" t="s">
        <v>15</v>
      </c>
      <c r="W44" s="4"/>
      <c r="X44" s="4" t="s">
        <v>15</v>
      </c>
      <c r="Y44" s="4"/>
      <c r="Z44" s="4"/>
      <c r="AA44" s="4"/>
      <c r="AB44" s="202" t="str">
        <f t="shared" si="0"/>
        <v/>
      </c>
    </row>
    <row r="45" spans="1:28" s="203" customFormat="1" ht="14.5">
      <c r="A45" s="15">
        <v>42754</v>
      </c>
      <c r="B45" s="4" t="s">
        <v>117</v>
      </c>
      <c r="C45" s="4" t="s">
        <v>1563</v>
      </c>
      <c r="D45" s="4" t="s">
        <v>902</v>
      </c>
      <c r="E45" s="4"/>
      <c r="F45" s="4">
        <v>3</v>
      </c>
      <c r="G45" s="4">
        <v>1</v>
      </c>
      <c r="H45" s="4" t="s">
        <v>780</v>
      </c>
      <c r="I45" s="4" t="s">
        <v>312</v>
      </c>
      <c r="J45" s="7">
        <v>42078</v>
      </c>
      <c r="K45" s="201" t="str">
        <f>IF(DATEDIF($J45,'Inst summary and ER calculation'!$T$6,"y")=1,"1-2 years","2-3 years")</f>
        <v>1-2 years</v>
      </c>
      <c r="L45" s="6" t="s">
        <v>780</v>
      </c>
      <c r="M45" s="4" t="s">
        <v>780</v>
      </c>
      <c r="N45" s="4">
        <v>16</v>
      </c>
      <c r="O45" s="4">
        <v>68</v>
      </c>
      <c r="P45" s="4" t="s">
        <v>780</v>
      </c>
      <c r="Q45" s="4" t="s">
        <v>780</v>
      </c>
      <c r="R45" s="4" t="s">
        <v>780</v>
      </c>
      <c r="S45" s="4" t="s">
        <v>780</v>
      </c>
      <c r="T45" s="4" t="s">
        <v>780</v>
      </c>
      <c r="U45" s="4" t="s">
        <v>780</v>
      </c>
      <c r="V45" s="4" t="s">
        <v>15</v>
      </c>
      <c r="W45" s="4"/>
      <c r="X45" s="4" t="s">
        <v>15</v>
      </c>
      <c r="Y45" s="4"/>
      <c r="Z45" s="4"/>
      <c r="AA45" s="4"/>
      <c r="AB45" s="202" t="str">
        <f t="shared" si="0"/>
        <v/>
      </c>
    </row>
    <row r="46" spans="1:28" s="203" customFormat="1" ht="14.5">
      <c r="A46" s="15">
        <v>42751</v>
      </c>
      <c r="B46" s="4" t="s">
        <v>622</v>
      </c>
      <c r="C46" s="4" t="s">
        <v>1556</v>
      </c>
      <c r="D46" s="4" t="s">
        <v>992</v>
      </c>
      <c r="E46" s="4"/>
      <c r="F46" s="4">
        <v>4</v>
      </c>
      <c r="G46" s="4">
        <v>2</v>
      </c>
      <c r="H46" s="4" t="s">
        <v>780</v>
      </c>
      <c r="I46" s="4" t="s">
        <v>694</v>
      </c>
      <c r="J46" s="7">
        <v>41943</v>
      </c>
      <c r="K46" s="201" t="str">
        <f>IF(DATEDIF($J46,'Inst summary and ER calculation'!$T$6,"y")=1,"1-2 years","2-3 years")</f>
        <v>2-3 years</v>
      </c>
      <c r="L46" s="6" t="s">
        <v>780</v>
      </c>
      <c r="M46" s="4" t="s">
        <v>780</v>
      </c>
      <c r="N46" s="4">
        <v>21</v>
      </c>
      <c r="O46" s="4">
        <v>90</v>
      </c>
      <c r="P46" s="4" t="s">
        <v>780</v>
      </c>
      <c r="Q46" s="4" t="s">
        <v>780</v>
      </c>
      <c r="R46" s="4" t="s">
        <v>780</v>
      </c>
      <c r="S46" s="4" t="s">
        <v>780</v>
      </c>
      <c r="T46" s="4" t="s">
        <v>780</v>
      </c>
      <c r="U46" s="4" t="s">
        <v>780</v>
      </c>
      <c r="V46" s="4" t="s">
        <v>15</v>
      </c>
      <c r="W46" s="4"/>
      <c r="X46" s="4" t="s">
        <v>15</v>
      </c>
      <c r="Y46" s="4"/>
      <c r="Z46" s="4"/>
      <c r="AA46" s="4"/>
      <c r="AB46" s="202" t="str">
        <f t="shared" si="0"/>
        <v/>
      </c>
    </row>
    <row r="47" spans="1:28" s="203" customFormat="1" ht="14.5">
      <c r="A47" s="15">
        <v>42743</v>
      </c>
      <c r="B47" s="208" t="s">
        <v>951</v>
      </c>
      <c r="C47" s="4" t="s">
        <v>1543</v>
      </c>
      <c r="D47" s="208" t="s">
        <v>952</v>
      </c>
      <c r="E47" s="208"/>
      <c r="F47" s="4">
        <v>4</v>
      </c>
      <c r="G47" s="4">
        <v>1</v>
      </c>
      <c r="H47" s="4" t="s">
        <v>780</v>
      </c>
      <c r="I47" s="4" t="s">
        <v>456</v>
      </c>
      <c r="J47" s="7">
        <v>42154</v>
      </c>
      <c r="K47" s="201" t="str">
        <f>IF(DATEDIF($J47,'Inst summary and ER calculation'!$T$6,"y")=1,"1-2 years","2-3 years")</f>
        <v>1-2 years</v>
      </c>
      <c r="L47" s="6" t="s">
        <v>780</v>
      </c>
      <c r="M47" s="4" t="s">
        <v>780</v>
      </c>
      <c r="N47" s="4">
        <v>18</v>
      </c>
      <c r="O47" s="4">
        <v>76</v>
      </c>
      <c r="P47" s="4" t="s">
        <v>780</v>
      </c>
      <c r="Q47" s="4" t="s">
        <v>780</v>
      </c>
      <c r="R47" s="4" t="s">
        <v>780</v>
      </c>
      <c r="S47" s="4" t="s">
        <v>780</v>
      </c>
      <c r="T47" s="4" t="s">
        <v>780</v>
      </c>
      <c r="U47" s="4" t="s">
        <v>780</v>
      </c>
      <c r="V47" s="4" t="s">
        <v>15</v>
      </c>
      <c r="W47" s="4"/>
      <c r="X47" s="4" t="s">
        <v>15</v>
      </c>
      <c r="Y47" s="4"/>
      <c r="Z47" s="4"/>
      <c r="AA47" s="4"/>
      <c r="AB47" s="202" t="str">
        <f t="shared" si="0"/>
        <v/>
      </c>
    </row>
    <row r="48" spans="1:28" s="203" customFormat="1" ht="14.5">
      <c r="A48" s="15">
        <v>42744</v>
      </c>
      <c r="B48" s="4" t="s">
        <v>981</v>
      </c>
      <c r="C48" s="4" t="s">
        <v>1546</v>
      </c>
      <c r="D48" s="4" t="s">
        <v>982</v>
      </c>
      <c r="E48" s="4"/>
      <c r="F48" s="4">
        <v>2</v>
      </c>
      <c r="G48" s="4">
        <v>2</v>
      </c>
      <c r="H48" s="4" t="s">
        <v>780</v>
      </c>
      <c r="I48" s="4" t="s">
        <v>635</v>
      </c>
      <c r="J48" s="7">
        <v>41925</v>
      </c>
      <c r="K48" s="201" t="str">
        <f>IF(DATEDIF($J48,'Inst summary and ER calculation'!$T$6,"y")=1,"1-2 years","2-3 years")</f>
        <v>2-3 years</v>
      </c>
      <c r="L48" s="6" t="s">
        <v>780</v>
      </c>
      <c r="M48" s="4" t="s">
        <v>15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02" t="str">
        <f t="shared" si="0"/>
        <v/>
      </c>
    </row>
    <row r="49" spans="1:28" s="203" customFormat="1" ht="14.5">
      <c r="A49" s="15">
        <v>42755</v>
      </c>
      <c r="B49" s="4" t="s">
        <v>905</v>
      </c>
      <c r="C49" s="4" t="s">
        <v>1564</v>
      </c>
      <c r="D49" s="4" t="s">
        <v>980</v>
      </c>
      <c r="E49" s="4"/>
      <c r="F49" s="4">
        <v>6</v>
      </c>
      <c r="G49" s="4">
        <v>1</v>
      </c>
      <c r="H49" s="4" t="s">
        <v>780</v>
      </c>
      <c r="I49" s="4" t="s">
        <v>379</v>
      </c>
      <c r="J49" s="7">
        <v>42119</v>
      </c>
      <c r="K49" s="201" t="str">
        <f>IF(DATEDIF($J49,'Inst summary and ER calculation'!$T$6,"y")=1,"1-2 years","2-3 years")</f>
        <v>1-2 years</v>
      </c>
      <c r="L49" s="6" t="s">
        <v>780</v>
      </c>
      <c r="M49" s="4" t="s">
        <v>780</v>
      </c>
      <c r="N49" s="4">
        <v>21</v>
      </c>
      <c r="O49" s="4">
        <v>90</v>
      </c>
      <c r="P49" s="4" t="s">
        <v>780</v>
      </c>
      <c r="Q49" s="4" t="s">
        <v>780</v>
      </c>
      <c r="R49" s="4" t="s">
        <v>780</v>
      </c>
      <c r="S49" s="4" t="s">
        <v>780</v>
      </c>
      <c r="T49" s="4" t="s">
        <v>780</v>
      </c>
      <c r="U49" s="4" t="s">
        <v>780</v>
      </c>
      <c r="V49" s="4" t="s">
        <v>15</v>
      </c>
      <c r="W49" s="4"/>
      <c r="X49" s="4" t="s">
        <v>15</v>
      </c>
      <c r="Y49" s="4"/>
      <c r="Z49" s="4"/>
      <c r="AA49" s="4"/>
      <c r="AB49" s="202" t="str">
        <f t="shared" si="0"/>
        <v/>
      </c>
    </row>
    <row r="50" spans="1:28" s="203" customFormat="1" ht="14.5">
      <c r="A50" s="15">
        <v>42747</v>
      </c>
      <c r="B50" s="4" t="s">
        <v>974</v>
      </c>
      <c r="C50" s="4" t="s">
        <v>1550</v>
      </c>
      <c r="D50" s="4" t="s">
        <v>986</v>
      </c>
      <c r="E50" s="4"/>
      <c r="F50" s="4">
        <v>2</v>
      </c>
      <c r="G50" s="4">
        <v>2</v>
      </c>
      <c r="H50" s="4" t="s">
        <v>780</v>
      </c>
      <c r="I50" s="4" t="s">
        <v>445</v>
      </c>
      <c r="J50" s="7">
        <v>42149</v>
      </c>
      <c r="K50" s="201" t="str">
        <f>IF(DATEDIF($J50,'Inst summary and ER calculation'!$T$6,"y")=1,"1-2 years","2-3 years")</f>
        <v>1-2 years</v>
      </c>
      <c r="L50" s="6" t="s">
        <v>780</v>
      </c>
      <c r="M50" s="4" t="s">
        <v>780</v>
      </c>
      <c r="N50" s="4">
        <v>20</v>
      </c>
      <c r="O50" s="4">
        <v>84</v>
      </c>
      <c r="P50" s="4" t="s">
        <v>780</v>
      </c>
      <c r="Q50" s="4" t="s">
        <v>780</v>
      </c>
      <c r="R50" s="4" t="s">
        <v>780</v>
      </c>
      <c r="S50" s="4" t="s">
        <v>780</v>
      </c>
      <c r="T50" s="4" t="s">
        <v>780</v>
      </c>
      <c r="U50" s="4" t="s">
        <v>780</v>
      </c>
      <c r="V50" s="4" t="s">
        <v>15</v>
      </c>
      <c r="W50" s="4"/>
      <c r="X50" s="4" t="s">
        <v>15</v>
      </c>
      <c r="Y50" s="4"/>
      <c r="Z50" s="4"/>
      <c r="AA50" s="4"/>
      <c r="AB50" s="202" t="str">
        <f t="shared" si="0"/>
        <v/>
      </c>
    </row>
    <row r="51" spans="1:28" s="203" customFormat="1" ht="14.5">
      <c r="A51" s="15">
        <v>42748</v>
      </c>
      <c r="B51" s="4" t="s">
        <v>801</v>
      </c>
      <c r="C51" s="4" t="s">
        <v>1551</v>
      </c>
      <c r="D51" s="4" t="s">
        <v>990</v>
      </c>
      <c r="E51" s="4"/>
      <c r="F51" s="4">
        <v>6</v>
      </c>
      <c r="G51" s="4">
        <v>0</v>
      </c>
      <c r="H51" s="4" t="s">
        <v>780</v>
      </c>
      <c r="I51" s="4" t="s">
        <v>306</v>
      </c>
      <c r="J51" s="7">
        <v>42075</v>
      </c>
      <c r="K51" s="201" t="str">
        <f>IF(DATEDIF($J51,'Inst summary and ER calculation'!$T$6,"y")=1,"1-2 years","2-3 years")</f>
        <v>1-2 years</v>
      </c>
      <c r="L51" s="6" t="s">
        <v>780</v>
      </c>
      <c r="M51" s="4" t="s">
        <v>780</v>
      </c>
      <c r="N51" s="4">
        <v>14</v>
      </c>
      <c r="O51" s="4">
        <v>60</v>
      </c>
      <c r="P51" s="4" t="s">
        <v>780</v>
      </c>
      <c r="Q51" s="4" t="s">
        <v>780</v>
      </c>
      <c r="R51" s="4" t="s">
        <v>780</v>
      </c>
      <c r="S51" s="4" t="s">
        <v>780</v>
      </c>
      <c r="T51" s="4" t="s">
        <v>780</v>
      </c>
      <c r="U51" s="4" t="s">
        <v>780</v>
      </c>
      <c r="V51" s="4" t="s">
        <v>15</v>
      </c>
      <c r="W51" s="4"/>
      <c r="X51" s="4" t="s">
        <v>15</v>
      </c>
      <c r="Y51" s="4"/>
      <c r="Z51" s="4"/>
      <c r="AA51" s="4"/>
      <c r="AB51" s="202" t="str">
        <f t="shared" si="0"/>
        <v/>
      </c>
    </row>
    <row r="52" spans="1:28" s="203" customFormat="1" ht="14.5">
      <c r="A52" s="15">
        <v>42744</v>
      </c>
      <c r="B52" s="4" t="s">
        <v>192</v>
      </c>
      <c r="C52" s="4" t="s">
        <v>1547</v>
      </c>
      <c r="D52" s="4" t="s">
        <v>925</v>
      </c>
      <c r="E52" s="4"/>
      <c r="F52" s="4">
        <v>6</v>
      </c>
      <c r="G52" s="4">
        <v>2</v>
      </c>
      <c r="H52" s="4" t="s">
        <v>780</v>
      </c>
      <c r="I52" s="4" t="s">
        <v>702</v>
      </c>
      <c r="J52" s="7">
        <v>41958</v>
      </c>
      <c r="K52" s="201" t="str">
        <f>IF(DATEDIF($J52,'Inst summary and ER calculation'!$T$6,"y")=1,"1-2 years","2-3 years")</f>
        <v>2-3 years</v>
      </c>
      <c r="L52" s="6" t="s">
        <v>780</v>
      </c>
      <c r="M52" s="4" t="s">
        <v>780</v>
      </c>
      <c r="N52" s="4">
        <v>21</v>
      </c>
      <c r="O52" s="4">
        <v>84</v>
      </c>
      <c r="P52" s="4" t="s">
        <v>780</v>
      </c>
      <c r="Q52" s="4" t="s">
        <v>780</v>
      </c>
      <c r="R52" s="4" t="s">
        <v>780</v>
      </c>
      <c r="S52" s="4" t="s">
        <v>780</v>
      </c>
      <c r="T52" s="4" t="s">
        <v>780</v>
      </c>
      <c r="U52" s="4" t="s">
        <v>780</v>
      </c>
      <c r="V52" s="4" t="s">
        <v>15</v>
      </c>
      <c r="W52" s="4"/>
      <c r="X52" s="4" t="s">
        <v>15</v>
      </c>
      <c r="Y52" s="4"/>
      <c r="Z52" s="4"/>
      <c r="AA52" s="4"/>
      <c r="AB52" s="202" t="str">
        <f t="shared" si="0"/>
        <v/>
      </c>
    </row>
    <row r="53" spans="1:28" s="203" customFormat="1" ht="14.5">
      <c r="A53" s="15">
        <v>42738</v>
      </c>
      <c r="B53" s="4" t="s">
        <v>970</v>
      </c>
      <c r="C53" s="4" t="s">
        <v>1524</v>
      </c>
      <c r="D53" s="4" t="s">
        <v>971</v>
      </c>
      <c r="E53" s="4"/>
      <c r="F53" s="4">
        <v>3</v>
      </c>
      <c r="G53" s="4">
        <v>0</v>
      </c>
      <c r="H53" s="4" t="s">
        <v>780</v>
      </c>
      <c r="I53" s="4" t="s">
        <v>627</v>
      </c>
      <c r="J53" s="7">
        <v>41920</v>
      </c>
      <c r="K53" s="201" t="str">
        <f>IF(DATEDIF($J53,'Inst summary and ER calculation'!$T$6,"y")=1,"1-2 years","2-3 years")</f>
        <v>2-3 years</v>
      </c>
      <c r="L53" s="6" t="s">
        <v>780</v>
      </c>
      <c r="M53" s="4" t="s">
        <v>780</v>
      </c>
      <c r="N53" s="4">
        <v>14</v>
      </c>
      <c r="O53" s="4">
        <v>60</v>
      </c>
      <c r="P53" s="4" t="s">
        <v>780</v>
      </c>
      <c r="Q53" s="4" t="s">
        <v>780</v>
      </c>
      <c r="R53" s="4" t="s">
        <v>780</v>
      </c>
      <c r="S53" s="4" t="s">
        <v>780</v>
      </c>
      <c r="T53" s="4" t="s">
        <v>780</v>
      </c>
      <c r="U53" s="4" t="s">
        <v>780</v>
      </c>
      <c r="V53" s="4" t="s">
        <v>15</v>
      </c>
      <c r="W53" s="4"/>
      <c r="X53" s="4" t="s">
        <v>15</v>
      </c>
      <c r="Y53" s="4"/>
      <c r="Z53" s="4"/>
      <c r="AA53" s="4"/>
      <c r="AB53" s="202" t="str">
        <f t="shared" si="0"/>
        <v/>
      </c>
    </row>
    <row r="54" spans="1:28" s="203" customFormat="1" ht="14.5">
      <c r="A54" s="15">
        <v>42742</v>
      </c>
      <c r="B54" s="4" t="s">
        <v>974</v>
      </c>
      <c r="C54" s="4" t="s">
        <v>1538</v>
      </c>
      <c r="D54" s="4" t="s">
        <v>975</v>
      </c>
      <c r="E54" s="4"/>
      <c r="F54" s="4">
        <v>5</v>
      </c>
      <c r="G54" s="4">
        <v>1</v>
      </c>
      <c r="H54" s="4" t="s">
        <v>780</v>
      </c>
      <c r="I54" s="4" t="s">
        <v>393</v>
      </c>
      <c r="J54" s="7">
        <v>42123</v>
      </c>
      <c r="K54" s="201" t="str">
        <f>IF(DATEDIF($J54,'Inst summary and ER calculation'!$T$6,"y")=1,"1-2 years","2-3 years")</f>
        <v>1-2 years</v>
      </c>
      <c r="L54" s="6" t="s">
        <v>780</v>
      </c>
      <c r="M54" s="4" t="s">
        <v>780</v>
      </c>
      <c r="N54" s="4">
        <v>18</v>
      </c>
      <c r="O54" s="4">
        <v>76</v>
      </c>
      <c r="P54" s="4" t="s">
        <v>780</v>
      </c>
      <c r="Q54" s="4" t="s">
        <v>780</v>
      </c>
      <c r="R54" s="4" t="s">
        <v>780</v>
      </c>
      <c r="S54" s="4" t="s">
        <v>780</v>
      </c>
      <c r="T54" s="4" t="s">
        <v>780</v>
      </c>
      <c r="U54" s="4" t="s">
        <v>780</v>
      </c>
      <c r="V54" s="4" t="s">
        <v>15</v>
      </c>
      <c r="W54" s="4"/>
      <c r="X54" s="4" t="s">
        <v>15</v>
      </c>
      <c r="Y54" s="4"/>
      <c r="Z54" s="4"/>
      <c r="AA54" s="4"/>
      <c r="AB54" s="202" t="str">
        <f t="shared" si="0"/>
        <v/>
      </c>
    </row>
    <row r="55" spans="1:28" s="203" customFormat="1" ht="14.5">
      <c r="A55" s="15">
        <v>42739</v>
      </c>
      <c r="B55" s="208" t="s">
        <v>872</v>
      </c>
      <c r="C55" s="4" t="s">
        <v>1527</v>
      </c>
      <c r="D55" s="208" t="s">
        <v>947</v>
      </c>
      <c r="E55" s="208"/>
      <c r="F55" s="4">
        <v>6</v>
      </c>
      <c r="G55" s="4">
        <v>4</v>
      </c>
      <c r="H55" s="4" t="s">
        <v>780</v>
      </c>
      <c r="I55" s="4" t="s">
        <v>382</v>
      </c>
      <c r="J55" s="7">
        <v>42120</v>
      </c>
      <c r="K55" s="201" t="str">
        <f>IF(DATEDIF($J55,'Inst summary and ER calculation'!$T$6,"y")=1,"1-2 years","2-3 years")</f>
        <v>1-2 years</v>
      </c>
      <c r="L55" s="6" t="s">
        <v>780</v>
      </c>
      <c r="M55" s="4" t="s">
        <v>780</v>
      </c>
      <c r="N55" s="4">
        <v>14</v>
      </c>
      <c r="O55" s="4">
        <v>60</v>
      </c>
      <c r="P55" s="4" t="s">
        <v>780</v>
      </c>
      <c r="Q55" s="4" t="s">
        <v>780</v>
      </c>
      <c r="R55" s="4" t="s">
        <v>780</v>
      </c>
      <c r="S55" s="4" t="s">
        <v>780</v>
      </c>
      <c r="T55" s="4" t="s">
        <v>780</v>
      </c>
      <c r="U55" s="4" t="s">
        <v>780</v>
      </c>
      <c r="V55" s="4" t="s">
        <v>15</v>
      </c>
      <c r="W55" s="4"/>
      <c r="X55" s="4" t="s">
        <v>15</v>
      </c>
      <c r="Y55" s="4"/>
      <c r="Z55" s="4"/>
      <c r="AA55" s="4"/>
      <c r="AB55" s="202" t="str">
        <f t="shared" si="0"/>
        <v/>
      </c>
    </row>
    <row r="56" spans="1:28" s="203" customFormat="1" ht="14.5">
      <c r="A56" s="15">
        <v>42753</v>
      </c>
      <c r="B56" s="4" t="s">
        <v>981</v>
      </c>
      <c r="C56" s="4" t="s">
        <v>1561</v>
      </c>
      <c r="D56" s="4" t="s">
        <v>993</v>
      </c>
      <c r="E56" s="4"/>
      <c r="F56" s="4">
        <v>2</v>
      </c>
      <c r="G56" s="4">
        <v>2</v>
      </c>
      <c r="H56" s="4" t="s">
        <v>780</v>
      </c>
      <c r="I56" s="4" t="s">
        <v>642</v>
      </c>
      <c r="J56" s="7">
        <v>41927</v>
      </c>
      <c r="K56" s="201" t="str">
        <f>IF(DATEDIF($J56,'Inst summary and ER calculation'!$T$6,"y")=1,"1-2 years","2-3 years")</f>
        <v>2-3 years</v>
      </c>
      <c r="L56" s="6" t="s">
        <v>780</v>
      </c>
      <c r="M56" s="4" t="s">
        <v>780</v>
      </c>
      <c r="N56" s="4">
        <v>14</v>
      </c>
      <c r="O56" s="4">
        <v>58</v>
      </c>
      <c r="P56" s="4" t="s">
        <v>780</v>
      </c>
      <c r="Q56" s="4" t="s">
        <v>780</v>
      </c>
      <c r="R56" s="4" t="s">
        <v>780</v>
      </c>
      <c r="S56" s="4" t="s">
        <v>780</v>
      </c>
      <c r="T56" s="4" t="s">
        <v>780</v>
      </c>
      <c r="U56" s="4" t="s">
        <v>780</v>
      </c>
      <c r="V56" s="4" t="s">
        <v>15</v>
      </c>
      <c r="W56" s="4"/>
      <c r="X56" s="4" t="s">
        <v>15</v>
      </c>
      <c r="Y56" s="4"/>
      <c r="Z56" s="4"/>
      <c r="AA56" s="4"/>
      <c r="AB56" s="202" t="str">
        <f t="shared" si="0"/>
        <v/>
      </c>
    </row>
    <row r="57" spans="1:28" s="203" customFormat="1" ht="14.5">
      <c r="A57" s="15">
        <v>42741</v>
      </c>
      <c r="B57" s="4" t="s">
        <v>622</v>
      </c>
      <c r="C57" s="4" t="s">
        <v>1536</v>
      </c>
      <c r="D57" s="10" t="s">
        <v>1002</v>
      </c>
      <c r="E57" s="10"/>
      <c r="F57" s="4">
        <v>4</v>
      </c>
      <c r="G57" s="4">
        <v>0</v>
      </c>
      <c r="H57" s="4" t="s">
        <v>780</v>
      </c>
      <c r="I57" s="4" t="s">
        <v>760</v>
      </c>
      <c r="J57" s="7">
        <v>42063</v>
      </c>
      <c r="K57" s="201" t="str">
        <f>IF(DATEDIF($J57,'Inst summary and ER calculation'!$T$6,"y")=1,"1-2 years","2-3 years")</f>
        <v>2-3 years</v>
      </c>
      <c r="L57" s="6" t="s">
        <v>780</v>
      </c>
      <c r="M57" s="4" t="s">
        <v>780</v>
      </c>
      <c r="N57" s="4">
        <v>14</v>
      </c>
      <c r="O57" s="4">
        <v>60</v>
      </c>
      <c r="P57" s="4" t="s">
        <v>780</v>
      </c>
      <c r="Q57" s="4" t="s">
        <v>780</v>
      </c>
      <c r="R57" s="4" t="s">
        <v>780</v>
      </c>
      <c r="S57" s="4" t="s">
        <v>780</v>
      </c>
      <c r="T57" s="4" t="s">
        <v>780</v>
      </c>
      <c r="U57" s="4" t="s">
        <v>780</v>
      </c>
      <c r="V57" s="4" t="s">
        <v>15</v>
      </c>
      <c r="W57" s="4"/>
      <c r="X57" s="4" t="s">
        <v>15</v>
      </c>
      <c r="Y57" s="4"/>
      <c r="Z57" s="4"/>
      <c r="AA57" s="4"/>
      <c r="AB57" s="202" t="str">
        <f t="shared" si="0"/>
        <v/>
      </c>
    </row>
    <row r="58" spans="1:28" s="203" customFormat="1" ht="14.5">
      <c r="A58" s="15">
        <v>42749</v>
      </c>
      <c r="B58" s="4" t="s">
        <v>117</v>
      </c>
      <c r="C58" s="4" t="s">
        <v>1552</v>
      </c>
      <c r="D58" s="4" t="s">
        <v>989</v>
      </c>
      <c r="E58" s="4"/>
      <c r="F58" s="4">
        <v>4</v>
      </c>
      <c r="G58" s="4">
        <v>0</v>
      </c>
      <c r="H58" s="4" t="s">
        <v>780</v>
      </c>
      <c r="I58" s="4" t="s">
        <v>363</v>
      </c>
      <c r="J58" s="7">
        <v>42109</v>
      </c>
      <c r="K58" s="201" t="str">
        <f>IF(DATEDIF($J58,'Inst summary and ER calculation'!$T$6,"y")=1,"1-2 years","2-3 years")</f>
        <v>1-2 years</v>
      </c>
      <c r="L58" s="6" t="s">
        <v>780</v>
      </c>
      <c r="M58" s="4" t="s">
        <v>780</v>
      </c>
      <c r="N58" s="4">
        <v>14</v>
      </c>
      <c r="O58" s="4">
        <v>56</v>
      </c>
      <c r="P58" s="4" t="s">
        <v>780</v>
      </c>
      <c r="Q58" s="4" t="s">
        <v>780</v>
      </c>
      <c r="R58" s="4" t="s">
        <v>780</v>
      </c>
      <c r="S58" s="4" t="s">
        <v>780</v>
      </c>
      <c r="T58" s="4" t="s">
        <v>780</v>
      </c>
      <c r="U58" s="4" t="s">
        <v>780</v>
      </c>
      <c r="V58" s="4" t="s">
        <v>15</v>
      </c>
      <c r="W58" s="4"/>
      <c r="X58" s="4" t="s">
        <v>16</v>
      </c>
      <c r="Y58" s="4" t="s">
        <v>16</v>
      </c>
      <c r="Z58" s="4">
        <v>7</v>
      </c>
      <c r="AA58" s="4">
        <v>28</v>
      </c>
      <c r="AB58" s="202">
        <f t="shared" si="0"/>
        <v>0.33333333333333331</v>
      </c>
    </row>
    <row r="59" spans="1:28" s="203" customFormat="1" ht="14.5">
      <c r="A59" s="15">
        <v>42751</v>
      </c>
      <c r="B59" s="4" t="s">
        <v>922</v>
      </c>
      <c r="C59" s="4" t="s">
        <v>568</v>
      </c>
      <c r="D59" s="4" t="s">
        <v>924</v>
      </c>
      <c r="E59" s="4"/>
      <c r="F59" s="4">
        <v>3</v>
      </c>
      <c r="G59" s="4">
        <v>2</v>
      </c>
      <c r="H59" s="4" t="s">
        <v>780</v>
      </c>
      <c r="I59" s="4" t="s">
        <v>567</v>
      </c>
      <c r="J59" s="7">
        <v>41803</v>
      </c>
      <c r="K59" s="201" t="str">
        <f>IF(DATEDIF($J59,'Inst summary and ER calculation'!$T$6,"y")=1,"1-2 years","2-3 years")</f>
        <v>2-3 years</v>
      </c>
      <c r="L59" s="6" t="s">
        <v>780</v>
      </c>
      <c r="M59" s="4" t="s">
        <v>780</v>
      </c>
      <c r="N59" s="4">
        <v>14</v>
      </c>
      <c r="O59" s="4">
        <v>60</v>
      </c>
      <c r="P59" s="4" t="s">
        <v>780</v>
      </c>
      <c r="Q59" s="4" t="s">
        <v>780</v>
      </c>
      <c r="R59" s="4" t="s">
        <v>780</v>
      </c>
      <c r="S59" s="4" t="s">
        <v>780</v>
      </c>
      <c r="T59" s="4" t="s">
        <v>780</v>
      </c>
      <c r="U59" s="4" t="s">
        <v>780</v>
      </c>
      <c r="V59" s="4" t="s">
        <v>15</v>
      </c>
      <c r="W59" s="4"/>
      <c r="X59" s="4" t="s">
        <v>15</v>
      </c>
      <c r="Y59" s="4"/>
      <c r="Z59" s="4"/>
      <c r="AA59" s="4"/>
      <c r="AB59" s="202" t="str">
        <f t="shared" si="0"/>
        <v/>
      </c>
    </row>
    <row r="60" spans="1:28" s="203" customFormat="1" ht="14.5">
      <c r="A60" s="15">
        <v>42740</v>
      </c>
      <c r="B60" s="209" t="s">
        <v>912</v>
      </c>
      <c r="C60" s="209" t="s">
        <v>58</v>
      </c>
      <c r="D60" s="209" t="s">
        <v>913</v>
      </c>
      <c r="E60" s="209"/>
      <c r="F60" s="4">
        <v>3</v>
      </c>
      <c r="G60" s="4">
        <v>3</v>
      </c>
      <c r="H60" s="4" t="s">
        <v>780</v>
      </c>
      <c r="I60" s="4" t="s">
        <v>519</v>
      </c>
      <c r="J60" s="7">
        <v>42184</v>
      </c>
      <c r="K60" s="201" t="str">
        <f>IF(DATEDIF($J60,'Inst summary and ER calculation'!$T$6,"y")=1,"1-2 years","2-3 years")</f>
        <v>1-2 years</v>
      </c>
      <c r="L60" s="6" t="s">
        <v>780</v>
      </c>
      <c r="M60" s="4" t="s">
        <v>780</v>
      </c>
      <c r="N60" s="4">
        <v>14</v>
      </c>
      <c r="O60" s="4">
        <v>60</v>
      </c>
      <c r="P60" s="4" t="s">
        <v>780</v>
      </c>
      <c r="Q60" s="4" t="s">
        <v>780</v>
      </c>
      <c r="R60" s="4" t="s">
        <v>780</v>
      </c>
      <c r="S60" s="4" t="s">
        <v>780</v>
      </c>
      <c r="T60" s="4" t="s">
        <v>780</v>
      </c>
      <c r="U60" s="4" t="s">
        <v>780</v>
      </c>
      <c r="V60" s="4" t="s">
        <v>15</v>
      </c>
      <c r="W60" s="4"/>
      <c r="X60" s="4" t="s">
        <v>15</v>
      </c>
      <c r="Y60" s="4"/>
      <c r="Z60" s="4"/>
      <c r="AA60" s="4"/>
      <c r="AB60" s="202" t="str">
        <f t="shared" si="0"/>
        <v/>
      </c>
    </row>
    <row r="61" spans="1:28" s="203" customFormat="1" ht="14.5">
      <c r="A61" s="15">
        <v>42738</v>
      </c>
      <c r="B61" s="4" t="s">
        <v>100</v>
      </c>
      <c r="C61" s="4" t="s">
        <v>483</v>
      </c>
      <c r="D61" s="4" t="s">
        <v>979</v>
      </c>
      <c r="E61" s="4"/>
      <c r="F61" s="4">
        <v>4</v>
      </c>
      <c r="G61" s="4">
        <v>2</v>
      </c>
      <c r="H61" s="4" t="s">
        <v>780</v>
      </c>
      <c r="I61" s="4" t="s">
        <v>484</v>
      </c>
      <c r="J61" s="7">
        <v>42170</v>
      </c>
      <c r="K61" s="201" t="str">
        <f>IF(DATEDIF($J61,'Inst summary and ER calculation'!$T$6,"y")=1,"1-2 years","2-3 years")</f>
        <v>1-2 years</v>
      </c>
      <c r="L61" s="6" t="s">
        <v>780</v>
      </c>
      <c r="M61" s="4" t="s">
        <v>780</v>
      </c>
      <c r="N61" s="4">
        <v>21</v>
      </c>
      <c r="O61" s="4">
        <v>88</v>
      </c>
      <c r="P61" s="4" t="s">
        <v>780</v>
      </c>
      <c r="Q61" s="4" t="s">
        <v>780</v>
      </c>
      <c r="R61" s="4" t="s">
        <v>780</v>
      </c>
      <c r="S61" s="4" t="s">
        <v>780</v>
      </c>
      <c r="T61" s="4" t="s">
        <v>780</v>
      </c>
      <c r="U61" s="4" t="s">
        <v>780</v>
      </c>
      <c r="V61" s="4" t="s">
        <v>15</v>
      </c>
      <c r="W61" s="4"/>
      <c r="X61" s="4" t="s">
        <v>15</v>
      </c>
      <c r="Y61" s="4"/>
      <c r="Z61" s="4"/>
      <c r="AA61" s="4"/>
      <c r="AB61" s="202" t="str">
        <f t="shared" si="0"/>
        <v/>
      </c>
    </row>
    <row r="62" spans="1:28" s="203" customFormat="1" ht="14.5">
      <c r="A62" s="15">
        <v>42752</v>
      </c>
      <c r="B62" s="4" t="s">
        <v>940</v>
      </c>
      <c r="C62" s="4" t="s">
        <v>243</v>
      </c>
      <c r="D62" s="4" t="s">
        <v>941</v>
      </c>
      <c r="E62" s="4"/>
      <c r="F62" s="4">
        <v>3</v>
      </c>
      <c r="G62" s="4">
        <v>1</v>
      </c>
      <c r="H62" s="4" t="s">
        <v>780</v>
      </c>
      <c r="I62" s="4" t="s">
        <v>242</v>
      </c>
      <c r="J62" s="7">
        <v>42017</v>
      </c>
      <c r="K62" s="201" t="str">
        <f>IF(DATEDIF($J62,'Inst summary and ER calculation'!$T$6,"y")=1,"1-2 years","2-3 years")</f>
        <v>2-3 years</v>
      </c>
      <c r="L62" s="6" t="s">
        <v>780</v>
      </c>
      <c r="M62" s="4" t="s">
        <v>780</v>
      </c>
      <c r="N62" s="4">
        <v>21</v>
      </c>
      <c r="O62" s="4">
        <v>90</v>
      </c>
      <c r="P62" s="4" t="s">
        <v>780</v>
      </c>
      <c r="Q62" s="4" t="s">
        <v>780</v>
      </c>
      <c r="R62" s="4" t="s">
        <v>780</v>
      </c>
      <c r="S62" s="4" t="s">
        <v>780</v>
      </c>
      <c r="T62" s="4" t="s">
        <v>780</v>
      </c>
      <c r="U62" s="4" t="s">
        <v>780</v>
      </c>
      <c r="V62" s="4" t="s">
        <v>15</v>
      </c>
      <c r="W62" s="4"/>
      <c r="X62" s="4" t="s">
        <v>15</v>
      </c>
      <c r="Y62" s="4"/>
      <c r="Z62" s="4"/>
      <c r="AA62" s="4"/>
      <c r="AB62" s="202" t="str">
        <f t="shared" si="0"/>
        <v/>
      </c>
    </row>
    <row r="63" spans="1:28" s="203" customFormat="1" ht="14.5">
      <c r="A63" s="15">
        <v>42740</v>
      </c>
      <c r="B63" s="4" t="s">
        <v>981</v>
      </c>
      <c r="C63" s="4" t="s">
        <v>188</v>
      </c>
      <c r="D63" s="4" t="s">
        <v>994</v>
      </c>
      <c r="E63" s="4"/>
      <c r="F63" s="4">
        <v>3</v>
      </c>
      <c r="G63" s="4">
        <v>3</v>
      </c>
      <c r="H63" s="4" t="s">
        <v>780</v>
      </c>
      <c r="I63" s="4" t="s">
        <v>614</v>
      </c>
      <c r="J63" s="7">
        <v>41909</v>
      </c>
      <c r="K63" s="201" t="str">
        <f>IF(DATEDIF($J63,'Inst summary and ER calculation'!$T$6,"y")=1,"1-2 years","2-3 years")</f>
        <v>2-3 years</v>
      </c>
      <c r="L63" s="6" t="s">
        <v>780</v>
      </c>
      <c r="M63" s="4" t="s">
        <v>780</v>
      </c>
      <c r="N63" s="4">
        <v>21</v>
      </c>
      <c r="O63" s="4">
        <v>88</v>
      </c>
      <c r="P63" s="4" t="s">
        <v>780</v>
      </c>
      <c r="Q63" s="4" t="s">
        <v>780</v>
      </c>
      <c r="R63" s="4" t="s">
        <v>780</v>
      </c>
      <c r="S63" s="4" t="s">
        <v>780</v>
      </c>
      <c r="T63" s="4" t="s">
        <v>780</v>
      </c>
      <c r="U63" s="4" t="s">
        <v>780</v>
      </c>
      <c r="V63" s="4" t="s">
        <v>15</v>
      </c>
      <c r="W63" s="4"/>
      <c r="X63" s="4" t="s">
        <v>15</v>
      </c>
      <c r="Y63" s="4"/>
      <c r="Z63" s="4"/>
      <c r="AA63" s="4"/>
      <c r="AB63" s="202" t="str">
        <f t="shared" si="0"/>
        <v/>
      </c>
    </row>
    <row r="64" spans="1:28" s="203" customFormat="1" ht="14.5">
      <c r="A64" s="15">
        <v>42742</v>
      </c>
      <c r="B64" s="4" t="s">
        <v>100</v>
      </c>
      <c r="C64" s="4" t="s">
        <v>234</v>
      </c>
      <c r="D64" s="4" t="s">
        <v>978</v>
      </c>
      <c r="E64" s="4"/>
      <c r="F64" s="4">
        <v>3</v>
      </c>
      <c r="G64" s="4">
        <v>2</v>
      </c>
      <c r="H64" s="4" t="s">
        <v>780</v>
      </c>
      <c r="I64" s="4" t="s">
        <v>357</v>
      </c>
      <c r="J64" s="7">
        <v>42109</v>
      </c>
      <c r="K64" s="201" t="str">
        <f>IF(DATEDIF($J64,'Inst summary and ER calculation'!$T$6,"y")=1,"1-2 years","2-3 years")</f>
        <v>1-2 years</v>
      </c>
      <c r="L64" s="6" t="s">
        <v>780</v>
      </c>
      <c r="M64" s="4" t="s">
        <v>780</v>
      </c>
      <c r="N64" s="4">
        <v>20</v>
      </c>
      <c r="O64" s="4">
        <v>84</v>
      </c>
      <c r="P64" s="4" t="s">
        <v>780</v>
      </c>
      <c r="Q64" s="4" t="s">
        <v>780</v>
      </c>
      <c r="R64" s="4" t="s">
        <v>780</v>
      </c>
      <c r="S64" s="4" t="s">
        <v>780</v>
      </c>
      <c r="T64" s="4" t="s">
        <v>780</v>
      </c>
      <c r="U64" s="4" t="s">
        <v>780</v>
      </c>
      <c r="V64" s="4" t="s">
        <v>15</v>
      </c>
      <c r="W64" s="4"/>
      <c r="X64" s="4" t="s">
        <v>15</v>
      </c>
      <c r="Y64" s="4"/>
      <c r="Z64" s="4"/>
      <c r="AA64" s="4"/>
      <c r="AB64" s="202" t="str">
        <f t="shared" si="0"/>
        <v/>
      </c>
    </row>
    <row r="65" spans="1:28" s="203" customFormat="1" ht="14.5">
      <c r="A65" s="15">
        <v>42738</v>
      </c>
      <c r="B65" s="204" t="s">
        <v>1251</v>
      </c>
      <c r="C65" s="204" t="s">
        <v>1252</v>
      </c>
      <c r="D65" s="206" t="s">
        <v>1253</v>
      </c>
      <c r="E65" s="204"/>
      <c r="F65" s="204">
        <v>2</v>
      </c>
      <c r="G65" s="204"/>
      <c r="H65" s="204" t="s">
        <v>16</v>
      </c>
      <c r="I65" s="204" t="s">
        <v>502</v>
      </c>
      <c r="J65" s="205">
        <v>42183</v>
      </c>
      <c r="K65" s="201" t="str">
        <f>IF(DATEDIF($J65,'Inst summary and ER calculation'!$T$6,"y")=1,"1-2 years","2-3 years")</f>
        <v>1-2 years</v>
      </c>
      <c r="L65" s="204" t="s">
        <v>16</v>
      </c>
      <c r="M65" s="204" t="s">
        <v>16</v>
      </c>
      <c r="N65" s="204">
        <v>14</v>
      </c>
      <c r="O65" s="204">
        <v>65</v>
      </c>
      <c r="P65" s="204" t="s">
        <v>16</v>
      </c>
      <c r="Q65" s="204" t="s">
        <v>16</v>
      </c>
      <c r="R65" s="204" t="s">
        <v>16</v>
      </c>
      <c r="S65" s="204" t="s">
        <v>16</v>
      </c>
      <c r="T65" s="204" t="s">
        <v>16</v>
      </c>
      <c r="U65" s="204" t="s">
        <v>16</v>
      </c>
      <c r="V65" s="204"/>
      <c r="W65" s="22"/>
      <c r="X65" s="204" t="s">
        <v>15</v>
      </c>
      <c r="Y65" s="204"/>
      <c r="Z65" s="204"/>
      <c r="AA65" s="204"/>
      <c r="AB65" s="202" t="str">
        <f t="shared" si="0"/>
        <v/>
      </c>
    </row>
    <row r="66" spans="1:28" s="203" customFormat="1" ht="14.5">
      <c r="A66" s="15">
        <v>42738</v>
      </c>
      <c r="B66" s="204" t="s">
        <v>232</v>
      </c>
      <c r="C66" s="204" t="s">
        <v>1199</v>
      </c>
      <c r="D66" s="206" t="s">
        <v>1200</v>
      </c>
      <c r="E66" s="204"/>
      <c r="F66" s="204">
        <v>3</v>
      </c>
      <c r="G66" s="204">
        <v>2</v>
      </c>
      <c r="H66" s="204" t="s">
        <v>16</v>
      </c>
      <c r="I66" s="204" t="s">
        <v>245</v>
      </c>
      <c r="J66" s="205">
        <v>42017</v>
      </c>
      <c r="K66" s="201" t="str">
        <f>IF(DATEDIF($J66,'Inst summary and ER calculation'!$T$6,"y")=1,"1-2 years","2-3 years")</f>
        <v>2-3 years</v>
      </c>
      <c r="L66" s="204" t="s">
        <v>16</v>
      </c>
      <c r="M66" s="204" t="s">
        <v>16</v>
      </c>
      <c r="N66" s="204">
        <v>18</v>
      </c>
      <c r="O66" s="204">
        <v>72</v>
      </c>
      <c r="P66" s="204" t="s">
        <v>16</v>
      </c>
      <c r="Q66" s="204" t="s">
        <v>16</v>
      </c>
      <c r="R66" s="204" t="s">
        <v>16</v>
      </c>
      <c r="S66" s="204" t="s">
        <v>16</v>
      </c>
      <c r="T66" s="204" t="s">
        <v>16</v>
      </c>
      <c r="U66" s="204" t="s">
        <v>16</v>
      </c>
      <c r="V66" s="204"/>
      <c r="W66" s="22"/>
      <c r="X66" s="204" t="s">
        <v>15</v>
      </c>
      <c r="Y66" s="204"/>
      <c r="Z66" s="204"/>
      <c r="AA66" s="204"/>
      <c r="AB66" s="202" t="str">
        <f t="shared" si="0"/>
        <v/>
      </c>
    </row>
    <row r="67" spans="1:28" s="203" customFormat="1" ht="14.5">
      <c r="A67" s="15">
        <v>42739</v>
      </c>
      <c r="B67" s="204" t="s">
        <v>1024</v>
      </c>
      <c r="C67" s="11" t="s">
        <v>1107</v>
      </c>
      <c r="D67" s="12" t="s">
        <v>1108</v>
      </c>
      <c r="E67" s="12"/>
      <c r="F67" s="204">
        <v>4</v>
      </c>
      <c r="G67" s="204">
        <v>1</v>
      </c>
      <c r="H67" s="204" t="s">
        <v>16</v>
      </c>
      <c r="I67" s="204" t="s">
        <v>347</v>
      </c>
      <c r="J67" s="205">
        <v>42104</v>
      </c>
      <c r="K67" s="201" t="str">
        <f>IF(DATEDIF($J67,'Inst summary and ER calculation'!$T$6,"y")=1,"1-2 years","2-3 years")</f>
        <v>1-2 years</v>
      </c>
      <c r="L67" s="204" t="s">
        <v>16</v>
      </c>
      <c r="M67" s="204" t="s">
        <v>16</v>
      </c>
      <c r="N67" s="204">
        <v>20</v>
      </c>
      <c r="O67" s="204">
        <v>85</v>
      </c>
      <c r="P67" s="204" t="s">
        <v>16</v>
      </c>
      <c r="Q67" s="204" t="s">
        <v>16</v>
      </c>
      <c r="R67" s="204" t="s">
        <v>16</v>
      </c>
      <c r="S67" s="204" t="s">
        <v>16</v>
      </c>
      <c r="T67" s="204" t="s">
        <v>16</v>
      </c>
      <c r="U67" s="204" t="s">
        <v>16</v>
      </c>
      <c r="V67" s="204"/>
      <c r="W67" s="22"/>
      <c r="X67" s="204" t="s">
        <v>15</v>
      </c>
      <c r="Y67" s="204"/>
      <c r="Z67" s="204"/>
      <c r="AA67" s="204"/>
      <c r="AB67" s="202" t="str">
        <f t="shared" ref="AB67:AB130" si="1">IF(Y67="yes",MAX(Z67/(Z67+N67),AA67/(AA67+O67)),"")</f>
        <v/>
      </c>
    </row>
    <row r="68" spans="1:28" s="210" customFormat="1" ht="14.5">
      <c r="A68" s="15">
        <v>42739</v>
      </c>
      <c r="B68" s="204" t="s">
        <v>1050</v>
      </c>
      <c r="C68" s="204" t="s">
        <v>1122</v>
      </c>
      <c r="D68" s="12" t="s">
        <v>1123</v>
      </c>
      <c r="E68" s="12"/>
      <c r="F68" s="204">
        <v>5</v>
      </c>
      <c r="G68" s="204">
        <v>0</v>
      </c>
      <c r="H68" s="204" t="s">
        <v>16</v>
      </c>
      <c r="I68" s="204" t="s">
        <v>394</v>
      </c>
      <c r="J68" s="205">
        <v>42123</v>
      </c>
      <c r="K68" s="201" t="str">
        <f>IF(DATEDIF($J68,'Inst summary and ER calculation'!$T$6,"y")=1,"1-2 years","2-3 years")</f>
        <v>1-2 years</v>
      </c>
      <c r="L68" s="204" t="s">
        <v>16</v>
      </c>
      <c r="M68" s="204" t="s">
        <v>16</v>
      </c>
      <c r="N68" s="204">
        <v>18</v>
      </c>
      <c r="O68" s="204">
        <v>72</v>
      </c>
      <c r="P68" s="204" t="s">
        <v>16</v>
      </c>
      <c r="Q68" s="204" t="s">
        <v>16</v>
      </c>
      <c r="R68" s="204" t="s">
        <v>16</v>
      </c>
      <c r="S68" s="204" t="s">
        <v>16</v>
      </c>
      <c r="T68" s="204" t="s">
        <v>16</v>
      </c>
      <c r="U68" s="204" t="s">
        <v>16</v>
      </c>
      <c r="V68" s="204"/>
      <c r="W68" s="22"/>
      <c r="X68" s="204" t="s">
        <v>15</v>
      </c>
      <c r="Y68" s="204"/>
      <c r="Z68" s="204"/>
      <c r="AA68" s="204"/>
      <c r="AB68" s="202" t="str">
        <f t="shared" si="1"/>
        <v/>
      </c>
    </row>
    <row r="69" spans="1:28" s="203" customFormat="1" ht="14.5">
      <c r="A69" s="15">
        <v>42739</v>
      </c>
      <c r="B69" s="204" t="s">
        <v>1361</v>
      </c>
      <c r="C69" s="204" t="s">
        <v>1418</v>
      </c>
      <c r="D69" s="206" t="s">
        <v>1162</v>
      </c>
      <c r="E69" s="204"/>
      <c r="F69" s="204">
        <v>3</v>
      </c>
      <c r="G69" s="204">
        <v>2</v>
      </c>
      <c r="H69" s="204" t="s">
        <v>16</v>
      </c>
      <c r="I69" s="204" t="s">
        <v>468</v>
      </c>
      <c r="J69" s="205">
        <v>42167</v>
      </c>
      <c r="K69" s="201" t="str">
        <f>IF(DATEDIF($J69,'Inst summary and ER calculation'!$T$6,"y")=1,"1-2 years","2-3 years")</f>
        <v>1-2 years</v>
      </c>
      <c r="L69" s="204" t="s">
        <v>16</v>
      </c>
      <c r="M69" s="204" t="s">
        <v>16</v>
      </c>
      <c r="N69" s="204">
        <v>21</v>
      </c>
      <c r="O69" s="204">
        <v>90</v>
      </c>
      <c r="P69" s="204" t="s">
        <v>16</v>
      </c>
      <c r="Q69" s="204" t="s">
        <v>16</v>
      </c>
      <c r="R69" s="204" t="s">
        <v>16</v>
      </c>
      <c r="S69" s="204" t="s">
        <v>16</v>
      </c>
      <c r="T69" s="204" t="s">
        <v>16</v>
      </c>
      <c r="U69" s="204" t="s">
        <v>16</v>
      </c>
      <c r="V69" s="204"/>
      <c r="W69" s="22"/>
      <c r="X69" s="204" t="s">
        <v>15</v>
      </c>
      <c r="Y69" s="204"/>
      <c r="Z69" s="204"/>
      <c r="AA69" s="204"/>
      <c r="AB69" s="202" t="str">
        <f t="shared" si="1"/>
        <v/>
      </c>
    </row>
    <row r="70" spans="1:28" s="203" customFormat="1" ht="14.5">
      <c r="A70" s="15">
        <v>42739</v>
      </c>
      <c r="B70" s="204" t="s">
        <v>622</v>
      </c>
      <c r="C70" s="204" t="s">
        <v>108</v>
      </c>
      <c r="D70" s="206" t="s">
        <v>1288</v>
      </c>
      <c r="E70" s="204"/>
      <c r="F70" s="204">
        <v>2</v>
      </c>
      <c r="G70" s="204">
        <v>2</v>
      </c>
      <c r="H70" s="204" t="s">
        <v>16</v>
      </c>
      <c r="I70" s="11" t="s">
        <v>621</v>
      </c>
      <c r="J70" s="17">
        <v>41913</v>
      </c>
      <c r="K70" s="201" t="str">
        <f>IF(DATEDIF($J70,'Inst summary and ER calculation'!$T$6,"y")=1,"1-2 years","2-3 years")</f>
        <v>2-3 years</v>
      </c>
      <c r="L70" s="204" t="s">
        <v>16</v>
      </c>
      <c r="M70" s="204" t="s">
        <v>16</v>
      </c>
      <c r="N70" s="204">
        <v>18</v>
      </c>
      <c r="O70" s="204">
        <v>81</v>
      </c>
      <c r="P70" s="204" t="s">
        <v>16</v>
      </c>
      <c r="Q70" s="204" t="s">
        <v>16</v>
      </c>
      <c r="R70" s="204" t="s">
        <v>16</v>
      </c>
      <c r="S70" s="204" t="s">
        <v>16</v>
      </c>
      <c r="T70" s="204" t="s">
        <v>16</v>
      </c>
      <c r="U70" s="204" t="s">
        <v>16</v>
      </c>
      <c r="V70" s="204"/>
      <c r="W70" s="22"/>
      <c r="X70" s="204" t="s">
        <v>15</v>
      </c>
      <c r="Y70" s="204"/>
      <c r="Z70" s="204"/>
      <c r="AA70" s="204"/>
      <c r="AB70" s="202" t="str">
        <f t="shared" si="1"/>
        <v/>
      </c>
    </row>
    <row r="71" spans="1:28" s="203" customFormat="1" ht="14.5">
      <c r="A71" s="15">
        <v>42739</v>
      </c>
      <c r="B71" s="204" t="s">
        <v>1282</v>
      </c>
      <c r="C71" s="204" t="s">
        <v>1355</v>
      </c>
      <c r="D71" s="206" t="s">
        <v>1356</v>
      </c>
      <c r="E71" s="204"/>
      <c r="F71" s="204">
        <v>2</v>
      </c>
      <c r="G71" s="204">
        <v>2</v>
      </c>
      <c r="H71" s="204" t="s">
        <v>16</v>
      </c>
      <c r="I71" s="12" t="s">
        <v>758</v>
      </c>
      <c r="J71" s="16">
        <v>42058</v>
      </c>
      <c r="K71" s="201" t="str">
        <f>IF(DATEDIF($J71,'Inst summary and ER calculation'!$T$6,"y")=1,"1-2 years","2-3 years")</f>
        <v>2-3 years</v>
      </c>
      <c r="L71" s="204" t="s">
        <v>16</v>
      </c>
      <c r="M71" s="204" t="s">
        <v>16</v>
      </c>
      <c r="N71" s="204">
        <v>14</v>
      </c>
      <c r="O71" s="204">
        <v>60</v>
      </c>
      <c r="P71" s="204" t="s">
        <v>16</v>
      </c>
      <c r="Q71" s="204" t="s">
        <v>16</v>
      </c>
      <c r="R71" s="204" t="s">
        <v>16</v>
      </c>
      <c r="S71" s="204" t="s">
        <v>16</v>
      </c>
      <c r="T71" s="204" t="s">
        <v>16</v>
      </c>
      <c r="U71" s="204" t="s">
        <v>16</v>
      </c>
      <c r="V71" s="204"/>
      <c r="W71" s="22"/>
      <c r="X71" s="204" t="s">
        <v>15</v>
      </c>
      <c r="Y71" s="204"/>
      <c r="Z71" s="204"/>
      <c r="AA71" s="204"/>
      <c r="AB71" s="202" t="str">
        <f t="shared" si="1"/>
        <v/>
      </c>
    </row>
    <row r="72" spans="1:28" s="203" customFormat="1" ht="14.5">
      <c r="A72" s="15">
        <v>42740</v>
      </c>
      <c r="B72" s="204" t="s">
        <v>573</v>
      </c>
      <c r="C72" s="204" t="s">
        <v>1342</v>
      </c>
      <c r="D72" s="206" t="s">
        <v>1343</v>
      </c>
      <c r="E72" s="204"/>
      <c r="F72" s="204">
        <v>4</v>
      </c>
      <c r="G72" s="204">
        <v>1</v>
      </c>
      <c r="H72" s="204" t="s">
        <v>16</v>
      </c>
      <c r="I72" s="204" t="s">
        <v>270</v>
      </c>
      <c r="J72" s="205">
        <v>42036</v>
      </c>
      <c r="K72" s="201" t="str">
        <f>IF(DATEDIF($J72,'Inst summary and ER calculation'!$T$6,"y")=1,"1-2 years","2-3 years")</f>
        <v>2-3 years</v>
      </c>
      <c r="L72" s="204" t="s">
        <v>16</v>
      </c>
      <c r="M72" s="204" t="s">
        <v>16</v>
      </c>
      <c r="N72" s="204">
        <v>15</v>
      </c>
      <c r="O72" s="204">
        <v>48</v>
      </c>
      <c r="P72" s="204" t="s">
        <v>16</v>
      </c>
      <c r="Q72" s="204" t="s">
        <v>16</v>
      </c>
      <c r="R72" s="204" t="s">
        <v>16</v>
      </c>
      <c r="S72" s="204" t="s">
        <v>16</v>
      </c>
      <c r="T72" s="204" t="s">
        <v>16</v>
      </c>
      <c r="U72" s="204" t="s">
        <v>16</v>
      </c>
      <c r="V72" s="204"/>
      <c r="W72" s="22"/>
      <c r="X72" s="204" t="s">
        <v>16</v>
      </c>
      <c r="Y72" s="204" t="s">
        <v>16</v>
      </c>
      <c r="Z72" s="204">
        <v>5</v>
      </c>
      <c r="AA72" s="204">
        <v>16</v>
      </c>
      <c r="AB72" s="202">
        <f t="shared" si="1"/>
        <v>0.25</v>
      </c>
    </row>
    <row r="73" spans="1:28" s="203" customFormat="1" ht="14.5">
      <c r="A73" s="15">
        <v>42740</v>
      </c>
      <c r="B73" s="204" t="s">
        <v>158</v>
      </c>
      <c r="C73" s="204" t="s">
        <v>1239</v>
      </c>
      <c r="D73" s="206" t="s">
        <v>1240</v>
      </c>
      <c r="E73" s="204"/>
      <c r="F73" s="204">
        <v>4</v>
      </c>
      <c r="G73" s="204">
        <v>2</v>
      </c>
      <c r="H73" s="204" t="s">
        <v>16</v>
      </c>
      <c r="I73" s="204" t="s">
        <v>431</v>
      </c>
      <c r="J73" s="205">
        <v>42139</v>
      </c>
      <c r="K73" s="201" t="str">
        <f>IF(DATEDIF($J73,'Inst summary and ER calculation'!$T$6,"y")=1,"1-2 years","2-3 years")</f>
        <v>1-2 years</v>
      </c>
      <c r="L73" s="204" t="s">
        <v>16</v>
      </c>
      <c r="M73" s="204" t="s">
        <v>16</v>
      </c>
      <c r="N73" s="204">
        <v>21</v>
      </c>
      <c r="O73" s="204">
        <v>90</v>
      </c>
      <c r="P73" s="204" t="s">
        <v>16</v>
      </c>
      <c r="Q73" s="204" t="s">
        <v>16</v>
      </c>
      <c r="R73" s="204" t="s">
        <v>16</v>
      </c>
      <c r="S73" s="204" t="s">
        <v>16</v>
      </c>
      <c r="T73" s="204" t="s">
        <v>16</v>
      </c>
      <c r="U73" s="204" t="s">
        <v>16</v>
      </c>
      <c r="V73" s="204"/>
      <c r="W73" s="22"/>
      <c r="X73" s="204" t="s">
        <v>15</v>
      </c>
      <c r="Y73" s="204"/>
      <c r="Z73" s="204"/>
      <c r="AA73" s="204"/>
      <c r="AB73" s="202" t="str">
        <f t="shared" si="1"/>
        <v/>
      </c>
    </row>
    <row r="74" spans="1:28" s="203" customFormat="1" ht="14.5">
      <c r="A74" s="15">
        <v>42740</v>
      </c>
      <c r="B74" s="204" t="s">
        <v>1111</v>
      </c>
      <c r="C74" s="204" t="s">
        <v>1245</v>
      </c>
      <c r="D74" s="206" t="s">
        <v>1246</v>
      </c>
      <c r="E74" s="204"/>
      <c r="F74" s="204">
        <v>3</v>
      </c>
      <c r="G74" s="204">
        <v>1</v>
      </c>
      <c r="H74" s="204" t="s">
        <v>16</v>
      </c>
      <c r="I74" s="204" t="s">
        <v>479</v>
      </c>
      <c r="J74" s="205">
        <v>42170</v>
      </c>
      <c r="K74" s="201" t="str">
        <f>IF(DATEDIF($J74,'Inst summary and ER calculation'!$T$6,"y")=1,"1-2 years","2-3 years")</f>
        <v>1-2 years</v>
      </c>
      <c r="L74" s="204" t="s">
        <v>16</v>
      </c>
      <c r="M74" s="204" t="s">
        <v>16</v>
      </c>
      <c r="N74" s="204">
        <v>15</v>
      </c>
      <c r="O74" s="204">
        <v>60</v>
      </c>
      <c r="P74" s="204" t="s">
        <v>16</v>
      </c>
      <c r="Q74" s="204" t="s">
        <v>16</v>
      </c>
      <c r="R74" s="204" t="s">
        <v>16</v>
      </c>
      <c r="S74" s="204" t="s">
        <v>16</v>
      </c>
      <c r="T74" s="204" t="s">
        <v>16</v>
      </c>
      <c r="U74" s="204" t="s">
        <v>16</v>
      </c>
      <c r="V74" s="204"/>
      <c r="W74" s="22"/>
      <c r="X74" s="204" t="s">
        <v>15</v>
      </c>
      <c r="Y74" s="204"/>
      <c r="Z74" s="204"/>
      <c r="AA74" s="204"/>
      <c r="AB74" s="202" t="str">
        <f t="shared" si="1"/>
        <v/>
      </c>
    </row>
    <row r="75" spans="1:28" s="203" customFormat="1" ht="14.5">
      <c r="A75" s="15">
        <v>42740</v>
      </c>
      <c r="B75" s="204" t="s">
        <v>1283</v>
      </c>
      <c r="C75" s="204" t="s">
        <v>1434</v>
      </c>
      <c r="D75" s="206" t="s">
        <v>1435</v>
      </c>
      <c r="E75" s="204"/>
      <c r="F75" s="204">
        <v>4</v>
      </c>
      <c r="G75" s="204"/>
      <c r="H75" s="204" t="s">
        <v>16</v>
      </c>
      <c r="I75" s="14" t="s">
        <v>526</v>
      </c>
      <c r="J75" s="205">
        <v>42184</v>
      </c>
      <c r="K75" s="201" t="str">
        <f>IF(DATEDIF($J75,'Inst summary and ER calculation'!$T$6,"y")=1,"1-2 years","2-3 years")</f>
        <v>1-2 years</v>
      </c>
      <c r="L75" s="204" t="s">
        <v>16</v>
      </c>
      <c r="M75" s="204" t="s">
        <v>16</v>
      </c>
      <c r="N75" s="204">
        <v>18</v>
      </c>
      <c r="O75" s="204">
        <v>84</v>
      </c>
      <c r="P75" s="204" t="s">
        <v>16</v>
      </c>
      <c r="Q75" s="204" t="s">
        <v>16</v>
      </c>
      <c r="R75" s="204" t="s">
        <v>16</v>
      </c>
      <c r="S75" s="204" t="s">
        <v>16</v>
      </c>
      <c r="T75" s="204" t="s">
        <v>16</v>
      </c>
      <c r="U75" s="204" t="s">
        <v>16</v>
      </c>
      <c r="V75" s="204"/>
      <c r="W75" s="22"/>
      <c r="X75" s="204" t="s">
        <v>15</v>
      </c>
      <c r="Y75" s="204"/>
      <c r="Z75" s="204"/>
      <c r="AA75" s="204"/>
      <c r="AB75" s="202" t="str">
        <f t="shared" si="1"/>
        <v/>
      </c>
    </row>
    <row r="76" spans="1:28" s="203" customFormat="1" ht="14.5">
      <c r="A76" s="15">
        <v>42740</v>
      </c>
      <c r="B76" s="204" t="s">
        <v>117</v>
      </c>
      <c r="C76" s="204" t="s">
        <v>1261</v>
      </c>
      <c r="D76" s="206" t="s">
        <v>1262</v>
      </c>
      <c r="E76" s="204"/>
      <c r="F76" s="204">
        <v>3</v>
      </c>
      <c r="G76" s="204">
        <v>2</v>
      </c>
      <c r="H76" s="204" t="s">
        <v>16</v>
      </c>
      <c r="I76" s="12" t="s">
        <v>556</v>
      </c>
      <c r="J76" s="207">
        <v>41744</v>
      </c>
      <c r="K76" s="201" t="str">
        <f>IF(DATEDIF($J76,'Inst summary and ER calculation'!$T$6,"y")=1,"1-2 years","2-3 years")</f>
        <v>2-3 years</v>
      </c>
      <c r="L76" s="204" t="s">
        <v>16</v>
      </c>
      <c r="M76" s="204" t="s">
        <v>16</v>
      </c>
      <c r="N76" s="204">
        <v>14</v>
      </c>
      <c r="O76" s="204">
        <v>60</v>
      </c>
      <c r="P76" s="204" t="s">
        <v>16</v>
      </c>
      <c r="Q76" s="204" t="s">
        <v>16</v>
      </c>
      <c r="R76" s="204" t="s">
        <v>16</v>
      </c>
      <c r="S76" s="204" t="s">
        <v>16</v>
      </c>
      <c r="T76" s="204" t="s">
        <v>16</v>
      </c>
      <c r="U76" s="204" t="s">
        <v>16</v>
      </c>
      <c r="V76" s="204"/>
      <c r="W76" s="22"/>
      <c r="X76" s="204" t="s">
        <v>15</v>
      </c>
      <c r="Y76" s="204"/>
      <c r="Z76" s="204"/>
      <c r="AA76" s="204"/>
      <c r="AB76" s="202" t="str">
        <f t="shared" si="1"/>
        <v/>
      </c>
    </row>
    <row r="77" spans="1:28" s="203" customFormat="1" ht="14.5">
      <c r="A77" s="15">
        <v>42740</v>
      </c>
      <c r="B77" s="204" t="s">
        <v>1273</v>
      </c>
      <c r="C77" s="204" t="s">
        <v>1277</v>
      </c>
      <c r="D77" s="206" t="s">
        <v>1278</v>
      </c>
      <c r="E77" s="204"/>
      <c r="F77" s="204">
        <v>1</v>
      </c>
      <c r="G77" s="204">
        <v>4</v>
      </c>
      <c r="H77" s="204" t="s">
        <v>16</v>
      </c>
      <c r="I77" s="204" t="s">
        <v>600</v>
      </c>
      <c r="J77" s="205">
        <v>41880</v>
      </c>
      <c r="K77" s="201" t="str">
        <f>IF(DATEDIF($J77,'Inst summary and ER calculation'!$T$6,"y")=1,"1-2 years","2-3 years")</f>
        <v>2-3 years</v>
      </c>
      <c r="L77" s="204" t="s">
        <v>16</v>
      </c>
      <c r="M77" s="204" t="s">
        <v>16</v>
      </c>
      <c r="N77" s="204">
        <v>14</v>
      </c>
      <c r="O77" s="204">
        <v>60</v>
      </c>
      <c r="P77" s="204" t="s">
        <v>16</v>
      </c>
      <c r="Q77" s="204" t="s">
        <v>16</v>
      </c>
      <c r="R77" s="204" t="s">
        <v>16</v>
      </c>
      <c r="S77" s="204" t="s">
        <v>16</v>
      </c>
      <c r="T77" s="204" t="s">
        <v>16</v>
      </c>
      <c r="U77" s="204" t="s">
        <v>16</v>
      </c>
      <c r="V77" s="204"/>
      <c r="W77" s="22"/>
      <c r="X77" s="204" t="s">
        <v>15</v>
      </c>
      <c r="Y77" s="204"/>
      <c r="Z77" s="204"/>
      <c r="AA77" s="204"/>
      <c r="AB77" s="202" t="str">
        <f t="shared" si="1"/>
        <v/>
      </c>
    </row>
    <row r="78" spans="1:28" s="203" customFormat="1" ht="14.5">
      <c r="A78" s="15">
        <v>42740</v>
      </c>
      <c r="B78" s="204" t="s">
        <v>193</v>
      </c>
      <c r="C78" s="204" t="s">
        <v>190</v>
      </c>
      <c r="D78" s="206" t="s">
        <v>1175</v>
      </c>
      <c r="E78" s="204"/>
      <c r="F78" s="204">
        <v>3</v>
      </c>
      <c r="G78" s="204">
        <v>2</v>
      </c>
      <c r="H78" s="204" t="s">
        <v>16</v>
      </c>
      <c r="I78" s="204" t="s">
        <v>659</v>
      </c>
      <c r="J78" s="205">
        <v>41933</v>
      </c>
      <c r="K78" s="201" t="str">
        <f>IF(DATEDIF($J78,'Inst summary and ER calculation'!$T$6,"y")=1,"1-2 years","2-3 years")</f>
        <v>2-3 years</v>
      </c>
      <c r="L78" s="204" t="s">
        <v>16</v>
      </c>
      <c r="M78" s="204" t="s">
        <v>16</v>
      </c>
      <c r="N78" s="204">
        <v>14</v>
      </c>
      <c r="O78" s="204">
        <v>60</v>
      </c>
      <c r="P78" s="204" t="s">
        <v>16</v>
      </c>
      <c r="Q78" s="204" t="s">
        <v>16</v>
      </c>
      <c r="R78" s="204" t="s">
        <v>16</v>
      </c>
      <c r="S78" s="204" t="s">
        <v>16</v>
      </c>
      <c r="T78" s="204" t="s">
        <v>16</v>
      </c>
      <c r="U78" s="204" t="s">
        <v>16</v>
      </c>
      <c r="V78" s="204"/>
      <c r="W78" s="22"/>
      <c r="X78" s="204" t="s">
        <v>15</v>
      </c>
      <c r="Y78" s="204"/>
      <c r="Z78" s="204"/>
      <c r="AA78" s="204"/>
      <c r="AB78" s="202" t="str">
        <f t="shared" si="1"/>
        <v/>
      </c>
    </row>
    <row r="79" spans="1:28" s="203" customFormat="1" ht="14.5">
      <c r="A79" s="15">
        <v>42741</v>
      </c>
      <c r="B79" s="204" t="s">
        <v>1364</v>
      </c>
      <c r="C79" s="204" t="s">
        <v>69</v>
      </c>
      <c r="D79" s="206" t="s">
        <v>1391</v>
      </c>
      <c r="E79" s="204"/>
      <c r="F79" s="204">
        <v>2</v>
      </c>
      <c r="G79" s="204">
        <v>1</v>
      </c>
      <c r="H79" s="204" t="s">
        <v>16</v>
      </c>
      <c r="I79" s="204" t="s">
        <v>391</v>
      </c>
      <c r="J79" s="205">
        <v>42123</v>
      </c>
      <c r="K79" s="201" t="str">
        <f>IF(DATEDIF($J79,'Inst summary and ER calculation'!$T$6,"y")=1,"1-2 years","2-3 years")</f>
        <v>1-2 years</v>
      </c>
      <c r="L79" s="204" t="s">
        <v>16</v>
      </c>
      <c r="M79" s="204" t="s">
        <v>16</v>
      </c>
      <c r="N79" s="204">
        <v>18</v>
      </c>
      <c r="O79" s="204">
        <v>72</v>
      </c>
      <c r="P79" s="204" t="s">
        <v>16</v>
      </c>
      <c r="Q79" s="204" t="s">
        <v>16</v>
      </c>
      <c r="R79" s="204" t="s">
        <v>16</v>
      </c>
      <c r="S79" s="204" t="s">
        <v>16</v>
      </c>
      <c r="T79" s="204" t="s">
        <v>16</v>
      </c>
      <c r="U79" s="204" t="s">
        <v>16</v>
      </c>
      <c r="V79" s="204"/>
      <c r="W79" s="22"/>
      <c r="X79" s="204" t="s">
        <v>15</v>
      </c>
      <c r="Y79" s="204"/>
      <c r="Z79" s="204"/>
      <c r="AA79" s="204"/>
      <c r="AB79" s="202" t="str">
        <f t="shared" si="1"/>
        <v/>
      </c>
    </row>
    <row r="80" spans="1:28" s="203" customFormat="1" ht="14.5">
      <c r="A80" s="15">
        <v>42741</v>
      </c>
      <c r="B80" s="204" t="s">
        <v>914</v>
      </c>
      <c r="C80" s="204" t="s">
        <v>1340</v>
      </c>
      <c r="D80" s="206" t="s">
        <v>1341</v>
      </c>
      <c r="E80" s="204"/>
      <c r="F80" s="204">
        <v>4</v>
      </c>
      <c r="G80" s="204"/>
      <c r="H80" s="204" t="s">
        <v>16</v>
      </c>
      <c r="I80" s="204" t="s">
        <v>267</v>
      </c>
      <c r="J80" s="205">
        <v>42031</v>
      </c>
      <c r="K80" s="201" t="str">
        <f>IF(DATEDIF($J80,'Inst summary and ER calculation'!$T$6,"y")=1,"1-2 years","2-3 years")</f>
        <v>2-3 years</v>
      </c>
      <c r="L80" s="204" t="s">
        <v>16</v>
      </c>
      <c r="M80" s="204" t="s">
        <v>16</v>
      </c>
      <c r="N80" s="204">
        <v>18</v>
      </c>
      <c r="O80" s="204">
        <v>74</v>
      </c>
      <c r="P80" s="204" t="s">
        <v>16</v>
      </c>
      <c r="Q80" s="204" t="s">
        <v>16</v>
      </c>
      <c r="R80" s="204" t="s">
        <v>16</v>
      </c>
      <c r="S80" s="204" t="s">
        <v>16</v>
      </c>
      <c r="T80" s="204" t="s">
        <v>16</v>
      </c>
      <c r="U80" s="204" t="s">
        <v>16</v>
      </c>
      <c r="V80" s="204"/>
      <c r="W80" s="22"/>
      <c r="X80" s="204" t="s">
        <v>15</v>
      </c>
      <c r="Y80" s="204"/>
      <c r="Z80" s="204"/>
      <c r="AA80" s="204"/>
      <c r="AB80" s="202" t="str">
        <f t="shared" si="1"/>
        <v/>
      </c>
    </row>
    <row r="81" spans="1:28" s="203" customFormat="1" ht="14.5">
      <c r="A81" s="15">
        <v>42742</v>
      </c>
      <c r="B81" s="204" t="s">
        <v>1076</v>
      </c>
      <c r="C81" s="12" t="s">
        <v>64</v>
      </c>
      <c r="D81" s="12" t="s">
        <v>1119</v>
      </c>
      <c r="E81" s="12"/>
      <c r="F81" s="204">
        <v>5</v>
      </c>
      <c r="G81" s="204">
        <v>2</v>
      </c>
      <c r="H81" s="204" t="s">
        <v>16</v>
      </c>
      <c r="I81" s="204" t="s">
        <v>383</v>
      </c>
      <c r="J81" s="205">
        <v>42120</v>
      </c>
      <c r="K81" s="201" t="str">
        <f>IF(DATEDIF($J81,'Inst summary and ER calculation'!$T$6,"y")=1,"1-2 years","2-3 years")</f>
        <v>1-2 years</v>
      </c>
      <c r="L81" s="204" t="s">
        <v>16</v>
      </c>
      <c r="M81" s="204" t="s">
        <v>15</v>
      </c>
      <c r="N81" s="204"/>
      <c r="O81" s="204"/>
      <c r="P81" s="204"/>
      <c r="Q81" s="204"/>
      <c r="R81" s="204"/>
      <c r="S81" s="204"/>
      <c r="T81" s="204"/>
      <c r="U81" s="204"/>
      <c r="V81" s="204"/>
      <c r="W81" s="22"/>
      <c r="X81" s="204"/>
      <c r="Y81" s="204"/>
      <c r="Z81" s="204"/>
      <c r="AA81" s="204"/>
      <c r="AB81" s="202" t="str">
        <f t="shared" si="1"/>
        <v/>
      </c>
    </row>
    <row r="82" spans="1:28" s="203" customFormat="1" ht="14.5">
      <c r="A82" s="15">
        <v>42742</v>
      </c>
      <c r="B82" s="204" t="s">
        <v>1015</v>
      </c>
      <c r="C82" s="204" t="s">
        <v>1138</v>
      </c>
      <c r="D82" s="12" t="s">
        <v>1139</v>
      </c>
      <c r="E82" s="12"/>
      <c r="F82" s="204">
        <v>2</v>
      </c>
      <c r="G82" s="204">
        <v>0</v>
      </c>
      <c r="H82" s="204" t="s">
        <v>16</v>
      </c>
      <c r="I82" s="204" t="s">
        <v>444</v>
      </c>
      <c r="J82" s="205">
        <v>42149</v>
      </c>
      <c r="K82" s="201" t="str">
        <f>IF(DATEDIF($J82,'Inst summary and ER calculation'!$T$6,"y")=1,"1-2 years","2-3 years")</f>
        <v>1-2 years</v>
      </c>
      <c r="L82" s="204" t="s">
        <v>16</v>
      </c>
      <c r="M82" s="204" t="s">
        <v>16</v>
      </c>
      <c r="N82" s="204">
        <v>14</v>
      </c>
      <c r="O82" s="204">
        <v>60</v>
      </c>
      <c r="P82" s="204" t="s">
        <v>16</v>
      </c>
      <c r="Q82" s="204" t="s">
        <v>16</v>
      </c>
      <c r="R82" s="204" t="s">
        <v>16</v>
      </c>
      <c r="S82" s="204" t="s">
        <v>16</v>
      </c>
      <c r="T82" s="204" t="s">
        <v>16</v>
      </c>
      <c r="U82" s="204" t="s">
        <v>16</v>
      </c>
      <c r="V82" s="204"/>
      <c r="W82" s="22"/>
      <c r="X82" s="204" t="s">
        <v>15</v>
      </c>
      <c r="Y82" s="204"/>
      <c r="Z82" s="204"/>
      <c r="AA82" s="204"/>
      <c r="AB82" s="202" t="str">
        <f t="shared" si="1"/>
        <v/>
      </c>
    </row>
    <row r="83" spans="1:28" s="203" customFormat="1" ht="14.5">
      <c r="A83" s="15">
        <v>42742</v>
      </c>
      <c r="B83" s="204" t="s">
        <v>735</v>
      </c>
      <c r="C83" s="204" t="s">
        <v>1243</v>
      </c>
      <c r="D83" s="206" t="s">
        <v>1244</v>
      </c>
      <c r="E83" s="204"/>
      <c r="F83" s="204">
        <v>2</v>
      </c>
      <c r="G83" s="204">
        <v>1</v>
      </c>
      <c r="H83" s="204" t="s">
        <v>16</v>
      </c>
      <c r="I83" s="204" t="s">
        <v>474</v>
      </c>
      <c r="J83" s="205">
        <v>42170</v>
      </c>
      <c r="K83" s="201" t="str">
        <f>IF(DATEDIF($J83,'Inst summary and ER calculation'!$T$6,"y")=1,"1-2 years","2-3 years")</f>
        <v>1-2 years</v>
      </c>
      <c r="L83" s="204" t="s">
        <v>16</v>
      </c>
      <c r="M83" s="204" t="s">
        <v>16</v>
      </c>
      <c r="N83" s="204">
        <v>15</v>
      </c>
      <c r="O83" s="204">
        <v>75</v>
      </c>
      <c r="P83" s="204" t="s">
        <v>16</v>
      </c>
      <c r="Q83" s="204" t="s">
        <v>16</v>
      </c>
      <c r="R83" s="204" t="s">
        <v>16</v>
      </c>
      <c r="S83" s="204" t="s">
        <v>16</v>
      </c>
      <c r="T83" s="204" t="s">
        <v>16</v>
      </c>
      <c r="U83" s="204" t="s">
        <v>16</v>
      </c>
      <c r="V83" s="204"/>
      <c r="W83" s="22"/>
      <c r="X83" s="204" t="s">
        <v>15</v>
      </c>
      <c r="Y83" s="204"/>
      <c r="Z83" s="204"/>
      <c r="AA83" s="204"/>
      <c r="AB83" s="202" t="str">
        <f t="shared" si="1"/>
        <v/>
      </c>
    </row>
    <row r="84" spans="1:28" s="203" customFormat="1" ht="14.5">
      <c r="A84" s="15">
        <v>42742</v>
      </c>
      <c r="B84" s="204" t="s">
        <v>1068</v>
      </c>
      <c r="C84" s="204" t="s">
        <v>1254</v>
      </c>
      <c r="D84" s="206" t="s">
        <v>1255</v>
      </c>
      <c r="E84" s="204"/>
      <c r="F84" s="204">
        <v>3</v>
      </c>
      <c r="G84" s="204">
        <v>2</v>
      </c>
      <c r="H84" s="204" t="s">
        <v>16</v>
      </c>
      <c r="I84" s="204" t="s">
        <v>501</v>
      </c>
      <c r="J84" s="205">
        <v>42183</v>
      </c>
      <c r="K84" s="201" t="str">
        <f>IF(DATEDIF($J84,'Inst summary and ER calculation'!$T$6,"y")=1,"1-2 years","2-3 years")</f>
        <v>1-2 years</v>
      </c>
      <c r="L84" s="204" t="s">
        <v>16</v>
      </c>
      <c r="M84" s="204" t="s">
        <v>16</v>
      </c>
      <c r="N84" s="204">
        <v>14</v>
      </c>
      <c r="O84" s="204">
        <v>60</v>
      </c>
      <c r="P84" s="204" t="s">
        <v>16</v>
      </c>
      <c r="Q84" s="204" t="s">
        <v>16</v>
      </c>
      <c r="R84" s="204" t="s">
        <v>16</v>
      </c>
      <c r="S84" s="204" t="s">
        <v>16</v>
      </c>
      <c r="T84" s="204" t="s">
        <v>16</v>
      </c>
      <c r="U84" s="204" t="s">
        <v>16</v>
      </c>
      <c r="V84" s="204"/>
      <c r="W84" s="22"/>
      <c r="X84" s="204" t="s">
        <v>15</v>
      </c>
      <c r="Y84" s="204"/>
      <c r="Z84" s="204"/>
      <c r="AA84" s="204"/>
      <c r="AB84" s="202" t="str">
        <f t="shared" si="1"/>
        <v/>
      </c>
    </row>
    <row r="85" spans="1:28" s="203" customFormat="1" ht="14.5">
      <c r="A85" s="15">
        <v>42742</v>
      </c>
      <c r="B85" s="204" t="s">
        <v>1307</v>
      </c>
      <c r="C85" s="204" t="s">
        <v>1308</v>
      </c>
      <c r="D85" s="206" t="s">
        <v>1309</v>
      </c>
      <c r="E85" s="204"/>
      <c r="F85" s="204">
        <v>5</v>
      </c>
      <c r="G85" s="204"/>
      <c r="H85" s="204" t="s">
        <v>16</v>
      </c>
      <c r="I85" s="204" t="s">
        <v>680</v>
      </c>
      <c r="J85" s="205">
        <v>41940</v>
      </c>
      <c r="K85" s="201" t="str">
        <f>IF(DATEDIF($J85,'Inst summary and ER calculation'!$T$6,"y")=1,"1-2 years","2-3 years")</f>
        <v>2-3 years</v>
      </c>
      <c r="L85" s="204" t="s">
        <v>16</v>
      </c>
      <c r="M85" s="204" t="s">
        <v>16</v>
      </c>
      <c r="N85" s="204">
        <v>21</v>
      </c>
      <c r="O85" s="204">
        <v>90</v>
      </c>
      <c r="P85" s="204" t="s">
        <v>16</v>
      </c>
      <c r="Q85" s="204" t="s">
        <v>16</v>
      </c>
      <c r="R85" s="204" t="s">
        <v>16</v>
      </c>
      <c r="S85" s="204" t="s">
        <v>16</v>
      </c>
      <c r="T85" s="204" t="s">
        <v>16</v>
      </c>
      <c r="U85" s="204" t="s">
        <v>16</v>
      </c>
      <c r="V85" s="204"/>
      <c r="W85" s="22"/>
      <c r="X85" s="204" t="s">
        <v>15</v>
      </c>
      <c r="Y85" s="204"/>
      <c r="Z85" s="204"/>
      <c r="AA85" s="204"/>
      <c r="AB85" s="202" t="str">
        <f t="shared" si="1"/>
        <v/>
      </c>
    </row>
    <row r="86" spans="1:28" s="203" customFormat="1" ht="14.5">
      <c r="A86" s="15">
        <v>42743</v>
      </c>
      <c r="B86" s="204" t="s">
        <v>1027</v>
      </c>
      <c r="C86" s="204" t="s">
        <v>1112</v>
      </c>
      <c r="D86" s="12" t="s">
        <v>1113</v>
      </c>
      <c r="E86" s="12"/>
      <c r="F86" s="204">
        <v>2</v>
      </c>
      <c r="G86" s="204">
        <v>2</v>
      </c>
      <c r="H86" s="204" t="s">
        <v>16</v>
      </c>
      <c r="I86" s="204" t="s">
        <v>367</v>
      </c>
      <c r="J86" s="205">
        <v>42112</v>
      </c>
      <c r="K86" s="201" t="str">
        <f>IF(DATEDIF($J86,'Inst summary and ER calculation'!$T$6,"y")=1,"1-2 years","2-3 years")</f>
        <v>1-2 years</v>
      </c>
      <c r="L86" s="204" t="s">
        <v>16</v>
      </c>
      <c r="M86" s="204" t="s">
        <v>16</v>
      </c>
      <c r="N86" s="204">
        <v>19</v>
      </c>
      <c r="O86" s="204">
        <v>76</v>
      </c>
      <c r="P86" s="204" t="s">
        <v>16</v>
      </c>
      <c r="Q86" s="204" t="s">
        <v>16</v>
      </c>
      <c r="R86" s="204" t="s">
        <v>16</v>
      </c>
      <c r="S86" s="204" t="s">
        <v>16</v>
      </c>
      <c r="T86" s="204" t="s">
        <v>16</v>
      </c>
      <c r="U86" s="204" t="s">
        <v>16</v>
      </c>
      <c r="V86" s="204"/>
      <c r="W86" s="22"/>
      <c r="X86" s="204" t="s">
        <v>15</v>
      </c>
      <c r="Y86" s="204"/>
      <c r="Z86" s="204"/>
      <c r="AA86" s="204"/>
      <c r="AB86" s="202" t="str">
        <f t="shared" si="1"/>
        <v/>
      </c>
    </row>
    <row r="87" spans="1:28" s="203" customFormat="1" ht="14.5">
      <c r="A87" s="15">
        <v>42743</v>
      </c>
      <c r="B87" s="204" t="s">
        <v>117</v>
      </c>
      <c r="C87" s="11" t="s">
        <v>1271</v>
      </c>
      <c r="D87" s="206" t="s">
        <v>1272</v>
      </c>
      <c r="E87" s="204"/>
      <c r="F87" s="204">
        <v>4</v>
      </c>
      <c r="G87" s="204">
        <v>1</v>
      </c>
      <c r="H87" s="204" t="s">
        <v>16</v>
      </c>
      <c r="I87" s="12" t="s">
        <v>590</v>
      </c>
      <c r="J87" s="207">
        <v>41866</v>
      </c>
      <c r="K87" s="201" t="str">
        <f>IF(DATEDIF($J87,'Inst summary and ER calculation'!$T$6,"y")=1,"1-2 years","2-3 years")</f>
        <v>2-3 years</v>
      </c>
      <c r="L87" s="204" t="s">
        <v>16</v>
      </c>
      <c r="M87" s="204" t="s">
        <v>16</v>
      </c>
      <c r="N87" s="204">
        <v>21</v>
      </c>
      <c r="O87" s="204">
        <v>90</v>
      </c>
      <c r="P87" s="204" t="s">
        <v>16</v>
      </c>
      <c r="Q87" s="204" t="s">
        <v>16</v>
      </c>
      <c r="R87" s="204" t="s">
        <v>16</v>
      </c>
      <c r="S87" s="204" t="s">
        <v>16</v>
      </c>
      <c r="T87" s="204" t="s">
        <v>16</v>
      </c>
      <c r="U87" s="204" t="s">
        <v>16</v>
      </c>
      <c r="V87" s="204"/>
      <c r="W87" s="22"/>
      <c r="X87" s="204" t="s">
        <v>15</v>
      </c>
      <c r="Y87" s="204"/>
      <c r="Z87" s="204"/>
      <c r="AA87" s="204"/>
      <c r="AB87" s="202" t="str">
        <f t="shared" si="1"/>
        <v/>
      </c>
    </row>
    <row r="88" spans="1:28" s="203" customFormat="1" ht="14.5">
      <c r="A88" s="15">
        <v>42743</v>
      </c>
      <c r="B88" s="204" t="s">
        <v>1283</v>
      </c>
      <c r="C88" s="11" t="s">
        <v>1286</v>
      </c>
      <c r="D88" s="206" t="s">
        <v>1287</v>
      </c>
      <c r="E88" s="204"/>
      <c r="F88" s="204">
        <v>3</v>
      </c>
      <c r="G88" s="204">
        <v>3</v>
      </c>
      <c r="H88" s="204" t="s">
        <v>16</v>
      </c>
      <c r="I88" s="204" t="s">
        <v>618</v>
      </c>
      <c r="J88" s="211">
        <v>41911</v>
      </c>
      <c r="K88" s="201" t="str">
        <f>IF(DATEDIF($J88,'Inst summary and ER calculation'!$T$6,"y")=1,"1-2 years","2-3 years")</f>
        <v>2-3 years</v>
      </c>
      <c r="L88" s="204" t="s">
        <v>16</v>
      </c>
      <c r="M88" s="204" t="s">
        <v>16</v>
      </c>
      <c r="N88" s="204">
        <v>17</v>
      </c>
      <c r="O88" s="204">
        <v>80</v>
      </c>
      <c r="P88" s="204" t="s">
        <v>16</v>
      </c>
      <c r="Q88" s="204" t="s">
        <v>16</v>
      </c>
      <c r="R88" s="204" t="s">
        <v>16</v>
      </c>
      <c r="S88" s="204" t="s">
        <v>16</v>
      </c>
      <c r="T88" s="204" t="s">
        <v>16</v>
      </c>
      <c r="U88" s="204" t="s">
        <v>16</v>
      </c>
      <c r="V88" s="204"/>
      <c r="W88" s="22"/>
      <c r="X88" s="204" t="s">
        <v>15</v>
      </c>
      <c r="Y88" s="204"/>
      <c r="Z88" s="204"/>
      <c r="AA88" s="204"/>
      <c r="AB88" s="202" t="str">
        <f t="shared" si="1"/>
        <v/>
      </c>
    </row>
    <row r="89" spans="1:28" s="203" customFormat="1" ht="14.5">
      <c r="A89" s="15">
        <v>42743</v>
      </c>
      <c r="B89" s="204" t="s">
        <v>912</v>
      </c>
      <c r="C89" s="204" t="s">
        <v>1170</v>
      </c>
      <c r="D89" s="206" t="s">
        <v>1171</v>
      </c>
      <c r="E89" s="204"/>
      <c r="F89" s="204">
        <v>2</v>
      </c>
      <c r="G89" s="204">
        <v>4</v>
      </c>
      <c r="H89" s="204" t="s">
        <v>16</v>
      </c>
      <c r="I89" s="204" t="s">
        <v>653</v>
      </c>
      <c r="J89" s="207">
        <v>41932</v>
      </c>
      <c r="K89" s="201" t="str">
        <f>IF(DATEDIF($J89,'Inst summary and ER calculation'!$T$6,"y")=1,"1-2 years","2-3 years")</f>
        <v>2-3 years</v>
      </c>
      <c r="L89" s="204" t="s">
        <v>16</v>
      </c>
      <c r="M89" s="204" t="s">
        <v>16</v>
      </c>
      <c r="N89" s="204">
        <v>14</v>
      </c>
      <c r="O89" s="204">
        <v>60</v>
      </c>
      <c r="P89" s="204" t="s">
        <v>16</v>
      </c>
      <c r="Q89" s="204" t="s">
        <v>16</v>
      </c>
      <c r="R89" s="204" t="s">
        <v>16</v>
      </c>
      <c r="S89" s="204" t="s">
        <v>16</v>
      </c>
      <c r="T89" s="204" t="s">
        <v>16</v>
      </c>
      <c r="U89" s="204" t="s">
        <v>16</v>
      </c>
      <c r="V89" s="204"/>
      <c r="W89" s="22"/>
      <c r="X89" s="204" t="s">
        <v>15</v>
      </c>
      <c r="Y89" s="204"/>
      <c r="Z89" s="204"/>
      <c r="AA89" s="204"/>
      <c r="AB89" s="202" t="str">
        <f t="shared" si="1"/>
        <v/>
      </c>
    </row>
    <row r="90" spans="1:28" s="203" customFormat="1" ht="14.5">
      <c r="A90" s="15">
        <v>42744</v>
      </c>
      <c r="B90" s="204" t="s">
        <v>1282</v>
      </c>
      <c r="C90" s="204" t="s">
        <v>72</v>
      </c>
      <c r="D90" s="206" t="s">
        <v>1299</v>
      </c>
      <c r="E90" s="204"/>
      <c r="F90" s="204">
        <v>2</v>
      </c>
      <c r="G90" s="204">
        <v>2</v>
      </c>
      <c r="H90" s="204" t="s">
        <v>16</v>
      </c>
      <c r="I90" s="12" t="s">
        <v>651</v>
      </c>
      <c r="J90" s="16">
        <v>41931</v>
      </c>
      <c r="K90" s="201" t="str">
        <f>IF(DATEDIF($J90,'Inst summary and ER calculation'!$T$6,"y")=1,"1-2 years","2-3 years")</f>
        <v>2-3 years</v>
      </c>
      <c r="L90" s="204" t="s">
        <v>16</v>
      </c>
      <c r="M90" s="204" t="s">
        <v>16</v>
      </c>
      <c r="N90" s="204">
        <v>15</v>
      </c>
      <c r="O90" s="204">
        <v>60</v>
      </c>
      <c r="P90" s="204" t="s">
        <v>16</v>
      </c>
      <c r="Q90" s="204" t="s">
        <v>16</v>
      </c>
      <c r="R90" s="204" t="s">
        <v>16</v>
      </c>
      <c r="S90" s="204" t="s">
        <v>16</v>
      </c>
      <c r="T90" s="204" t="s">
        <v>16</v>
      </c>
      <c r="U90" s="204" t="s">
        <v>16</v>
      </c>
      <c r="V90" s="204"/>
      <c r="W90" s="22"/>
      <c r="X90" s="204" t="s">
        <v>16</v>
      </c>
      <c r="Y90" s="204" t="s">
        <v>16</v>
      </c>
      <c r="Z90" s="204">
        <v>6</v>
      </c>
      <c r="AA90" s="204">
        <v>30</v>
      </c>
      <c r="AB90" s="202">
        <f t="shared" si="1"/>
        <v>0.33333333333333331</v>
      </c>
    </row>
    <row r="91" spans="1:28" s="203" customFormat="1" ht="14.5">
      <c r="A91" s="15">
        <v>42744</v>
      </c>
      <c r="B91" s="204" t="s">
        <v>1050</v>
      </c>
      <c r="C91" s="204" t="s">
        <v>1051</v>
      </c>
      <c r="D91" s="12" t="s">
        <v>1052</v>
      </c>
      <c r="E91" s="12"/>
      <c r="F91" s="204">
        <v>3</v>
      </c>
      <c r="G91" s="204">
        <v>2</v>
      </c>
      <c r="H91" s="204" t="s">
        <v>16</v>
      </c>
      <c r="I91" s="204" t="s">
        <v>700</v>
      </c>
      <c r="J91" s="205">
        <v>41957</v>
      </c>
      <c r="K91" s="201" t="str">
        <f>IF(DATEDIF($J91,'Inst summary and ER calculation'!$T$6,"y")=1,"1-2 years","2-3 years")</f>
        <v>2-3 years</v>
      </c>
      <c r="L91" s="204" t="s">
        <v>16</v>
      </c>
      <c r="M91" s="204" t="s">
        <v>16</v>
      </c>
      <c r="N91" s="204">
        <v>12</v>
      </c>
      <c r="O91" s="204">
        <v>51</v>
      </c>
      <c r="P91" s="204" t="s">
        <v>16</v>
      </c>
      <c r="Q91" s="204" t="s">
        <v>16</v>
      </c>
      <c r="R91" s="204" t="s">
        <v>16</v>
      </c>
      <c r="S91" s="204" t="s">
        <v>16</v>
      </c>
      <c r="T91" s="204" t="s">
        <v>16</v>
      </c>
      <c r="U91" s="204" t="s">
        <v>16</v>
      </c>
      <c r="V91" s="204"/>
      <c r="W91" s="22"/>
      <c r="X91" s="204" t="s">
        <v>16</v>
      </c>
      <c r="Y91" s="204" t="s">
        <v>16</v>
      </c>
      <c r="Z91" s="204">
        <v>7</v>
      </c>
      <c r="AA91" s="204">
        <v>25</v>
      </c>
      <c r="AB91" s="202">
        <f t="shared" si="1"/>
        <v>0.36842105263157893</v>
      </c>
    </row>
    <row r="92" spans="1:28" s="203" customFormat="1" ht="14.5">
      <c r="A92" s="15">
        <v>42744</v>
      </c>
      <c r="B92" s="204" t="s">
        <v>1364</v>
      </c>
      <c r="C92" s="204" t="s">
        <v>1365</v>
      </c>
      <c r="D92" s="206" t="s">
        <v>1366</v>
      </c>
      <c r="E92" s="204"/>
      <c r="F92" s="204">
        <v>3</v>
      </c>
      <c r="G92" s="204">
        <v>1</v>
      </c>
      <c r="H92" s="204" t="s">
        <v>16</v>
      </c>
      <c r="I92" s="204" t="s">
        <v>311</v>
      </c>
      <c r="J92" s="205">
        <v>42078</v>
      </c>
      <c r="K92" s="201" t="str">
        <f>IF(DATEDIF($J92,'Inst summary and ER calculation'!$T$6,"y")=1,"1-2 years","2-3 years")</f>
        <v>1-2 years</v>
      </c>
      <c r="L92" s="204" t="s">
        <v>16</v>
      </c>
      <c r="M92" s="204" t="s">
        <v>16</v>
      </c>
      <c r="N92" s="204">
        <v>18</v>
      </c>
      <c r="O92" s="204">
        <v>72</v>
      </c>
      <c r="P92" s="204" t="s">
        <v>16</v>
      </c>
      <c r="Q92" s="204" t="s">
        <v>16</v>
      </c>
      <c r="R92" s="204" t="s">
        <v>16</v>
      </c>
      <c r="S92" s="204" t="s">
        <v>16</v>
      </c>
      <c r="T92" s="204" t="s">
        <v>16</v>
      </c>
      <c r="U92" s="204" t="s">
        <v>16</v>
      </c>
      <c r="V92" s="204"/>
      <c r="W92" s="22"/>
      <c r="X92" s="204" t="s">
        <v>15</v>
      </c>
      <c r="Y92" s="204"/>
      <c r="Z92" s="204"/>
      <c r="AA92" s="204"/>
      <c r="AB92" s="202" t="str">
        <f t="shared" si="1"/>
        <v/>
      </c>
    </row>
    <row r="93" spans="1:28" s="203" customFormat="1" ht="14.5">
      <c r="A93" s="15">
        <v>42744</v>
      </c>
      <c r="B93" s="204" t="s">
        <v>906</v>
      </c>
      <c r="C93" s="204" t="s">
        <v>508</v>
      </c>
      <c r="D93" s="12" t="s">
        <v>1126</v>
      </c>
      <c r="E93" s="12"/>
      <c r="F93" s="204">
        <v>2</v>
      </c>
      <c r="G93" s="204">
        <v>2</v>
      </c>
      <c r="H93" s="204" t="s">
        <v>16</v>
      </c>
      <c r="I93" s="204" t="s">
        <v>411</v>
      </c>
      <c r="J93" s="205">
        <v>42129</v>
      </c>
      <c r="K93" s="201" t="str">
        <f>IF(DATEDIF($J93,'Inst summary and ER calculation'!$T$6,"y")=1,"1-2 years","2-3 years")</f>
        <v>1-2 years</v>
      </c>
      <c r="L93" s="204" t="s">
        <v>16</v>
      </c>
      <c r="M93" s="204" t="s">
        <v>16</v>
      </c>
      <c r="N93" s="204">
        <v>21</v>
      </c>
      <c r="O93" s="204">
        <v>94</v>
      </c>
      <c r="P93" s="204" t="s">
        <v>16</v>
      </c>
      <c r="Q93" s="204" t="s">
        <v>16</v>
      </c>
      <c r="R93" s="204" t="s">
        <v>16</v>
      </c>
      <c r="S93" s="204" t="s">
        <v>16</v>
      </c>
      <c r="T93" s="204" t="s">
        <v>16</v>
      </c>
      <c r="U93" s="204" t="s">
        <v>16</v>
      </c>
      <c r="V93" s="204"/>
      <c r="W93" s="22"/>
      <c r="X93" s="204" t="s">
        <v>15</v>
      </c>
      <c r="Y93" s="204"/>
      <c r="Z93" s="204"/>
      <c r="AA93" s="204"/>
      <c r="AB93" s="202" t="str">
        <f t="shared" si="1"/>
        <v/>
      </c>
    </row>
    <row r="94" spans="1:28" s="203" customFormat="1" ht="14.5">
      <c r="A94" s="15">
        <v>42744</v>
      </c>
      <c r="B94" s="204" t="s">
        <v>920</v>
      </c>
      <c r="C94" s="204" t="s">
        <v>1408</v>
      </c>
      <c r="D94" s="206" t="s">
        <v>1409</v>
      </c>
      <c r="E94" s="204"/>
      <c r="F94" s="204">
        <v>2</v>
      </c>
      <c r="G94" s="204">
        <v>1</v>
      </c>
      <c r="H94" s="204" t="s">
        <v>16</v>
      </c>
      <c r="I94" s="204" t="s">
        <v>438</v>
      </c>
      <c r="J94" s="205">
        <v>42143</v>
      </c>
      <c r="K94" s="201" t="str">
        <f>IF(DATEDIF($J94,'Inst summary and ER calculation'!$T$6,"y")=1,"1-2 years","2-3 years")</f>
        <v>1-2 years</v>
      </c>
      <c r="L94" s="204" t="s">
        <v>16</v>
      </c>
      <c r="M94" s="204" t="s">
        <v>16</v>
      </c>
      <c r="N94" s="204">
        <v>21</v>
      </c>
      <c r="O94" s="204">
        <v>85</v>
      </c>
      <c r="P94" s="204" t="s">
        <v>16</v>
      </c>
      <c r="Q94" s="204" t="s">
        <v>16</v>
      </c>
      <c r="R94" s="204" t="s">
        <v>16</v>
      </c>
      <c r="S94" s="204" t="s">
        <v>16</v>
      </c>
      <c r="T94" s="204" t="s">
        <v>16</v>
      </c>
      <c r="U94" s="204" t="s">
        <v>16</v>
      </c>
      <c r="V94" s="204"/>
      <c r="W94" s="22"/>
      <c r="X94" s="204" t="s">
        <v>15</v>
      </c>
      <c r="Y94" s="204"/>
      <c r="Z94" s="204"/>
      <c r="AA94" s="204"/>
      <c r="AB94" s="202" t="str">
        <f t="shared" si="1"/>
        <v/>
      </c>
    </row>
    <row r="95" spans="1:28" s="203" customFormat="1" ht="14.5">
      <c r="A95" s="15">
        <v>42744</v>
      </c>
      <c r="B95" s="204" t="s">
        <v>1045</v>
      </c>
      <c r="C95" s="204" t="s">
        <v>452</v>
      </c>
      <c r="D95" s="12" t="s">
        <v>1154</v>
      </c>
      <c r="E95" s="12"/>
      <c r="F95" s="204">
        <v>2</v>
      </c>
      <c r="G95" s="204">
        <v>3</v>
      </c>
      <c r="H95" s="204" t="s">
        <v>16</v>
      </c>
      <c r="I95" s="204" t="s">
        <v>497</v>
      </c>
      <c r="J95" s="205">
        <v>42177</v>
      </c>
      <c r="K95" s="201" t="str">
        <f>IF(DATEDIF($J95,'Inst summary and ER calculation'!$T$6,"y")=1,"1-2 years","2-3 years")</f>
        <v>1-2 years</v>
      </c>
      <c r="L95" s="204" t="s">
        <v>16</v>
      </c>
      <c r="M95" s="204" t="s">
        <v>16</v>
      </c>
      <c r="N95" s="204">
        <v>21</v>
      </c>
      <c r="O95" s="204">
        <v>90</v>
      </c>
      <c r="P95" s="204" t="s">
        <v>16</v>
      </c>
      <c r="Q95" s="204" t="s">
        <v>16</v>
      </c>
      <c r="R95" s="204" t="s">
        <v>16</v>
      </c>
      <c r="S95" s="204" t="s">
        <v>16</v>
      </c>
      <c r="T95" s="204" t="s">
        <v>16</v>
      </c>
      <c r="U95" s="204" t="s">
        <v>16</v>
      </c>
      <c r="V95" s="204"/>
      <c r="W95" s="22"/>
      <c r="X95" s="204" t="s">
        <v>15</v>
      </c>
      <c r="Y95" s="204"/>
      <c r="Z95" s="204"/>
      <c r="AA95" s="204"/>
      <c r="AB95" s="202" t="str">
        <f t="shared" si="1"/>
        <v/>
      </c>
    </row>
    <row r="96" spans="1:28" s="203" customFormat="1" ht="14.5">
      <c r="A96" s="15">
        <v>42744</v>
      </c>
      <c r="B96" s="204" t="s">
        <v>823</v>
      </c>
      <c r="C96" s="12" t="s">
        <v>1182</v>
      </c>
      <c r="D96" s="206" t="s">
        <v>1183</v>
      </c>
      <c r="E96" s="204"/>
      <c r="F96" s="204">
        <v>3</v>
      </c>
      <c r="G96" s="204">
        <v>1</v>
      </c>
      <c r="H96" s="204" t="s">
        <v>16</v>
      </c>
      <c r="I96" s="204" t="s">
        <v>713</v>
      </c>
      <c r="J96" s="205">
        <v>41972</v>
      </c>
      <c r="K96" s="201" t="str">
        <f>IF(DATEDIF($J96,'Inst summary and ER calculation'!$T$6,"y")=1,"1-2 years","2-3 years")</f>
        <v>2-3 years</v>
      </c>
      <c r="L96" s="204" t="s">
        <v>16</v>
      </c>
      <c r="M96" s="204" t="s">
        <v>16</v>
      </c>
      <c r="N96" s="204">
        <v>14</v>
      </c>
      <c r="O96" s="204">
        <v>60</v>
      </c>
      <c r="P96" s="204" t="s">
        <v>16</v>
      </c>
      <c r="Q96" s="204" t="s">
        <v>16</v>
      </c>
      <c r="R96" s="204" t="s">
        <v>16</v>
      </c>
      <c r="S96" s="204" t="s">
        <v>16</v>
      </c>
      <c r="T96" s="204" t="s">
        <v>16</v>
      </c>
      <c r="U96" s="204" t="s">
        <v>16</v>
      </c>
      <c r="V96" s="204"/>
      <c r="W96" s="22"/>
      <c r="X96" s="204" t="s">
        <v>15</v>
      </c>
      <c r="Y96" s="204"/>
      <c r="Z96" s="204"/>
      <c r="AA96" s="204"/>
      <c r="AB96" s="202" t="str">
        <f t="shared" si="1"/>
        <v/>
      </c>
    </row>
    <row r="97" spans="1:28" s="203" customFormat="1" ht="14.5">
      <c r="A97" s="15">
        <v>42744</v>
      </c>
      <c r="B97" s="204" t="s">
        <v>1058</v>
      </c>
      <c r="C97" s="204" t="s">
        <v>1059</v>
      </c>
      <c r="D97" s="12" t="s">
        <v>1060</v>
      </c>
      <c r="E97" s="12"/>
      <c r="F97" s="204">
        <v>2</v>
      </c>
      <c r="G97" s="204">
        <v>1</v>
      </c>
      <c r="H97" s="204" t="s">
        <v>16</v>
      </c>
      <c r="I97" s="204" t="s">
        <v>722</v>
      </c>
      <c r="J97" s="205">
        <v>41988</v>
      </c>
      <c r="K97" s="201" t="str">
        <f>IF(DATEDIF($J97,'Inst summary and ER calculation'!$T$6,"y")=1,"1-2 years","2-3 years")</f>
        <v>2-3 years</v>
      </c>
      <c r="L97" s="204" t="s">
        <v>16</v>
      </c>
      <c r="M97" s="204" t="s">
        <v>16</v>
      </c>
      <c r="N97" s="204">
        <v>14</v>
      </c>
      <c r="O97" s="204">
        <v>60</v>
      </c>
      <c r="P97" s="204" t="s">
        <v>16</v>
      </c>
      <c r="Q97" s="204" t="s">
        <v>16</v>
      </c>
      <c r="R97" s="204" t="s">
        <v>16</v>
      </c>
      <c r="S97" s="204" t="s">
        <v>16</v>
      </c>
      <c r="T97" s="204" t="s">
        <v>16</v>
      </c>
      <c r="U97" s="204" t="s">
        <v>16</v>
      </c>
      <c r="V97" s="204"/>
      <c r="W97" s="22"/>
      <c r="X97" s="204" t="s">
        <v>15</v>
      </c>
      <c r="Y97" s="204"/>
      <c r="Z97" s="204"/>
      <c r="AA97" s="204"/>
      <c r="AB97" s="202" t="str">
        <f t="shared" si="1"/>
        <v/>
      </c>
    </row>
    <row r="98" spans="1:28" s="203" customFormat="1" ht="14.5">
      <c r="A98" s="15">
        <v>42745</v>
      </c>
      <c r="B98" s="204" t="s">
        <v>607</v>
      </c>
      <c r="C98" s="204" t="s">
        <v>1420</v>
      </c>
      <c r="D98" s="206" t="s">
        <v>1421</v>
      </c>
      <c r="E98" s="204"/>
      <c r="F98" s="204">
        <v>2</v>
      </c>
      <c r="G98" s="204">
        <v>1</v>
      </c>
      <c r="H98" s="204" t="s">
        <v>16</v>
      </c>
      <c r="I98" s="204" t="s">
        <v>475</v>
      </c>
      <c r="J98" s="205">
        <v>42170</v>
      </c>
      <c r="K98" s="201" t="str">
        <f>IF(DATEDIF($J98,'Inst summary and ER calculation'!$T$6,"y")=1,"1-2 years","2-3 years")</f>
        <v>1-2 years</v>
      </c>
      <c r="L98" s="204" t="s">
        <v>16</v>
      </c>
      <c r="M98" s="204" t="s">
        <v>16</v>
      </c>
      <c r="N98" s="204">
        <v>18</v>
      </c>
      <c r="O98" s="204">
        <v>78</v>
      </c>
      <c r="P98" s="204" t="s">
        <v>16</v>
      </c>
      <c r="Q98" s="204" t="s">
        <v>16</v>
      </c>
      <c r="R98" s="204" t="s">
        <v>16</v>
      </c>
      <c r="S98" s="204" t="s">
        <v>16</v>
      </c>
      <c r="T98" s="204" t="s">
        <v>16</v>
      </c>
      <c r="U98" s="204" t="s">
        <v>16</v>
      </c>
      <c r="V98" s="204"/>
      <c r="W98" s="22"/>
      <c r="X98" s="204" t="s">
        <v>15</v>
      </c>
      <c r="Y98" s="204"/>
      <c r="Z98" s="204"/>
      <c r="AA98" s="204"/>
      <c r="AB98" s="202" t="str">
        <f t="shared" si="1"/>
        <v/>
      </c>
    </row>
    <row r="99" spans="1:28" s="203" customFormat="1" ht="14.5">
      <c r="A99" s="15">
        <v>42745</v>
      </c>
      <c r="B99" s="204" t="s">
        <v>1282</v>
      </c>
      <c r="C99" s="204" t="s">
        <v>1423</v>
      </c>
      <c r="D99" s="206" t="s">
        <v>1424</v>
      </c>
      <c r="E99" s="204"/>
      <c r="F99" s="204">
        <v>1</v>
      </c>
      <c r="G99" s="204">
        <v>2</v>
      </c>
      <c r="H99" s="204" t="s">
        <v>16</v>
      </c>
      <c r="I99" s="204" t="s">
        <v>490</v>
      </c>
      <c r="J99" s="205">
        <v>42175</v>
      </c>
      <c r="K99" s="201" t="str">
        <f>IF(DATEDIF($J99,'Inst summary and ER calculation'!$T$6,"y")=1,"1-2 years","2-3 years")</f>
        <v>1-2 years</v>
      </c>
      <c r="L99" s="204" t="s">
        <v>16</v>
      </c>
      <c r="M99" s="204" t="s">
        <v>16</v>
      </c>
      <c r="N99" s="204">
        <v>14</v>
      </c>
      <c r="O99" s="204">
        <v>60</v>
      </c>
      <c r="P99" s="204" t="s">
        <v>16</v>
      </c>
      <c r="Q99" s="204" t="s">
        <v>16</v>
      </c>
      <c r="R99" s="204" t="s">
        <v>16</v>
      </c>
      <c r="S99" s="204" t="s">
        <v>16</v>
      </c>
      <c r="T99" s="204" t="s">
        <v>16</v>
      </c>
      <c r="U99" s="204" t="s">
        <v>16</v>
      </c>
      <c r="V99" s="204"/>
      <c r="W99" s="22"/>
      <c r="X99" s="204" t="s">
        <v>15</v>
      </c>
      <c r="Y99" s="204"/>
      <c r="Z99" s="204"/>
      <c r="AA99" s="204"/>
      <c r="AB99" s="202" t="str">
        <f t="shared" si="1"/>
        <v/>
      </c>
    </row>
    <row r="100" spans="1:28" s="203" customFormat="1" ht="14.5">
      <c r="A100" s="15">
        <v>42745</v>
      </c>
      <c r="B100" s="204" t="s">
        <v>42</v>
      </c>
      <c r="C100" s="204" t="s">
        <v>717</v>
      </c>
      <c r="D100" s="206" t="s">
        <v>1163</v>
      </c>
      <c r="E100" s="204"/>
      <c r="F100" s="204">
        <v>4</v>
      </c>
      <c r="G100" s="204">
        <v>1</v>
      </c>
      <c r="H100" s="204" t="s">
        <v>16</v>
      </c>
      <c r="I100" s="204" t="s">
        <v>595</v>
      </c>
      <c r="J100" s="207">
        <v>41872</v>
      </c>
      <c r="K100" s="201" t="str">
        <f>IF(DATEDIF($J100,'Inst summary and ER calculation'!$T$6,"y")=1,"1-2 years","2-3 years")</f>
        <v>2-3 years</v>
      </c>
      <c r="L100" s="204" t="s">
        <v>16</v>
      </c>
      <c r="M100" s="204" t="s">
        <v>16</v>
      </c>
      <c r="N100" s="204">
        <v>21</v>
      </c>
      <c r="O100" s="204">
        <v>90</v>
      </c>
      <c r="P100" s="204" t="s">
        <v>16</v>
      </c>
      <c r="Q100" s="204" t="s">
        <v>16</v>
      </c>
      <c r="R100" s="204" t="s">
        <v>16</v>
      </c>
      <c r="S100" s="204" t="s">
        <v>16</v>
      </c>
      <c r="T100" s="204" t="s">
        <v>16</v>
      </c>
      <c r="U100" s="204" t="s">
        <v>16</v>
      </c>
      <c r="V100" s="204"/>
      <c r="W100" s="22"/>
      <c r="X100" s="204" t="s">
        <v>15</v>
      </c>
      <c r="Y100" s="204"/>
      <c r="Z100" s="204"/>
      <c r="AA100" s="204"/>
      <c r="AB100" s="202" t="str">
        <f t="shared" si="1"/>
        <v/>
      </c>
    </row>
    <row r="101" spans="1:28" s="203" customFormat="1" ht="14.5">
      <c r="A101" s="15">
        <v>42745</v>
      </c>
      <c r="B101" s="204" t="s">
        <v>39</v>
      </c>
      <c r="C101" s="12" t="s">
        <v>1204</v>
      </c>
      <c r="D101" s="206" t="s">
        <v>1205</v>
      </c>
      <c r="E101" s="204"/>
      <c r="F101" s="204">
        <v>5</v>
      </c>
      <c r="G101" s="204">
        <v>1</v>
      </c>
      <c r="H101" s="204" t="s">
        <v>16</v>
      </c>
      <c r="I101" s="204" t="s">
        <v>265</v>
      </c>
      <c r="J101" s="205">
        <v>42030</v>
      </c>
      <c r="K101" s="201" t="str">
        <f>IF(DATEDIF($J101,'Inst summary and ER calculation'!$T$6,"y")=1,"1-2 years","2-3 years")</f>
        <v>2-3 years</v>
      </c>
      <c r="L101" s="204" t="s">
        <v>16</v>
      </c>
      <c r="M101" s="204" t="s">
        <v>16</v>
      </c>
      <c r="N101" s="204">
        <v>14</v>
      </c>
      <c r="O101" s="204">
        <v>60</v>
      </c>
      <c r="P101" s="204" t="s">
        <v>16</v>
      </c>
      <c r="Q101" s="204" t="s">
        <v>16</v>
      </c>
      <c r="R101" s="204" t="s">
        <v>16</v>
      </c>
      <c r="S101" s="204" t="s">
        <v>16</v>
      </c>
      <c r="T101" s="204" t="s">
        <v>16</v>
      </c>
      <c r="U101" s="204" t="s">
        <v>16</v>
      </c>
      <c r="V101" s="204"/>
      <c r="W101" s="22"/>
      <c r="X101" s="204" t="s">
        <v>15</v>
      </c>
      <c r="Y101" s="204"/>
      <c r="Z101" s="204"/>
      <c r="AA101" s="204"/>
      <c r="AB101" s="202" t="str">
        <f t="shared" si="1"/>
        <v/>
      </c>
    </row>
    <row r="102" spans="1:28" s="203" customFormat="1" ht="14.5">
      <c r="A102" s="15">
        <v>42746</v>
      </c>
      <c r="B102" s="204" t="s">
        <v>1050</v>
      </c>
      <c r="C102" s="204" t="s">
        <v>86</v>
      </c>
      <c r="D102" s="12" t="s">
        <v>1144</v>
      </c>
      <c r="E102" s="12"/>
      <c r="F102" s="204">
        <v>4</v>
      </c>
      <c r="G102" s="204">
        <v>0</v>
      </c>
      <c r="H102" s="204" t="s">
        <v>16</v>
      </c>
      <c r="I102" s="204" t="s">
        <v>464</v>
      </c>
      <c r="J102" s="205">
        <v>42162</v>
      </c>
      <c r="K102" s="201" t="str">
        <f>IF(DATEDIF($J102,'Inst summary and ER calculation'!$T$6,"y")=1,"1-2 years","2-3 years")</f>
        <v>1-2 years</v>
      </c>
      <c r="L102" s="204" t="s">
        <v>16</v>
      </c>
      <c r="M102" s="204" t="s">
        <v>16</v>
      </c>
      <c r="N102" s="204">
        <v>12</v>
      </c>
      <c r="O102" s="204">
        <v>48</v>
      </c>
      <c r="P102" s="204" t="s">
        <v>16</v>
      </c>
      <c r="Q102" s="204" t="s">
        <v>16</v>
      </c>
      <c r="R102" s="204" t="s">
        <v>16</v>
      </c>
      <c r="S102" s="204" t="s">
        <v>16</v>
      </c>
      <c r="T102" s="204" t="s">
        <v>16</v>
      </c>
      <c r="U102" s="204" t="s">
        <v>16</v>
      </c>
      <c r="V102" s="204"/>
      <c r="W102" s="22"/>
      <c r="X102" s="204" t="s">
        <v>780</v>
      </c>
      <c r="Y102" s="204" t="s">
        <v>780</v>
      </c>
      <c r="Z102" s="204">
        <v>6</v>
      </c>
      <c r="AA102" s="204">
        <v>24</v>
      </c>
      <c r="AB102" s="202">
        <f t="shared" si="1"/>
        <v>0.33333333333333331</v>
      </c>
    </row>
    <row r="103" spans="1:28" s="203" customFormat="1" ht="14.5">
      <c r="A103" s="15">
        <v>42747</v>
      </c>
      <c r="B103" s="204" t="s">
        <v>1018</v>
      </c>
      <c r="C103" s="204" t="s">
        <v>1218</v>
      </c>
      <c r="D103" s="206" t="s">
        <v>1219</v>
      </c>
      <c r="E103" s="204"/>
      <c r="F103" s="204">
        <v>6</v>
      </c>
      <c r="G103" s="204">
        <v>3</v>
      </c>
      <c r="H103" s="204" t="s">
        <v>16</v>
      </c>
      <c r="I103" s="204" t="s">
        <v>340</v>
      </c>
      <c r="J103" s="205">
        <v>42093</v>
      </c>
      <c r="K103" s="201" t="str">
        <f>IF(DATEDIF($J103,'Inst summary and ER calculation'!$T$6,"y")=1,"1-2 years","2-3 years")</f>
        <v>1-2 years</v>
      </c>
      <c r="L103" s="204" t="s">
        <v>16</v>
      </c>
      <c r="M103" s="204" t="s">
        <v>16</v>
      </c>
      <c r="N103" s="204">
        <v>20</v>
      </c>
      <c r="O103" s="204">
        <v>80</v>
      </c>
      <c r="P103" s="204" t="s">
        <v>16</v>
      </c>
      <c r="Q103" s="204" t="s">
        <v>16</v>
      </c>
      <c r="R103" s="204" t="s">
        <v>16</v>
      </c>
      <c r="S103" s="204" t="s">
        <v>16</v>
      </c>
      <c r="T103" s="204" t="s">
        <v>16</v>
      </c>
      <c r="U103" s="204" t="s">
        <v>16</v>
      </c>
      <c r="V103" s="204"/>
      <c r="W103" s="22"/>
      <c r="X103" s="204" t="s">
        <v>15</v>
      </c>
      <c r="Y103" s="204"/>
      <c r="Z103" s="204"/>
      <c r="AA103" s="204"/>
      <c r="AB103" s="202" t="str">
        <f t="shared" si="1"/>
        <v/>
      </c>
    </row>
    <row r="104" spans="1:28" s="203" customFormat="1" ht="14.5">
      <c r="A104" s="15">
        <v>42747</v>
      </c>
      <c r="B104" s="204" t="s">
        <v>177</v>
      </c>
      <c r="C104" s="11" t="s">
        <v>211</v>
      </c>
      <c r="D104" s="206" t="s">
        <v>1221</v>
      </c>
      <c r="E104" s="204"/>
      <c r="F104" s="204">
        <v>5</v>
      </c>
      <c r="G104" s="204">
        <v>0</v>
      </c>
      <c r="H104" s="204" t="s">
        <v>16</v>
      </c>
      <c r="I104" s="204" t="s">
        <v>344</v>
      </c>
      <c r="J104" s="205">
        <v>42097</v>
      </c>
      <c r="K104" s="201" t="str">
        <f>IF(DATEDIF($J104,'Inst summary and ER calculation'!$T$6,"y")=1,"1-2 years","2-3 years")</f>
        <v>1-2 years</v>
      </c>
      <c r="L104" s="204" t="s">
        <v>16</v>
      </c>
      <c r="M104" s="204" t="s">
        <v>16</v>
      </c>
      <c r="N104" s="204">
        <v>14</v>
      </c>
      <c r="O104" s="204">
        <v>60</v>
      </c>
      <c r="P104" s="204" t="s">
        <v>16</v>
      </c>
      <c r="Q104" s="204" t="s">
        <v>16</v>
      </c>
      <c r="R104" s="204" t="s">
        <v>16</v>
      </c>
      <c r="S104" s="204" t="s">
        <v>16</v>
      </c>
      <c r="T104" s="204" t="s">
        <v>16</v>
      </c>
      <c r="U104" s="204" t="s">
        <v>16</v>
      </c>
      <c r="V104" s="204"/>
      <c r="W104" s="22"/>
      <c r="X104" s="204" t="s">
        <v>15</v>
      </c>
      <c r="Y104" s="204"/>
      <c r="Z104" s="204"/>
      <c r="AA104" s="204"/>
      <c r="AB104" s="202" t="str">
        <f t="shared" si="1"/>
        <v/>
      </c>
    </row>
    <row r="105" spans="1:28" s="203" customFormat="1" ht="14.5">
      <c r="A105" s="15">
        <v>42747</v>
      </c>
      <c r="B105" s="204" t="s">
        <v>158</v>
      </c>
      <c r="C105" s="204" t="s">
        <v>1159</v>
      </c>
      <c r="D105" s="206" t="s">
        <v>1160</v>
      </c>
      <c r="E105" s="204"/>
      <c r="F105" s="204">
        <v>4</v>
      </c>
      <c r="G105" s="204"/>
      <c r="H105" s="204" t="s">
        <v>16</v>
      </c>
      <c r="I105" s="12" t="s">
        <v>589</v>
      </c>
      <c r="J105" s="207">
        <v>41866</v>
      </c>
      <c r="K105" s="201" t="str">
        <f>IF(DATEDIF($J105,'Inst summary and ER calculation'!$T$6,"y")=1,"1-2 years","2-3 years")</f>
        <v>2-3 years</v>
      </c>
      <c r="L105" s="204" t="s">
        <v>16</v>
      </c>
      <c r="M105" s="204" t="s">
        <v>16</v>
      </c>
      <c r="N105" s="204">
        <v>14</v>
      </c>
      <c r="O105" s="204">
        <v>60</v>
      </c>
      <c r="P105" s="204" t="s">
        <v>16</v>
      </c>
      <c r="Q105" s="204" t="s">
        <v>16</v>
      </c>
      <c r="R105" s="204" t="s">
        <v>16</v>
      </c>
      <c r="S105" s="204" t="s">
        <v>16</v>
      </c>
      <c r="T105" s="204" t="s">
        <v>16</v>
      </c>
      <c r="U105" s="204" t="s">
        <v>16</v>
      </c>
      <c r="V105" s="204"/>
      <c r="W105" s="22"/>
      <c r="X105" s="204" t="s">
        <v>15</v>
      </c>
      <c r="Y105" s="204"/>
      <c r="Z105" s="204"/>
      <c r="AA105" s="204"/>
      <c r="AB105" s="202" t="str">
        <f t="shared" si="1"/>
        <v/>
      </c>
    </row>
    <row r="106" spans="1:28" s="203" customFormat="1" ht="14.5">
      <c r="A106" s="15">
        <v>42748</v>
      </c>
      <c r="B106" s="204" t="s">
        <v>1302</v>
      </c>
      <c r="C106" s="204" t="s">
        <v>1359</v>
      </c>
      <c r="D106" s="206" t="s">
        <v>1360</v>
      </c>
      <c r="E106" s="204"/>
      <c r="F106" s="204">
        <v>2</v>
      </c>
      <c r="G106" s="204">
        <v>2</v>
      </c>
      <c r="H106" s="204" t="s">
        <v>16</v>
      </c>
      <c r="I106" s="204" t="s">
        <v>304</v>
      </c>
      <c r="J106" s="205">
        <v>42073</v>
      </c>
      <c r="K106" s="201" t="str">
        <f>IF(DATEDIF($J106,'Inst summary and ER calculation'!$T$6,"y")=1,"1-2 years","2-3 years")</f>
        <v>1-2 years</v>
      </c>
      <c r="L106" s="204" t="s">
        <v>16</v>
      </c>
      <c r="M106" s="204" t="s">
        <v>16</v>
      </c>
      <c r="N106" s="204">
        <v>14</v>
      </c>
      <c r="O106" s="204">
        <v>56</v>
      </c>
      <c r="P106" s="204" t="s">
        <v>16</v>
      </c>
      <c r="Q106" s="204" t="s">
        <v>16</v>
      </c>
      <c r="R106" s="204" t="s">
        <v>16</v>
      </c>
      <c r="S106" s="204" t="s">
        <v>16</v>
      </c>
      <c r="T106" s="204" t="s">
        <v>16</v>
      </c>
      <c r="U106" s="204" t="s">
        <v>16</v>
      </c>
      <c r="V106" s="204"/>
      <c r="W106" s="22"/>
      <c r="X106" s="204" t="s">
        <v>15</v>
      </c>
      <c r="Y106" s="204"/>
      <c r="Z106" s="204"/>
      <c r="AA106" s="204"/>
      <c r="AB106" s="202" t="str">
        <f t="shared" si="1"/>
        <v/>
      </c>
    </row>
    <row r="107" spans="1:28" s="203" customFormat="1" ht="14.5">
      <c r="A107" s="15">
        <v>42748</v>
      </c>
      <c r="B107" s="204" t="s">
        <v>1374</v>
      </c>
      <c r="C107" s="204" t="s">
        <v>120</v>
      </c>
      <c r="D107" s="206" t="s">
        <v>1375</v>
      </c>
      <c r="E107" s="204"/>
      <c r="F107" s="204">
        <v>3</v>
      </c>
      <c r="G107" s="204">
        <v>3</v>
      </c>
      <c r="H107" s="204" t="s">
        <v>16</v>
      </c>
      <c r="I107" s="204" t="s">
        <v>339</v>
      </c>
      <c r="J107" s="205">
        <v>42093</v>
      </c>
      <c r="K107" s="201" t="str">
        <f>IF(DATEDIF($J107,'Inst summary and ER calculation'!$T$6,"y")=1,"1-2 years","2-3 years")</f>
        <v>1-2 years</v>
      </c>
      <c r="L107" s="204" t="s">
        <v>16</v>
      </c>
      <c r="M107" s="204" t="s">
        <v>16</v>
      </c>
      <c r="N107" s="204">
        <v>14</v>
      </c>
      <c r="O107" s="204">
        <v>60</v>
      </c>
      <c r="P107" s="204" t="s">
        <v>16</v>
      </c>
      <c r="Q107" s="204" t="s">
        <v>16</v>
      </c>
      <c r="R107" s="204" t="s">
        <v>16</v>
      </c>
      <c r="S107" s="204" t="s">
        <v>16</v>
      </c>
      <c r="T107" s="204" t="s">
        <v>16</v>
      </c>
      <c r="U107" s="204" t="s">
        <v>16</v>
      </c>
      <c r="V107" s="204"/>
      <c r="W107" s="22"/>
      <c r="X107" s="204" t="s">
        <v>15</v>
      </c>
      <c r="Y107" s="204"/>
      <c r="Z107" s="204"/>
      <c r="AA107" s="204"/>
      <c r="AB107" s="202" t="str">
        <f t="shared" si="1"/>
        <v/>
      </c>
    </row>
    <row r="108" spans="1:28" s="203" customFormat="1" ht="14.5">
      <c r="A108" s="15">
        <v>42748</v>
      </c>
      <c r="B108" s="204" t="s">
        <v>158</v>
      </c>
      <c r="C108" s="204" t="s">
        <v>189</v>
      </c>
      <c r="D108" s="206" t="s">
        <v>1241</v>
      </c>
      <c r="E108" s="204"/>
      <c r="F108" s="204">
        <v>2</v>
      </c>
      <c r="G108" s="204">
        <v>1</v>
      </c>
      <c r="H108" s="204" t="s">
        <v>16</v>
      </c>
      <c r="I108" s="204" t="s">
        <v>430</v>
      </c>
      <c r="J108" s="205">
        <v>42139</v>
      </c>
      <c r="K108" s="201" t="str">
        <f>IF(DATEDIF($J108,'Inst summary and ER calculation'!$T$6,"y")=1,"1-2 years","2-3 years")</f>
        <v>1-2 years</v>
      </c>
      <c r="L108" s="204" t="s">
        <v>16</v>
      </c>
      <c r="M108" s="204" t="s">
        <v>16</v>
      </c>
      <c r="N108" s="204">
        <v>14</v>
      </c>
      <c r="O108" s="204">
        <v>60</v>
      </c>
      <c r="P108" s="204" t="s">
        <v>16</v>
      </c>
      <c r="Q108" s="204" t="s">
        <v>16</v>
      </c>
      <c r="R108" s="204" t="s">
        <v>16</v>
      </c>
      <c r="S108" s="204" t="s">
        <v>16</v>
      </c>
      <c r="T108" s="204" t="s">
        <v>16</v>
      </c>
      <c r="U108" s="204" t="s">
        <v>16</v>
      </c>
      <c r="V108" s="204"/>
      <c r="W108" s="22"/>
      <c r="X108" s="204" t="s">
        <v>15</v>
      </c>
      <c r="Y108" s="204"/>
      <c r="Z108" s="204"/>
      <c r="AA108" s="204"/>
      <c r="AB108" s="202" t="str">
        <f t="shared" si="1"/>
        <v/>
      </c>
    </row>
    <row r="109" spans="1:28" s="203" customFormat="1" ht="14.5">
      <c r="A109" s="15">
        <v>42748</v>
      </c>
      <c r="B109" s="204" t="s">
        <v>1269</v>
      </c>
      <c r="C109" s="12" t="s">
        <v>576</v>
      </c>
      <c r="D109" s="206" t="s">
        <v>1270</v>
      </c>
      <c r="E109" s="204"/>
      <c r="F109" s="204">
        <v>4</v>
      </c>
      <c r="G109" s="204">
        <v>1</v>
      </c>
      <c r="H109" s="204" t="s">
        <v>16</v>
      </c>
      <c r="I109" s="204" t="s">
        <v>585</v>
      </c>
      <c r="J109" s="205">
        <v>41863</v>
      </c>
      <c r="K109" s="201" t="str">
        <f>IF(DATEDIF($J109,'Inst summary and ER calculation'!$T$6,"y")=1,"1-2 years","2-3 years")</f>
        <v>2-3 years</v>
      </c>
      <c r="L109" s="204" t="s">
        <v>16</v>
      </c>
      <c r="M109" s="204" t="s">
        <v>16</v>
      </c>
      <c r="N109" s="204">
        <v>14</v>
      </c>
      <c r="O109" s="204">
        <v>60</v>
      </c>
      <c r="P109" s="204" t="s">
        <v>16</v>
      </c>
      <c r="Q109" s="204" t="s">
        <v>16</v>
      </c>
      <c r="R109" s="204" t="s">
        <v>16</v>
      </c>
      <c r="S109" s="204" t="s">
        <v>16</v>
      </c>
      <c r="T109" s="204" t="s">
        <v>16</v>
      </c>
      <c r="U109" s="204" t="s">
        <v>16</v>
      </c>
      <c r="V109" s="204"/>
      <c r="W109" s="22"/>
      <c r="X109" s="204" t="s">
        <v>15</v>
      </c>
      <c r="Y109" s="204"/>
      <c r="Z109" s="204"/>
      <c r="AA109" s="204"/>
      <c r="AB109" s="202" t="str">
        <f t="shared" si="1"/>
        <v/>
      </c>
    </row>
    <row r="110" spans="1:28" s="203" customFormat="1" ht="14.5">
      <c r="A110" s="15">
        <v>42748</v>
      </c>
      <c r="B110" s="204" t="s">
        <v>100</v>
      </c>
      <c r="C110" s="11" t="s">
        <v>1201</v>
      </c>
      <c r="D110" s="206" t="s">
        <v>1202</v>
      </c>
      <c r="E110" s="204"/>
      <c r="F110" s="204">
        <v>3</v>
      </c>
      <c r="G110" s="204">
        <v>1</v>
      </c>
      <c r="H110" s="204" t="s">
        <v>16</v>
      </c>
      <c r="I110" s="204" t="s">
        <v>248</v>
      </c>
      <c r="J110" s="205">
        <v>42019</v>
      </c>
      <c r="K110" s="201" t="str">
        <f>IF(DATEDIF($J110,'Inst summary and ER calculation'!$T$6,"y")=1,"1-2 years","2-3 years")</f>
        <v>2-3 years</v>
      </c>
      <c r="L110" s="204" t="s">
        <v>16</v>
      </c>
      <c r="M110" s="204" t="s">
        <v>16</v>
      </c>
      <c r="N110" s="204">
        <v>16</v>
      </c>
      <c r="O110" s="204">
        <v>71</v>
      </c>
      <c r="P110" s="204" t="s">
        <v>16</v>
      </c>
      <c r="Q110" s="204" t="s">
        <v>16</v>
      </c>
      <c r="R110" s="204" t="s">
        <v>16</v>
      </c>
      <c r="S110" s="204" t="s">
        <v>16</v>
      </c>
      <c r="T110" s="204" t="s">
        <v>16</v>
      </c>
      <c r="U110" s="204" t="s">
        <v>16</v>
      </c>
      <c r="V110" s="204"/>
      <c r="W110" s="22"/>
      <c r="X110" s="204" t="s">
        <v>15</v>
      </c>
      <c r="Y110" s="204"/>
      <c r="Z110" s="204"/>
      <c r="AA110" s="204"/>
      <c r="AB110" s="202" t="str">
        <f t="shared" si="1"/>
        <v/>
      </c>
    </row>
    <row r="111" spans="1:28" s="203" customFormat="1" ht="14.5">
      <c r="A111" s="15">
        <v>42748</v>
      </c>
      <c r="B111" s="204" t="s">
        <v>1080</v>
      </c>
      <c r="C111" s="204" t="s">
        <v>1081</v>
      </c>
      <c r="D111" s="12" t="s">
        <v>1082</v>
      </c>
      <c r="E111" s="12"/>
      <c r="F111" s="204">
        <v>5</v>
      </c>
      <c r="G111" s="204">
        <v>1</v>
      </c>
      <c r="H111" s="204" t="s">
        <v>16</v>
      </c>
      <c r="I111" s="204" t="s">
        <v>268</v>
      </c>
      <c r="J111" s="205">
        <v>42032</v>
      </c>
      <c r="K111" s="201" t="str">
        <f>IF(DATEDIF($J111,'Inst summary and ER calculation'!$T$6,"y")=1,"1-2 years","2-3 years")</f>
        <v>2-3 years</v>
      </c>
      <c r="L111" s="204" t="s">
        <v>16</v>
      </c>
      <c r="M111" s="204" t="s">
        <v>16</v>
      </c>
      <c r="N111" s="204">
        <v>21</v>
      </c>
      <c r="O111" s="204">
        <v>94</v>
      </c>
      <c r="P111" s="204" t="s">
        <v>16</v>
      </c>
      <c r="Q111" s="204" t="s">
        <v>16</v>
      </c>
      <c r="R111" s="204" t="s">
        <v>16</v>
      </c>
      <c r="S111" s="204" t="s">
        <v>16</v>
      </c>
      <c r="T111" s="204" t="s">
        <v>16</v>
      </c>
      <c r="U111" s="204" t="s">
        <v>16</v>
      </c>
      <c r="V111" s="204"/>
      <c r="W111" s="22"/>
      <c r="X111" s="204" t="s">
        <v>15</v>
      </c>
      <c r="Y111" s="204"/>
      <c r="Z111" s="204"/>
      <c r="AA111" s="204"/>
      <c r="AB111" s="202" t="str">
        <f t="shared" si="1"/>
        <v/>
      </c>
    </row>
    <row r="112" spans="1:28" s="203" customFormat="1" ht="14.5">
      <c r="A112" s="15">
        <v>42749</v>
      </c>
      <c r="B112" s="204" t="s">
        <v>118</v>
      </c>
      <c r="C112" s="204" t="s">
        <v>1376</v>
      </c>
      <c r="D112" s="206" t="s">
        <v>1377</v>
      </c>
      <c r="E112" s="204"/>
      <c r="F112" s="204">
        <v>2</v>
      </c>
      <c r="G112" s="204">
        <v>1</v>
      </c>
      <c r="H112" s="204" t="s">
        <v>16</v>
      </c>
      <c r="I112" s="204" t="s">
        <v>342</v>
      </c>
      <c r="J112" s="205">
        <v>42097</v>
      </c>
      <c r="K112" s="201" t="str">
        <f>IF(DATEDIF($J112,'Inst summary and ER calculation'!$T$6,"y")=1,"1-2 years","2-3 years")</f>
        <v>1-2 years</v>
      </c>
      <c r="L112" s="204" t="s">
        <v>16</v>
      </c>
      <c r="M112" s="204" t="s">
        <v>16</v>
      </c>
      <c r="N112" s="204">
        <v>14</v>
      </c>
      <c r="O112" s="204">
        <v>60</v>
      </c>
      <c r="P112" s="204" t="s">
        <v>16</v>
      </c>
      <c r="Q112" s="204" t="s">
        <v>16</v>
      </c>
      <c r="R112" s="204" t="s">
        <v>16</v>
      </c>
      <c r="S112" s="204" t="s">
        <v>16</v>
      </c>
      <c r="T112" s="204" t="s">
        <v>16</v>
      </c>
      <c r="U112" s="204" t="s">
        <v>16</v>
      </c>
      <c r="V112" s="204"/>
      <c r="W112" s="22"/>
      <c r="X112" s="204" t="s">
        <v>15</v>
      </c>
      <c r="Y112" s="204"/>
      <c r="Z112" s="204"/>
      <c r="AA112" s="204"/>
      <c r="AB112" s="202" t="str">
        <f t="shared" si="1"/>
        <v/>
      </c>
    </row>
    <row r="113" spans="1:28" s="203" customFormat="1" ht="14.5">
      <c r="A113" s="15">
        <v>42749</v>
      </c>
      <c r="B113" s="204" t="s">
        <v>1055</v>
      </c>
      <c r="C113" s="204" t="s">
        <v>94</v>
      </c>
      <c r="D113" s="12" t="s">
        <v>1056</v>
      </c>
      <c r="E113" s="12"/>
      <c r="F113" s="204">
        <v>4</v>
      </c>
      <c r="G113" s="204">
        <v>2</v>
      </c>
      <c r="H113" s="204" t="s">
        <v>16</v>
      </c>
      <c r="I113" s="204" t="s">
        <v>708</v>
      </c>
      <c r="J113" s="205">
        <v>41966</v>
      </c>
      <c r="K113" s="201" t="str">
        <f>IF(DATEDIF($J113,'Inst summary and ER calculation'!$T$6,"y")=1,"1-2 years","2-3 years")</f>
        <v>2-3 years</v>
      </c>
      <c r="L113" s="204" t="s">
        <v>16</v>
      </c>
      <c r="M113" s="204" t="s">
        <v>16</v>
      </c>
      <c r="N113" s="204">
        <v>14</v>
      </c>
      <c r="O113" s="204">
        <v>60</v>
      </c>
      <c r="P113" s="204" t="s">
        <v>16</v>
      </c>
      <c r="Q113" s="204" t="s">
        <v>16</v>
      </c>
      <c r="R113" s="204" t="s">
        <v>16</v>
      </c>
      <c r="S113" s="204" t="s">
        <v>16</v>
      </c>
      <c r="T113" s="204" t="s">
        <v>16</v>
      </c>
      <c r="U113" s="204" t="s">
        <v>16</v>
      </c>
      <c r="V113" s="204"/>
      <c r="W113" s="22"/>
      <c r="X113" s="204" t="s">
        <v>15</v>
      </c>
      <c r="Y113" s="204"/>
      <c r="Z113" s="204"/>
      <c r="AA113" s="204"/>
      <c r="AB113" s="202" t="str">
        <f t="shared" si="1"/>
        <v/>
      </c>
    </row>
    <row r="114" spans="1:28" s="203" customFormat="1" ht="14.5">
      <c r="A114" s="15">
        <v>42750</v>
      </c>
      <c r="B114" s="204" t="s">
        <v>451</v>
      </c>
      <c r="C114" s="204" t="s">
        <v>1105</v>
      </c>
      <c r="D114" s="12" t="s">
        <v>1106</v>
      </c>
      <c r="E114" s="12"/>
      <c r="F114" s="204">
        <v>3</v>
      </c>
      <c r="G114" s="204">
        <v>1</v>
      </c>
      <c r="H114" s="204" t="s">
        <v>16</v>
      </c>
      <c r="I114" s="204" t="s">
        <v>334</v>
      </c>
      <c r="J114" s="205">
        <v>42091</v>
      </c>
      <c r="K114" s="201" t="str">
        <f>IF(DATEDIF($J114,'Inst summary and ER calculation'!$T$6,"y")=1,"1-2 years","2-3 years")</f>
        <v>1-2 years</v>
      </c>
      <c r="L114" s="204" t="s">
        <v>16</v>
      </c>
      <c r="M114" s="204" t="s">
        <v>16</v>
      </c>
      <c r="N114" s="204">
        <v>11</v>
      </c>
      <c r="O114" s="204">
        <v>63</v>
      </c>
      <c r="P114" s="204" t="s">
        <v>16</v>
      </c>
      <c r="Q114" s="204" t="s">
        <v>16</v>
      </c>
      <c r="R114" s="204" t="s">
        <v>16</v>
      </c>
      <c r="S114" s="204" t="s">
        <v>16</v>
      </c>
      <c r="T114" s="204" t="s">
        <v>16</v>
      </c>
      <c r="U114" s="204" t="s">
        <v>16</v>
      </c>
      <c r="V114" s="204"/>
      <c r="W114" s="22"/>
      <c r="X114" s="204" t="s">
        <v>780</v>
      </c>
      <c r="Y114" s="204" t="s">
        <v>780</v>
      </c>
      <c r="Z114" s="204">
        <v>5</v>
      </c>
      <c r="AA114" s="204">
        <v>27</v>
      </c>
      <c r="AB114" s="202">
        <f t="shared" si="1"/>
        <v>0.3125</v>
      </c>
    </row>
    <row r="115" spans="1:28" s="203" customFormat="1" ht="14.5">
      <c r="A115" s="15">
        <v>42750</v>
      </c>
      <c r="B115" s="204" t="s">
        <v>920</v>
      </c>
      <c r="C115" s="204" t="s">
        <v>1173</v>
      </c>
      <c r="D115" s="206" t="s">
        <v>1174</v>
      </c>
      <c r="E115" s="204"/>
      <c r="F115" s="204">
        <v>2</v>
      </c>
      <c r="G115" s="204">
        <v>0</v>
      </c>
      <c r="H115" s="204" t="s">
        <v>16</v>
      </c>
      <c r="I115" s="204" t="s">
        <v>658</v>
      </c>
      <c r="J115" s="205">
        <v>41933</v>
      </c>
      <c r="K115" s="201" t="str">
        <f>IF(DATEDIF($J115,'Inst summary and ER calculation'!$T$6,"y")=1,"1-2 years","2-3 years")</f>
        <v>2-3 years</v>
      </c>
      <c r="L115" s="204" t="s">
        <v>16</v>
      </c>
      <c r="M115" s="204" t="s">
        <v>16</v>
      </c>
      <c r="N115" s="204">
        <v>13</v>
      </c>
      <c r="O115" s="204">
        <v>52</v>
      </c>
      <c r="P115" s="204" t="s">
        <v>16</v>
      </c>
      <c r="Q115" s="204" t="s">
        <v>16</v>
      </c>
      <c r="R115" s="204" t="s">
        <v>16</v>
      </c>
      <c r="S115" s="204" t="s">
        <v>16</v>
      </c>
      <c r="T115" s="204" t="s">
        <v>16</v>
      </c>
      <c r="U115" s="204" t="s">
        <v>16</v>
      </c>
      <c r="V115" s="204"/>
      <c r="W115" s="22"/>
      <c r="X115" s="204" t="s">
        <v>16</v>
      </c>
      <c r="Y115" s="204" t="s">
        <v>16</v>
      </c>
      <c r="Z115" s="204">
        <v>7</v>
      </c>
      <c r="AA115" s="204">
        <v>28</v>
      </c>
      <c r="AB115" s="202">
        <f t="shared" si="1"/>
        <v>0.35</v>
      </c>
    </row>
    <row r="116" spans="1:28" s="203" customFormat="1" ht="14.5">
      <c r="A116" s="15">
        <v>42750</v>
      </c>
      <c r="B116" s="204" t="s">
        <v>192</v>
      </c>
      <c r="C116" s="204" t="s">
        <v>1226</v>
      </c>
      <c r="D116" s="206" t="s">
        <v>1227</v>
      </c>
      <c r="E116" s="204"/>
      <c r="F116" s="204">
        <v>3</v>
      </c>
      <c r="G116" s="204">
        <v>2</v>
      </c>
      <c r="H116" s="204" t="s">
        <v>16</v>
      </c>
      <c r="I116" s="204" t="s">
        <v>360</v>
      </c>
      <c r="J116" s="205">
        <v>42109</v>
      </c>
      <c r="K116" s="201" t="str">
        <f>IF(DATEDIF($J116,'Inst summary and ER calculation'!$T$6,"y")=1,"1-2 years","2-3 years")</f>
        <v>1-2 years</v>
      </c>
      <c r="L116" s="204" t="s">
        <v>16</v>
      </c>
      <c r="M116" s="204" t="s">
        <v>16</v>
      </c>
      <c r="N116" s="204">
        <v>20</v>
      </c>
      <c r="O116" s="204">
        <v>90</v>
      </c>
      <c r="P116" s="204" t="s">
        <v>16</v>
      </c>
      <c r="Q116" s="204" t="s">
        <v>16</v>
      </c>
      <c r="R116" s="204" t="s">
        <v>16</v>
      </c>
      <c r="S116" s="204" t="s">
        <v>16</v>
      </c>
      <c r="T116" s="204" t="s">
        <v>16</v>
      </c>
      <c r="U116" s="204" t="s">
        <v>16</v>
      </c>
      <c r="V116" s="204"/>
      <c r="W116" s="22"/>
      <c r="X116" s="204" t="s">
        <v>15</v>
      </c>
      <c r="Y116" s="204"/>
      <c r="Z116" s="204"/>
      <c r="AA116" s="204"/>
      <c r="AB116" s="202" t="str">
        <f t="shared" si="1"/>
        <v/>
      </c>
    </row>
    <row r="117" spans="1:28" s="203" customFormat="1" ht="14.5">
      <c r="A117" s="15">
        <v>42751</v>
      </c>
      <c r="B117" s="204" t="s">
        <v>65</v>
      </c>
      <c r="C117" s="12" t="s">
        <v>114</v>
      </c>
      <c r="D117" s="12" t="s">
        <v>1095</v>
      </c>
      <c r="E117" s="12"/>
      <c r="F117" s="204">
        <v>5</v>
      </c>
      <c r="G117" s="204">
        <v>3</v>
      </c>
      <c r="H117" s="204" t="s">
        <v>16</v>
      </c>
      <c r="I117" s="204" t="s">
        <v>316</v>
      </c>
      <c r="J117" s="205">
        <v>42078</v>
      </c>
      <c r="K117" s="201" t="str">
        <f>IF(DATEDIF($J117,'Inst summary and ER calculation'!$T$6,"y")=1,"1-2 years","2-3 years")</f>
        <v>1-2 years</v>
      </c>
      <c r="L117" s="204" t="s">
        <v>16</v>
      </c>
      <c r="M117" s="204" t="s">
        <v>16</v>
      </c>
      <c r="N117" s="204">
        <v>18</v>
      </c>
      <c r="O117" s="204">
        <v>72</v>
      </c>
      <c r="P117" s="204" t="s">
        <v>16</v>
      </c>
      <c r="Q117" s="204" t="s">
        <v>16</v>
      </c>
      <c r="R117" s="204" t="s">
        <v>16</v>
      </c>
      <c r="S117" s="204" t="s">
        <v>16</v>
      </c>
      <c r="T117" s="204" t="s">
        <v>16</v>
      </c>
      <c r="U117" s="204" t="s">
        <v>16</v>
      </c>
      <c r="V117" s="204"/>
      <c r="W117" s="22"/>
      <c r="X117" s="204" t="s">
        <v>15</v>
      </c>
      <c r="Y117" s="204"/>
      <c r="Z117" s="204"/>
      <c r="AA117" s="204"/>
      <c r="AB117" s="202" t="str">
        <f t="shared" si="1"/>
        <v/>
      </c>
    </row>
    <row r="118" spans="1:28" s="203" customFormat="1" ht="14.5">
      <c r="A118" s="15">
        <v>42751</v>
      </c>
      <c r="B118" s="204" t="s">
        <v>1364</v>
      </c>
      <c r="C118" s="204" t="s">
        <v>73</v>
      </c>
      <c r="D118" s="206" t="s">
        <v>1367</v>
      </c>
      <c r="E118" s="204"/>
      <c r="F118" s="204">
        <v>4</v>
      </c>
      <c r="G118" s="204">
        <v>2</v>
      </c>
      <c r="H118" s="204" t="s">
        <v>16</v>
      </c>
      <c r="I118" s="204" t="s">
        <v>322</v>
      </c>
      <c r="J118" s="205">
        <v>42082</v>
      </c>
      <c r="K118" s="201" t="str">
        <f>IF(DATEDIF($J118,'Inst summary and ER calculation'!$T$6,"y")=1,"1-2 years","2-3 years")</f>
        <v>1-2 years</v>
      </c>
      <c r="L118" s="204" t="s">
        <v>16</v>
      </c>
      <c r="M118" s="204" t="s">
        <v>16</v>
      </c>
      <c r="N118" s="204">
        <v>20</v>
      </c>
      <c r="O118" s="204">
        <v>80</v>
      </c>
      <c r="P118" s="204" t="s">
        <v>16</v>
      </c>
      <c r="Q118" s="204" t="s">
        <v>16</v>
      </c>
      <c r="R118" s="204" t="s">
        <v>16</v>
      </c>
      <c r="S118" s="204" t="s">
        <v>16</v>
      </c>
      <c r="T118" s="204" t="s">
        <v>16</v>
      </c>
      <c r="U118" s="204" t="s">
        <v>16</v>
      </c>
      <c r="V118" s="204"/>
      <c r="W118" s="22"/>
      <c r="X118" s="204" t="s">
        <v>15</v>
      </c>
      <c r="Y118" s="204"/>
      <c r="Z118" s="204"/>
      <c r="AA118" s="204"/>
      <c r="AB118" s="202" t="str">
        <f t="shared" si="1"/>
        <v/>
      </c>
    </row>
    <row r="119" spans="1:28" s="203" customFormat="1" ht="14.5">
      <c r="A119" s="15">
        <v>42751</v>
      </c>
      <c r="B119" s="204" t="s">
        <v>41</v>
      </c>
      <c r="C119" s="204" t="s">
        <v>222</v>
      </c>
      <c r="D119" s="206" t="s">
        <v>1217</v>
      </c>
      <c r="E119" s="204"/>
      <c r="F119" s="204">
        <v>2</v>
      </c>
      <c r="G119" s="204">
        <v>1</v>
      </c>
      <c r="H119" s="204" t="s">
        <v>16</v>
      </c>
      <c r="I119" s="204" t="s">
        <v>331</v>
      </c>
      <c r="J119" s="205">
        <v>42090</v>
      </c>
      <c r="K119" s="201" t="str">
        <f>IF(DATEDIF($J119,'Inst summary and ER calculation'!$T$6,"y")=1,"1-2 years","2-3 years")</f>
        <v>1-2 years</v>
      </c>
      <c r="L119" s="204" t="s">
        <v>16</v>
      </c>
      <c r="M119" s="204" t="s">
        <v>16</v>
      </c>
      <c r="N119" s="204">
        <v>14</v>
      </c>
      <c r="O119" s="204">
        <v>60</v>
      </c>
      <c r="P119" s="204" t="s">
        <v>16</v>
      </c>
      <c r="Q119" s="204" t="s">
        <v>16</v>
      </c>
      <c r="R119" s="204" t="s">
        <v>16</v>
      </c>
      <c r="S119" s="204" t="s">
        <v>16</v>
      </c>
      <c r="T119" s="204" t="s">
        <v>16</v>
      </c>
      <c r="U119" s="204" t="s">
        <v>16</v>
      </c>
      <c r="V119" s="204"/>
      <c r="W119" s="22"/>
      <c r="X119" s="204" t="s">
        <v>15</v>
      </c>
      <c r="Y119" s="204"/>
      <c r="Z119" s="204"/>
      <c r="AA119" s="204"/>
      <c r="AB119" s="202" t="str">
        <f t="shared" si="1"/>
        <v/>
      </c>
    </row>
    <row r="120" spans="1:28" s="203" customFormat="1" ht="14.5">
      <c r="A120" s="15">
        <v>42751</v>
      </c>
      <c r="B120" s="204" t="s">
        <v>803</v>
      </c>
      <c r="C120" s="204" t="s">
        <v>86</v>
      </c>
      <c r="D120" s="206" t="s">
        <v>1230</v>
      </c>
      <c r="E120" s="204"/>
      <c r="F120" s="204">
        <v>3</v>
      </c>
      <c r="G120" s="204">
        <v>2</v>
      </c>
      <c r="H120" s="204" t="s">
        <v>16</v>
      </c>
      <c r="I120" s="204" t="s">
        <v>372</v>
      </c>
      <c r="J120" s="205">
        <v>42114</v>
      </c>
      <c r="K120" s="201" t="str">
        <f>IF(DATEDIF($J120,'Inst summary and ER calculation'!$T$6,"y")=1,"1-2 years","2-3 years")</f>
        <v>1-2 years</v>
      </c>
      <c r="L120" s="204" t="s">
        <v>16</v>
      </c>
      <c r="M120" s="204" t="s">
        <v>16</v>
      </c>
      <c r="N120" s="204">
        <v>18</v>
      </c>
      <c r="O120" s="204">
        <v>85</v>
      </c>
      <c r="P120" s="204" t="s">
        <v>16</v>
      </c>
      <c r="Q120" s="204" t="s">
        <v>16</v>
      </c>
      <c r="R120" s="204" t="s">
        <v>16</v>
      </c>
      <c r="S120" s="204" t="s">
        <v>16</v>
      </c>
      <c r="T120" s="204" t="s">
        <v>16</v>
      </c>
      <c r="U120" s="204" t="s">
        <v>16</v>
      </c>
      <c r="V120" s="204"/>
      <c r="W120" s="22"/>
      <c r="X120" s="204" t="s">
        <v>15</v>
      </c>
      <c r="Y120" s="204"/>
      <c r="Z120" s="204"/>
      <c r="AA120" s="204"/>
      <c r="AB120" s="202" t="str">
        <f t="shared" si="1"/>
        <v/>
      </c>
    </row>
    <row r="121" spans="1:28" s="203" customFormat="1" ht="14.5">
      <c r="A121" s="15">
        <v>42751</v>
      </c>
      <c r="B121" s="204" t="s">
        <v>1057</v>
      </c>
      <c r="C121" s="204" t="s">
        <v>1074</v>
      </c>
      <c r="D121" s="12" t="s">
        <v>1075</v>
      </c>
      <c r="E121" s="12"/>
      <c r="F121" s="204">
        <v>4</v>
      </c>
      <c r="G121" s="204">
        <v>2</v>
      </c>
      <c r="H121" s="204" t="s">
        <v>16</v>
      </c>
      <c r="I121" s="204" t="s">
        <v>258</v>
      </c>
      <c r="J121" s="205">
        <v>42024</v>
      </c>
      <c r="K121" s="201" t="str">
        <f>IF(DATEDIF($J121,'Inst summary and ER calculation'!$T$6,"y")=1,"1-2 years","2-3 years")</f>
        <v>2-3 years</v>
      </c>
      <c r="L121" s="204" t="s">
        <v>16</v>
      </c>
      <c r="M121" s="204" t="s">
        <v>16</v>
      </c>
      <c r="N121" s="204">
        <v>14</v>
      </c>
      <c r="O121" s="204">
        <v>60</v>
      </c>
      <c r="P121" s="204" t="s">
        <v>16</v>
      </c>
      <c r="Q121" s="204" t="s">
        <v>16</v>
      </c>
      <c r="R121" s="204" t="s">
        <v>16</v>
      </c>
      <c r="S121" s="204" t="s">
        <v>16</v>
      </c>
      <c r="T121" s="204" t="s">
        <v>16</v>
      </c>
      <c r="U121" s="204" t="s">
        <v>16</v>
      </c>
      <c r="V121" s="204"/>
      <c r="W121" s="22"/>
      <c r="X121" s="204" t="s">
        <v>15</v>
      </c>
      <c r="Y121" s="204"/>
      <c r="Z121" s="204"/>
      <c r="AA121" s="204"/>
      <c r="AB121" s="202" t="str">
        <f t="shared" si="1"/>
        <v/>
      </c>
    </row>
    <row r="122" spans="1:28" s="203" customFormat="1" ht="14.5">
      <c r="A122" s="15">
        <v>42752</v>
      </c>
      <c r="B122" s="204" t="s">
        <v>1068</v>
      </c>
      <c r="C122" s="204" t="s">
        <v>566</v>
      </c>
      <c r="D122" s="12" t="s">
        <v>1134</v>
      </c>
      <c r="E122" s="12"/>
      <c r="F122" s="204">
        <v>2</v>
      </c>
      <c r="G122" s="204">
        <v>2</v>
      </c>
      <c r="H122" s="204" t="s">
        <v>16</v>
      </c>
      <c r="I122" s="204" t="s">
        <v>434</v>
      </c>
      <c r="J122" s="205">
        <v>42140</v>
      </c>
      <c r="K122" s="201" t="str">
        <f>IF(DATEDIF($J122,'Inst summary and ER calculation'!$T$6,"y")=1,"1-2 years","2-3 years")</f>
        <v>1-2 years</v>
      </c>
      <c r="L122" s="204" t="s">
        <v>16</v>
      </c>
      <c r="M122" s="204" t="s">
        <v>16</v>
      </c>
      <c r="N122" s="204">
        <v>10</v>
      </c>
      <c r="O122" s="204">
        <v>40</v>
      </c>
      <c r="P122" s="204" t="s">
        <v>16</v>
      </c>
      <c r="Q122" s="204" t="s">
        <v>16</v>
      </c>
      <c r="R122" s="204" t="s">
        <v>16</v>
      </c>
      <c r="S122" s="204" t="s">
        <v>16</v>
      </c>
      <c r="T122" s="204" t="s">
        <v>16</v>
      </c>
      <c r="U122" s="204" t="s">
        <v>16</v>
      </c>
      <c r="V122" s="204"/>
      <c r="W122" s="22"/>
      <c r="X122" s="204" t="s">
        <v>16</v>
      </c>
      <c r="Y122" s="204" t="s">
        <v>16</v>
      </c>
      <c r="Z122" s="204">
        <v>4</v>
      </c>
      <c r="AA122" s="204">
        <v>20</v>
      </c>
      <c r="AB122" s="202">
        <f t="shared" si="1"/>
        <v>0.33333333333333331</v>
      </c>
    </row>
    <row r="123" spans="1:28" s="203" customFormat="1" ht="14.5">
      <c r="A123" s="15">
        <v>42752</v>
      </c>
      <c r="B123" s="204" t="s">
        <v>1057</v>
      </c>
      <c r="C123" s="11" t="s">
        <v>1090</v>
      </c>
      <c r="D123" s="12" t="s">
        <v>1091</v>
      </c>
      <c r="E123" s="12"/>
      <c r="F123" s="204">
        <v>4</v>
      </c>
      <c r="G123" s="204">
        <v>2</v>
      </c>
      <c r="H123" s="204" t="s">
        <v>16</v>
      </c>
      <c r="I123" s="204" t="s">
        <v>303</v>
      </c>
      <c r="J123" s="205">
        <v>42073</v>
      </c>
      <c r="K123" s="201" t="str">
        <f>IF(DATEDIF($J123,'Inst summary and ER calculation'!$T$6,"y")=1,"1-2 years","2-3 years")</f>
        <v>1-2 years</v>
      </c>
      <c r="L123" s="204" t="s">
        <v>16</v>
      </c>
      <c r="M123" s="204" t="s">
        <v>16</v>
      </c>
      <c r="N123" s="204">
        <v>14</v>
      </c>
      <c r="O123" s="204">
        <v>60</v>
      </c>
      <c r="P123" s="204" t="s">
        <v>16</v>
      </c>
      <c r="Q123" s="204" t="s">
        <v>16</v>
      </c>
      <c r="R123" s="204" t="s">
        <v>16</v>
      </c>
      <c r="S123" s="204" t="s">
        <v>16</v>
      </c>
      <c r="T123" s="204" t="s">
        <v>16</v>
      </c>
      <c r="U123" s="204" t="s">
        <v>16</v>
      </c>
      <c r="V123" s="204"/>
      <c r="W123" s="22"/>
      <c r="X123" s="204" t="s">
        <v>15</v>
      </c>
      <c r="Y123" s="204"/>
      <c r="Z123" s="204"/>
      <c r="AA123" s="204"/>
      <c r="AB123" s="202" t="str">
        <f t="shared" si="1"/>
        <v/>
      </c>
    </row>
    <row r="124" spans="1:28" s="203" customFormat="1" ht="14.5">
      <c r="A124" s="15">
        <v>42752</v>
      </c>
      <c r="B124" s="204" t="s">
        <v>291</v>
      </c>
      <c r="C124" s="204" t="s">
        <v>51</v>
      </c>
      <c r="D124" s="12" t="s">
        <v>1102</v>
      </c>
      <c r="E124" s="12"/>
      <c r="F124" s="204">
        <v>4</v>
      </c>
      <c r="G124" s="204">
        <v>1</v>
      </c>
      <c r="H124" s="204" t="s">
        <v>16</v>
      </c>
      <c r="I124" s="204" t="s">
        <v>325</v>
      </c>
      <c r="J124" s="205">
        <v>42084</v>
      </c>
      <c r="K124" s="201" t="str">
        <f>IF(DATEDIF($J124,'Inst summary and ER calculation'!$T$6,"y")=1,"1-2 years","2-3 years")</f>
        <v>1-2 years</v>
      </c>
      <c r="L124" s="204" t="s">
        <v>16</v>
      </c>
      <c r="M124" s="204" t="s">
        <v>16</v>
      </c>
      <c r="N124" s="204">
        <v>14</v>
      </c>
      <c r="O124" s="204">
        <v>60</v>
      </c>
      <c r="P124" s="204" t="s">
        <v>16</v>
      </c>
      <c r="Q124" s="204" t="s">
        <v>16</v>
      </c>
      <c r="R124" s="204" t="s">
        <v>16</v>
      </c>
      <c r="S124" s="204" t="s">
        <v>16</v>
      </c>
      <c r="T124" s="204" t="s">
        <v>16</v>
      </c>
      <c r="U124" s="204" t="s">
        <v>16</v>
      </c>
      <c r="V124" s="204"/>
      <c r="W124" s="22"/>
      <c r="X124" s="204" t="s">
        <v>15</v>
      </c>
      <c r="Y124" s="204"/>
      <c r="Z124" s="204"/>
      <c r="AA124" s="204"/>
      <c r="AB124" s="202" t="str">
        <f t="shared" si="1"/>
        <v/>
      </c>
    </row>
    <row r="125" spans="1:28" s="203" customFormat="1" ht="14.5">
      <c r="A125" s="15">
        <v>42752</v>
      </c>
      <c r="B125" s="204" t="s">
        <v>122</v>
      </c>
      <c r="C125" s="204" t="s">
        <v>1132</v>
      </c>
      <c r="D125" s="12" t="s">
        <v>1133</v>
      </c>
      <c r="E125" s="12"/>
      <c r="F125" s="204">
        <v>2</v>
      </c>
      <c r="G125" s="204">
        <v>2</v>
      </c>
      <c r="H125" s="204" t="s">
        <v>16</v>
      </c>
      <c r="I125" s="204" t="s">
        <v>428</v>
      </c>
      <c r="J125" s="205">
        <v>42139</v>
      </c>
      <c r="K125" s="201" t="str">
        <f>IF(DATEDIF($J125,'Inst summary and ER calculation'!$T$6,"y")=1,"1-2 years","2-3 years")</f>
        <v>1-2 years</v>
      </c>
      <c r="L125" s="204" t="s">
        <v>16</v>
      </c>
      <c r="M125" s="204" t="s">
        <v>16</v>
      </c>
      <c r="N125" s="204">
        <v>20</v>
      </c>
      <c r="O125" s="204">
        <v>80</v>
      </c>
      <c r="P125" s="204" t="s">
        <v>16</v>
      </c>
      <c r="Q125" s="204" t="s">
        <v>16</v>
      </c>
      <c r="R125" s="204" t="s">
        <v>16</v>
      </c>
      <c r="S125" s="204" t="s">
        <v>16</v>
      </c>
      <c r="T125" s="204" t="s">
        <v>16</v>
      </c>
      <c r="U125" s="204" t="s">
        <v>16</v>
      </c>
      <c r="V125" s="204"/>
      <c r="W125" s="22"/>
      <c r="X125" s="204" t="s">
        <v>15</v>
      </c>
      <c r="Y125" s="204"/>
      <c r="Z125" s="204"/>
      <c r="AA125" s="204"/>
      <c r="AB125" s="202" t="str">
        <f t="shared" si="1"/>
        <v/>
      </c>
    </row>
    <row r="126" spans="1:28" s="203" customFormat="1" ht="14.5">
      <c r="A126" s="15">
        <v>42753</v>
      </c>
      <c r="B126" s="204" t="s">
        <v>192</v>
      </c>
      <c r="C126" s="204" t="s">
        <v>1214</v>
      </c>
      <c r="D126" s="206" t="s">
        <v>1215</v>
      </c>
      <c r="E126" s="204"/>
      <c r="F126" s="204">
        <v>2</v>
      </c>
      <c r="G126" s="204">
        <v>1</v>
      </c>
      <c r="H126" s="204" t="s">
        <v>16</v>
      </c>
      <c r="I126" s="204" t="s">
        <v>308</v>
      </c>
      <c r="J126" s="205">
        <v>42078</v>
      </c>
      <c r="K126" s="201" t="str">
        <f>IF(DATEDIF($J126,'Inst summary and ER calculation'!$T$6,"y")=1,"1-2 years","2-3 years")</f>
        <v>1-2 years</v>
      </c>
      <c r="L126" s="204" t="s">
        <v>16</v>
      </c>
      <c r="M126" s="204" t="s">
        <v>16</v>
      </c>
      <c r="N126" s="204">
        <v>18</v>
      </c>
      <c r="O126" s="204">
        <v>80</v>
      </c>
      <c r="P126" s="204" t="s">
        <v>16</v>
      </c>
      <c r="Q126" s="204" t="s">
        <v>16</v>
      </c>
      <c r="R126" s="204" t="s">
        <v>16</v>
      </c>
      <c r="S126" s="204" t="s">
        <v>16</v>
      </c>
      <c r="T126" s="204" t="s">
        <v>16</v>
      </c>
      <c r="U126" s="204" t="s">
        <v>16</v>
      </c>
      <c r="V126" s="204"/>
      <c r="W126" s="22"/>
      <c r="X126" s="204" t="s">
        <v>15</v>
      </c>
      <c r="Y126" s="204"/>
      <c r="Z126" s="204"/>
      <c r="AA126" s="204"/>
      <c r="AB126" s="202" t="str">
        <f t="shared" si="1"/>
        <v/>
      </c>
    </row>
    <row r="127" spans="1:28" s="203" customFormat="1" ht="14.5">
      <c r="A127" s="15">
        <v>42753</v>
      </c>
      <c r="B127" s="204" t="s">
        <v>1363</v>
      </c>
      <c r="C127" s="204" t="s">
        <v>121</v>
      </c>
      <c r="D127" s="206" t="s">
        <v>1381</v>
      </c>
      <c r="E127" s="204"/>
      <c r="F127" s="204">
        <v>7</v>
      </c>
      <c r="G127" s="204">
        <v>1</v>
      </c>
      <c r="H127" s="204" t="s">
        <v>16</v>
      </c>
      <c r="I127" s="204" t="s">
        <v>364</v>
      </c>
      <c r="J127" s="205">
        <v>42109</v>
      </c>
      <c r="K127" s="201" t="str">
        <f>IF(DATEDIF($J127,'Inst summary and ER calculation'!$T$6,"y")=1,"1-2 years","2-3 years")</f>
        <v>1-2 years</v>
      </c>
      <c r="L127" s="204" t="s">
        <v>16</v>
      </c>
      <c r="M127" s="204" t="s">
        <v>16</v>
      </c>
      <c r="N127" s="204">
        <v>21</v>
      </c>
      <c r="O127" s="204">
        <v>90</v>
      </c>
      <c r="P127" s="204" t="s">
        <v>16</v>
      </c>
      <c r="Q127" s="204" t="s">
        <v>16</v>
      </c>
      <c r="R127" s="204" t="s">
        <v>16</v>
      </c>
      <c r="S127" s="204" t="s">
        <v>16</v>
      </c>
      <c r="T127" s="204" t="s">
        <v>16</v>
      </c>
      <c r="U127" s="204" t="s">
        <v>16</v>
      </c>
      <c r="V127" s="204"/>
      <c r="W127" s="22"/>
      <c r="X127" s="204" t="s">
        <v>15</v>
      </c>
      <c r="Y127" s="204"/>
      <c r="Z127" s="204"/>
      <c r="AA127" s="204"/>
      <c r="AB127" s="202" t="str">
        <f t="shared" si="1"/>
        <v/>
      </c>
    </row>
    <row r="128" spans="1:28" s="203" customFormat="1" ht="14.5">
      <c r="A128" s="15">
        <v>42753</v>
      </c>
      <c r="B128" s="204" t="s">
        <v>1127</v>
      </c>
      <c r="C128" s="204" t="s">
        <v>56</v>
      </c>
      <c r="D128" s="12" t="s">
        <v>1128</v>
      </c>
      <c r="E128" s="12"/>
      <c r="F128" s="204">
        <v>3</v>
      </c>
      <c r="G128" s="204">
        <v>0</v>
      </c>
      <c r="H128" s="204" t="s">
        <v>16</v>
      </c>
      <c r="I128" s="204" t="s">
        <v>415</v>
      </c>
      <c r="J128" s="205">
        <v>42136</v>
      </c>
      <c r="K128" s="201" t="str">
        <f>IF(DATEDIF($J128,'Inst summary and ER calculation'!$T$6,"y")=1,"1-2 years","2-3 years")</f>
        <v>1-2 years</v>
      </c>
      <c r="L128" s="204" t="s">
        <v>16</v>
      </c>
      <c r="M128" s="204" t="s">
        <v>16</v>
      </c>
      <c r="N128" s="204">
        <v>14</v>
      </c>
      <c r="O128" s="204">
        <v>60</v>
      </c>
      <c r="P128" s="204" t="s">
        <v>16</v>
      </c>
      <c r="Q128" s="204" t="s">
        <v>16</v>
      </c>
      <c r="R128" s="204" t="s">
        <v>16</v>
      </c>
      <c r="S128" s="204" t="s">
        <v>16</v>
      </c>
      <c r="T128" s="204" t="s">
        <v>16</v>
      </c>
      <c r="U128" s="204" t="s">
        <v>16</v>
      </c>
      <c r="V128" s="204"/>
      <c r="W128" s="22"/>
      <c r="X128" s="204" t="s">
        <v>15</v>
      </c>
      <c r="Y128" s="204"/>
      <c r="Z128" s="204"/>
      <c r="AA128" s="204"/>
      <c r="AB128" s="202" t="str">
        <f t="shared" si="1"/>
        <v/>
      </c>
    </row>
    <row r="129" spans="1:28" s="203" customFormat="1" ht="14.5">
      <c r="A129" s="15">
        <v>42753</v>
      </c>
      <c r="B129" s="204" t="s">
        <v>96</v>
      </c>
      <c r="C129" s="12" t="s">
        <v>1187</v>
      </c>
      <c r="D129" s="206" t="s">
        <v>1188</v>
      </c>
      <c r="E129" s="204"/>
      <c r="F129" s="204">
        <v>6</v>
      </c>
      <c r="G129" s="204">
        <v>1</v>
      </c>
      <c r="H129" s="204" t="s">
        <v>16</v>
      </c>
      <c r="I129" s="204" t="s">
        <v>724</v>
      </c>
      <c r="J129" s="205">
        <v>41988</v>
      </c>
      <c r="K129" s="201" t="str">
        <f>IF(DATEDIF($J129,'Inst summary and ER calculation'!$T$6,"y")=1,"1-2 years","2-3 years")</f>
        <v>2-3 years</v>
      </c>
      <c r="L129" s="204" t="s">
        <v>16</v>
      </c>
      <c r="M129" s="204" t="s">
        <v>16</v>
      </c>
      <c r="N129" s="204">
        <v>21</v>
      </c>
      <c r="O129" s="204">
        <v>90</v>
      </c>
      <c r="P129" s="204" t="s">
        <v>16</v>
      </c>
      <c r="Q129" s="204" t="s">
        <v>16</v>
      </c>
      <c r="R129" s="204" t="s">
        <v>16</v>
      </c>
      <c r="S129" s="204" t="s">
        <v>16</v>
      </c>
      <c r="T129" s="204" t="s">
        <v>16</v>
      </c>
      <c r="U129" s="204" t="s">
        <v>16</v>
      </c>
      <c r="V129" s="204"/>
      <c r="W129" s="22"/>
      <c r="X129" s="204" t="s">
        <v>15</v>
      </c>
      <c r="Y129" s="204"/>
      <c r="Z129" s="204"/>
      <c r="AA129" s="204"/>
      <c r="AB129" s="202" t="str">
        <f t="shared" si="1"/>
        <v/>
      </c>
    </row>
    <row r="130" spans="1:28" s="203" customFormat="1" ht="14.5">
      <c r="A130" s="15">
        <v>42753</v>
      </c>
      <c r="B130" s="204" t="s">
        <v>96</v>
      </c>
      <c r="C130" s="12" t="s">
        <v>1189</v>
      </c>
      <c r="D130" s="206" t="s">
        <v>1190</v>
      </c>
      <c r="E130" s="204"/>
      <c r="F130" s="204">
        <v>3</v>
      </c>
      <c r="G130" s="204">
        <v>2</v>
      </c>
      <c r="H130" s="204" t="s">
        <v>16</v>
      </c>
      <c r="I130" s="204" t="s">
        <v>725</v>
      </c>
      <c r="J130" s="205">
        <v>41988</v>
      </c>
      <c r="K130" s="201" t="str">
        <f>IF(DATEDIF($J130,'Inst summary and ER calculation'!$T$6,"y")=1,"1-2 years","2-3 years")</f>
        <v>2-3 years</v>
      </c>
      <c r="L130" s="204" t="s">
        <v>16</v>
      </c>
      <c r="M130" s="204" t="s">
        <v>16</v>
      </c>
      <c r="N130" s="204">
        <v>14</v>
      </c>
      <c r="O130" s="204">
        <v>60</v>
      </c>
      <c r="P130" s="204" t="s">
        <v>16</v>
      </c>
      <c r="Q130" s="204" t="s">
        <v>16</v>
      </c>
      <c r="R130" s="204" t="s">
        <v>16</v>
      </c>
      <c r="S130" s="204" t="s">
        <v>16</v>
      </c>
      <c r="T130" s="204" t="s">
        <v>16</v>
      </c>
      <c r="U130" s="204" t="s">
        <v>16</v>
      </c>
      <c r="V130" s="204"/>
      <c r="W130" s="22"/>
      <c r="X130" s="204" t="s">
        <v>15</v>
      </c>
      <c r="Y130" s="204"/>
      <c r="Z130" s="204"/>
      <c r="AA130" s="204"/>
      <c r="AB130" s="202" t="str">
        <f t="shared" si="1"/>
        <v/>
      </c>
    </row>
    <row r="131" spans="1:28" s="203" customFormat="1" ht="14.5">
      <c r="A131" s="15">
        <v>42754</v>
      </c>
      <c r="B131" s="204" t="s">
        <v>65</v>
      </c>
      <c r="C131" s="204" t="s">
        <v>45</v>
      </c>
      <c r="D131" s="12" t="s">
        <v>1033</v>
      </c>
      <c r="E131" s="12"/>
      <c r="F131" s="204">
        <v>3</v>
      </c>
      <c r="G131" s="204">
        <v>2</v>
      </c>
      <c r="H131" s="204" t="s">
        <v>16</v>
      </c>
      <c r="I131" s="204" t="s">
        <v>617</v>
      </c>
      <c r="J131" s="205">
        <v>41911</v>
      </c>
      <c r="K131" s="201" t="str">
        <f>IF(DATEDIF($J131,'Inst summary and ER calculation'!$T$6,"y")=1,"1-2 years","2-3 years")</f>
        <v>2-3 years</v>
      </c>
      <c r="L131" s="204" t="s">
        <v>16</v>
      </c>
      <c r="M131" s="204" t="s">
        <v>16</v>
      </c>
      <c r="N131" s="204">
        <v>17</v>
      </c>
      <c r="O131" s="204">
        <v>68</v>
      </c>
      <c r="P131" s="204" t="s">
        <v>16</v>
      </c>
      <c r="Q131" s="204" t="s">
        <v>16</v>
      </c>
      <c r="R131" s="204" t="s">
        <v>16</v>
      </c>
      <c r="S131" s="204" t="s">
        <v>16</v>
      </c>
      <c r="T131" s="204" t="s">
        <v>16</v>
      </c>
      <c r="U131" s="204" t="s">
        <v>16</v>
      </c>
      <c r="V131" s="204"/>
      <c r="W131" s="22"/>
      <c r="X131" s="204" t="s">
        <v>15</v>
      </c>
      <c r="Y131" s="204"/>
      <c r="Z131" s="204"/>
      <c r="AA131" s="204"/>
      <c r="AB131" s="202" t="str">
        <f t="shared" ref="AB131:AB194" si="2">IF(Y131="yes",MAX(Z131/(Z131+N131),AA131/(AA131+O131)),"")</f>
        <v/>
      </c>
    </row>
    <row r="132" spans="1:28" s="203" customFormat="1" ht="14.5">
      <c r="A132" s="15">
        <v>42754</v>
      </c>
      <c r="B132" s="204" t="s">
        <v>1031</v>
      </c>
      <c r="C132" s="204" t="s">
        <v>1048</v>
      </c>
      <c r="D132" s="12" t="s">
        <v>1049</v>
      </c>
      <c r="E132" s="12"/>
      <c r="F132" s="204">
        <v>2</v>
      </c>
      <c r="G132" s="204">
        <v>2</v>
      </c>
      <c r="H132" s="204" t="s">
        <v>16</v>
      </c>
      <c r="I132" s="11" t="s">
        <v>691</v>
      </c>
      <c r="J132" s="212">
        <v>41943</v>
      </c>
      <c r="K132" s="201" t="str">
        <f>IF(DATEDIF($J132,'Inst summary and ER calculation'!$T$6,"y")=1,"1-2 years","2-3 years")</f>
        <v>2-3 years</v>
      </c>
      <c r="L132" s="204" t="s">
        <v>16</v>
      </c>
      <c r="M132" s="204" t="s">
        <v>15</v>
      </c>
      <c r="N132" s="204"/>
      <c r="O132" s="204"/>
      <c r="P132" s="204"/>
      <c r="Q132" s="204"/>
      <c r="R132" s="204"/>
      <c r="S132" s="204"/>
      <c r="T132" s="204"/>
      <c r="U132" s="204"/>
      <c r="V132" s="204"/>
      <c r="W132" s="22"/>
      <c r="X132" s="204"/>
      <c r="Y132" s="204"/>
      <c r="Z132" s="204"/>
      <c r="AA132" s="204"/>
      <c r="AB132" s="202" t="str">
        <f t="shared" si="2"/>
        <v/>
      </c>
    </row>
    <row r="133" spans="1:28" s="203" customFormat="1" ht="14.5">
      <c r="A133" s="15">
        <v>42754</v>
      </c>
      <c r="B133" s="204" t="s">
        <v>451</v>
      </c>
      <c r="C133" s="204" t="s">
        <v>1053</v>
      </c>
      <c r="D133" s="12" t="s">
        <v>1054</v>
      </c>
      <c r="E133" s="12"/>
      <c r="F133" s="204">
        <v>3</v>
      </c>
      <c r="G133" s="204">
        <v>2</v>
      </c>
      <c r="H133" s="204" t="s">
        <v>16</v>
      </c>
      <c r="I133" s="204" t="s">
        <v>706</v>
      </c>
      <c r="J133" s="205">
        <v>41960</v>
      </c>
      <c r="K133" s="201" t="str">
        <f>IF(DATEDIF($J133,'Inst summary and ER calculation'!$T$6,"y")=1,"1-2 years","2-3 years")</f>
        <v>2-3 years</v>
      </c>
      <c r="L133" s="204" t="s">
        <v>16</v>
      </c>
      <c r="M133" s="204" t="s">
        <v>15</v>
      </c>
      <c r="N133" s="204"/>
      <c r="O133" s="204"/>
      <c r="P133" s="204"/>
      <c r="Q133" s="204"/>
      <c r="R133" s="204"/>
      <c r="S133" s="204"/>
      <c r="T133" s="204"/>
      <c r="U133" s="204"/>
      <c r="V133" s="204"/>
      <c r="W133" s="22"/>
      <c r="X133" s="204"/>
      <c r="Y133" s="204"/>
      <c r="Z133" s="204"/>
      <c r="AA133" s="204"/>
      <c r="AB133" s="202" t="str">
        <f t="shared" si="2"/>
        <v/>
      </c>
    </row>
    <row r="134" spans="1:28" s="203" customFormat="1" ht="14.5">
      <c r="A134" s="15">
        <v>42754</v>
      </c>
      <c r="B134" s="204" t="s">
        <v>1084</v>
      </c>
      <c r="C134" s="204" t="s">
        <v>755</v>
      </c>
      <c r="D134" s="12" t="s">
        <v>1085</v>
      </c>
      <c r="E134" s="12"/>
      <c r="F134" s="204">
        <v>5</v>
      </c>
      <c r="G134" s="204">
        <v>0</v>
      </c>
      <c r="H134" s="204" t="s">
        <v>16</v>
      </c>
      <c r="I134" s="11" t="s">
        <v>757</v>
      </c>
      <c r="J134" s="211">
        <v>42053</v>
      </c>
      <c r="K134" s="201" t="str">
        <f>IF(DATEDIF($J134,'Inst summary and ER calculation'!$T$6,"y")=1,"1-2 years","2-3 years")</f>
        <v>2-3 years</v>
      </c>
      <c r="L134" s="204" t="s">
        <v>16</v>
      </c>
      <c r="M134" s="204" t="s">
        <v>16</v>
      </c>
      <c r="N134" s="204">
        <v>18</v>
      </c>
      <c r="O134" s="204">
        <v>78</v>
      </c>
      <c r="P134" s="204" t="s">
        <v>16</v>
      </c>
      <c r="Q134" s="204" t="s">
        <v>16</v>
      </c>
      <c r="R134" s="204" t="s">
        <v>16</v>
      </c>
      <c r="S134" s="204" t="s">
        <v>16</v>
      </c>
      <c r="T134" s="204" t="s">
        <v>16</v>
      </c>
      <c r="U134" s="204" t="s">
        <v>16</v>
      </c>
      <c r="V134" s="204"/>
      <c r="W134" s="22"/>
      <c r="X134" s="204" t="s">
        <v>15</v>
      </c>
      <c r="Y134" s="204"/>
      <c r="Z134" s="204"/>
      <c r="AA134" s="204"/>
      <c r="AB134" s="202" t="str">
        <f t="shared" si="2"/>
        <v/>
      </c>
    </row>
    <row r="135" spans="1:28" s="203" customFormat="1" ht="14.5">
      <c r="A135" s="15">
        <v>42755</v>
      </c>
      <c r="B135" s="204" t="s">
        <v>1318</v>
      </c>
      <c r="C135" s="204" t="s">
        <v>49</v>
      </c>
      <c r="D135" s="206" t="s">
        <v>1419</v>
      </c>
      <c r="E135" s="204"/>
      <c r="F135" s="204">
        <v>3</v>
      </c>
      <c r="G135" s="204">
        <v>2</v>
      </c>
      <c r="H135" s="204" t="s">
        <v>16</v>
      </c>
      <c r="I135" s="204" t="s">
        <v>472</v>
      </c>
      <c r="J135" s="205">
        <v>42169</v>
      </c>
      <c r="K135" s="201" t="str">
        <f>IF(DATEDIF($J135,'Inst summary and ER calculation'!$T$6,"y")=1,"1-2 years","2-3 years")</f>
        <v>1-2 years</v>
      </c>
      <c r="L135" s="204" t="s">
        <v>16</v>
      </c>
      <c r="M135" s="204" t="s">
        <v>16</v>
      </c>
      <c r="N135" s="204">
        <v>18</v>
      </c>
      <c r="O135" s="204">
        <v>80</v>
      </c>
      <c r="P135" s="204" t="s">
        <v>16</v>
      </c>
      <c r="Q135" s="204" t="s">
        <v>16</v>
      </c>
      <c r="R135" s="204" t="s">
        <v>16</v>
      </c>
      <c r="S135" s="204" t="s">
        <v>16</v>
      </c>
      <c r="T135" s="204" t="s">
        <v>16</v>
      </c>
      <c r="U135" s="204" t="s">
        <v>16</v>
      </c>
      <c r="V135" s="204"/>
      <c r="W135" s="22"/>
      <c r="X135" s="204" t="s">
        <v>15</v>
      </c>
      <c r="Y135" s="204"/>
      <c r="Z135" s="204"/>
      <c r="AA135" s="204"/>
      <c r="AB135" s="202" t="str">
        <f t="shared" si="2"/>
        <v/>
      </c>
    </row>
    <row r="136" spans="1:28" s="203" customFormat="1" ht="14.5">
      <c r="A136" s="15">
        <v>42755</v>
      </c>
      <c r="B136" s="204" t="s">
        <v>607</v>
      </c>
      <c r="C136" s="12" t="s">
        <v>1289</v>
      </c>
      <c r="D136" s="206" t="s">
        <v>1290</v>
      </c>
      <c r="E136" s="204"/>
      <c r="F136" s="204">
        <v>3</v>
      </c>
      <c r="G136" s="204">
        <v>2</v>
      </c>
      <c r="H136" s="204" t="s">
        <v>16</v>
      </c>
      <c r="I136" s="204" t="s">
        <v>624</v>
      </c>
      <c r="J136" s="205">
        <v>41917</v>
      </c>
      <c r="K136" s="201" t="str">
        <f>IF(DATEDIF($J136,'Inst summary and ER calculation'!$T$6,"y")=1,"1-2 years","2-3 years")</f>
        <v>2-3 years</v>
      </c>
      <c r="L136" s="204" t="s">
        <v>16</v>
      </c>
      <c r="M136" s="204" t="s">
        <v>16</v>
      </c>
      <c r="N136" s="204">
        <v>20</v>
      </c>
      <c r="O136" s="204">
        <v>85</v>
      </c>
      <c r="P136" s="204" t="s">
        <v>16</v>
      </c>
      <c r="Q136" s="204" t="s">
        <v>16</v>
      </c>
      <c r="R136" s="204" t="s">
        <v>16</v>
      </c>
      <c r="S136" s="204" t="s">
        <v>16</v>
      </c>
      <c r="T136" s="204" t="s">
        <v>16</v>
      </c>
      <c r="U136" s="204" t="s">
        <v>16</v>
      </c>
      <c r="V136" s="204"/>
      <c r="W136" s="22"/>
      <c r="X136" s="204" t="s">
        <v>15</v>
      </c>
      <c r="Y136" s="204"/>
      <c r="Z136" s="204"/>
      <c r="AA136" s="204"/>
      <c r="AB136" s="202" t="str">
        <f t="shared" si="2"/>
        <v/>
      </c>
    </row>
    <row r="137" spans="1:28" s="203" customFormat="1" ht="14.5">
      <c r="A137" s="15">
        <v>42755</v>
      </c>
      <c r="B137" s="204" t="s">
        <v>1185</v>
      </c>
      <c r="C137" s="204" t="s">
        <v>38</v>
      </c>
      <c r="D137" s="206" t="s">
        <v>1186</v>
      </c>
      <c r="E137" s="204"/>
      <c r="F137" s="204">
        <v>3</v>
      </c>
      <c r="G137" s="204">
        <v>1</v>
      </c>
      <c r="H137" s="204" t="s">
        <v>16</v>
      </c>
      <c r="I137" s="204" t="s">
        <v>721</v>
      </c>
      <c r="J137" s="205">
        <v>41987</v>
      </c>
      <c r="K137" s="201" t="str">
        <f>IF(DATEDIF($J137,'Inst summary and ER calculation'!$T$6,"y")=1,"1-2 years","2-3 years")</f>
        <v>2-3 years</v>
      </c>
      <c r="L137" s="204" t="s">
        <v>16</v>
      </c>
      <c r="M137" s="204" t="s">
        <v>16</v>
      </c>
      <c r="N137" s="204">
        <v>14</v>
      </c>
      <c r="O137" s="204">
        <v>60</v>
      </c>
      <c r="P137" s="204" t="s">
        <v>16</v>
      </c>
      <c r="Q137" s="204" t="s">
        <v>16</v>
      </c>
      <c r="R137" s="204" t="s">
        <v>16</v>
      </c>
      <c r="S137" s="204" t="s">
        <v>16</v>
      </c>
      <c r="T137" s="204" t="s">
        <v>16</v>
      </c>
      <c r="U137" s="204" t="s">
        <v>16</v>
      </c>
      <c r="V137" s="204"/>
      <c r="W137" s="22"/>
      <c r="X137" s="204" t="s">
        <v>15</v>
      </c>
      <c r="Y137" s="204"/>
      <c r="Z137" s="204"/>
      <c r="AA137" s="204"/>
      <c r="AB137" s="202" t="str">
        <f t="shared" si="2"/>
        <v/>
      </c>
    </row>
    <row r="138" spans="1:28" s="203" customFormat="1" ht="14.5">
      <c r="A138" s="15">
        <v>42739</v>
      </c>
      <c r="B138" s="208" t="s">
        <v>838</v>
      </c>
      <c r="C138" s="4" t="s">
        <v>81</v>
      </c>
      <c r="D138" s="4" t="s">
        <v>916</v>
      </c>
      <c r="E138" s="4"/>
      <c r="F138" s="4">
        <v>3</v>
      </c>
      <c r="G138" s="4">
        <v>0</v>
      </c>
      <c r="H138" s="4" t="s">
        <v>780</v>
      </c>
      <c r="I138" s="4" t="s">
        <v>727</v>
      </c>
      <c r="J138" s="7">
        <v>41988</v>
      </c>
      <c r="K138" s="201" t="str">
        <f>IF(DATEDIF($J138,'Inst summary and ER calculation'!$T$6,"y")=1,"1-2 years","2-3 years")</f>
        <v>2-3 years</v>
      </c>
      <c r="L138" s="6" t="s">
        <v>780</v>
      </c>
      <c r="M138" s="4" t="s">
        <v>780</v>
      </c>
      <c r="N138" s="4">
        <v>18</v>
      </c>
      <c r="O138" s="4">
        <v>76</v>
      </c>
      <c r="P138" s="4" t="s">
        <v>780</v>
      </c>
      <c r="Q138" s="4" t="s">
        <v>780</v>
      </c>
      <c r="R138" s="4" t="s">
        <v>780</v>
      </c>
      <c r="S138" s="4" t="s">
        <v>780</v>
      </c>
      <c r="T138" s="4" t="s">
        <v>780</v>
      </c>
      <c r="U138" s="4" t="s">
        <v>780</v>
      </c>
      <c r="V138" s="4" t="s">
        <v>15</v>
      </c>
      <c r="W138" s="4"/>
      <c r="X138" s="4" t="s">
        <v>15</v>
      </c>
      <c r="Y138" s="4"/>
      <c r="Z138" s="4"/>
      <c r="AA138" s="4"/>
      <c r="AB138" s="202" t="str">
        <f t="shared" si="2"/>
        <v/>
      </c>
    </row>
    <row r="139" spans="1:28" s="203" customFormat="1" ht="14.5">
      <c r="A139" s="15">
        <v>42742</v>
      </c>
      <c r="B139" s="208" t="s">
        <v>41</v>
      </c>
      <c r="C139" s="208" t="s">
        <v>418</v>
      </c>
      <c r="D139" s="209" t="s">
        <v>901</v>
      </c>
      <c r="E139" s="209"/>
      <c r="F139" s="4">
        <v>6</v>
      </c>
      <c r="G139" s="4">
        <v>1</v>
      </c>
      <c r="H139" s="4" t="s">
        <v>780</v>
      </c>
      <c r="I139" s="4" t="s">
        <v>417</v>
      </c>
      <c r="J139" s="7">
        <v>42137</v>
      </c>
      <c r="K139" s="201" t="str">
        <f>IF(DATEDIF($J139,'Inst summary and ER calculation'!$T$6,"y")=1,"1-2 years","2-3 years")</f>
        <v>1-2 years</v>
      </c>
      <c r="L139" s="6" t="s">
        <v>780</v>
      </c>
      <c r="M139" s="4" t="s">
        <v>780</v>
      </c>
      <c r="N139" s="4">
        <v>14</v>
      </c>
      <c r="O139" s="4">
        <v>60</v>
      </c>
      <c r="P139" s="4" t="s">
        <v>780</v>
      </c>
      <c r="Q139" s="4" t="s">
        <v>780</v>
      </c>
      <c r="R139" s="4" t="s">
        <v>780</v>
      </c>
      <c r="S139" s="4" t="s">
        <v>780</v>
      </c>
      <c r="T139" s="4" t="s">
        <v>780</v>
      </c>
      <c r="U139" s="4" t="s">
        <v>780</v>
      </c>
      <c r="V139" s="4" t="s">
        <v>15</v>
      </c>
      <c r="W139" s="4"/>
      <c r="X139" s="4" t="s">
        <v>15</v>
      </c>
      <c r="Y139" s="4"/>
      <c r="Z139" s="4"/>
      <c r="AA139" s="4"/>
      <c r="AB139" s="202" t="str">
        <f t="shared" si="2"/>
        <v/>
      </c>
    </row>
    <row r="140" spans="1:28" s="203" customFormat="1" ht="14.5">
      <c r="A140" s="15">
        <v>42752</v>
      </c>
      <c r="B140" s="4" t="s">
        <v>920</v>
      </c>
      <c r="C140" s="4" t="s">
        <v>175</v>
      </c>
      <c r="D140" s="4" t="s">
        <v>921</v>
      </c>
      <c r="E140" s="4"/>
      <c r="F140" s="4">
        <v>2</v>
      </c>
      <c r="G140" s="4">
        <v>1</v>
      </c>
      <c r="H140" s="4" t="s">
        <v>780</v>
      </c>
      <c r="I140" s="4" t="s">
        <v>239</v>
      </c>
      <c r="J140" s="7">
        <v>42011</v>
      </c>
      <c r="K140" s="201" t="str">
        <f>IF(DATEDIF($J140,'Inst summary and ER calculation'!$T$6,"y")=1,"1-2 years","2-3 years")</f>
        <v>2-3 years</v>
      </c>
      <c r="L140" s="6" t="s">
        <v>780</v>
      </c>
      <c r="M140" s="4" t="s">
        <v>780</v>
      </c>
      <c r="N140" s="4">
        <v>21</v>
      </c>
      <c r="O140" s="4">
        <v>90</v>
      </c>
      <c r="P140" s="4" t="s">
        <v>780</v>
      </c>
      <c r="Q140" s="4" t="s">
        <v>780</v>
      </c>
      <c r="R140" s="4" t="s">
        <v>780</v>
      </c>
      <c r="S140" s="4" t="s">
        <v>780</v>
      </c>
      <c r="T140" s="4" t="s">
        <v>780</v>
      </c>
      <c r="U140" s="4" t="s">
        <v>780</v>
      </c>
      <c r="V140" s="4" t="s">
        <v>15</v>
      </c>
      <c r="W140" s="4"/>
      <c r="X140" s="4" t="s">
        <v>15</v>
      </c>
      <c r="Y140" s="4"/>
      <c r="Z140" s="4"/>
      <c r="AA140" s="4"/>
      <c r="AB140" s="202" t="str">
        <f t="shared" si="2"/>
        <v/>
      </c>
    </row>
    <row r="141" spans="1:28" s="203" customFormat="1" ht="14.5">
      <c r="A141" s="15">
        <v>42742</v>
      </c>
      <c r="B141" s="4" t="s">
        <v>955</v>
      </c>
      <c r="C141" s="4" t="s">
        <v>209</v>
      </c>
      <c r="D141" s="4" t="s">
        <v>960</v>
      </c>
      <c r="E141" s="4"/>
      <c r="F141" s="4">
        <v>3</v>
      </c>
      <c r="G141" s="4">
        <v>0</v>
      </c>
      <c r="H141" s="4" t="s">
        <v>780</v>
      </c>
      <c r="I141" s="4" t="s">
        <v>437</v>
      </c>
      <c r="J141" s="7">
        <v>42142</v>
      </c>
      <c r="K141" s="201" t="str">
        <f>IF(DATEDIF($J141,'Inst summary and ER calculation'!$T$6,"y")=1,"1-2 years","2-3 years")</f>
        <v>1-2 years</v>
      </c>
      <c r="L141" s="6" t="s">
        <v>780</v>
      </c>
      <c r="M141" s="4" t="s">
        <v>780</v>
      </c>
      <c r="N141" s="4">
        <v>18</v>
      </c>
      <c r="O141" s="4">
        <v>74</v>
      </c>
      <c r="P141" s="4" t="s">
        <v>780</v>
      </c>
      <c r="Q141" s="4" t="s">
        <v>780</v>
      </c>
      <c r="R141" s="4" t="s">
        <v>780</v>
      </c>
      <c r="S141" s="4" t="s">
        <v>780</v>
      </c>
      <c r="T141" s="4" t="s">
        <v>780</v>
      </c>
      <c r="U141" s="4" t="s">
        <v>780</v>
      </c>
      <c r="V141" s="4" t="s">
        <v>15</v>
      </c>
      <c r="W141" s="4"/>
      <c r="X141" s="4" t="s">
        <v>15</v>
      </c>
      <c r="Y141" s="4"/>
      <c r="Z141" s="4"/>
      <c r="AA141" s="4"/>
      <c r="AB141" s="202" t="str">
        <f t="shared" si="2"/>
        <v/>
      </c>
    </row>
    <row r="142" spans="1:28" s="203" customFormat="1" ht="14.5">
      <c r="A142" s="15">
        <v>42751</v>
      </c>
      <c r="B142" s="4" t="s">
        <v>981</v>
      </c>
      <c r="C142" s="4" t="s">
        <v>670</v>
      </c>
      <c r="D142" s="4" t="s">
        <v>991</v>
      </c>
      <c r="E142" s="4"/>
      <c r="F142" s="4">
        <v>2</v>
      </c>
      <c r="G142" s="4">
        <v>2</v>
      </c>
      <c r="H142" s="4" t="s">
        <v>780</v>
      </c>
      <c r="I142" s="4" t="s">
        <v>669</v>
      </c>
      <c r="J142" s="7">
        <v>41936</v>
      </c>
      <c r="K142" s="201" t="str">
        <f>IF(DATEDIF($J142,'Inst summary and ER calculation'!$T$6,"y")=1,"1-2 years","2-3 years")</f>
        <v>2-3 years</v>
      </c>
      <c r="L142" s="6" t="s">
        <v>780</v>
      </c>
      <c r="M142" s="4" t="s">
        <v>780</v>
      </c>
      <c r="N142" s="4">
        <v>14</v>
      </c>
      <c r="O142" s="4">
        <v>68</v>
      </c>
      <c r="P142" s="4" t="s">
        <v>780</v>
      </c>
      <c r="Q142" s="4" t="s">
        <v>780</v>
      </c>
      <c r="R142" s="4" t="s">
        <v>780</v>
      </c>
      <c r="S142" s="4" t="s">
        <v>780</v>
      </c>
      <c r="T142" s="4" t="s">
        <v>780</v>
      </c>
      <c r="U142" s="4" t="s">
        <v>780</v>
      </c>
      <c r="V142" s="4" t="s">
        <v>15</v>
      </c>
      <c r="W142" s="4"/>
      <c r="X142" s="4" t="s">
        <v>15</v>
      </c>
      <c r="Y142" s="4"/>
      <c r="Z142" s="4"/>
      <c r="AA142" s="4"/>
      <c r="AB142" s="202" t="str">
        <f t="shared" si="2"/>
        <v/>
      </c>
    </row>
    <row r="143" spans="1:28" s="203" customFormat="1" ht="14.5">
      <c r="A143" s="15">
        <v>42752</v>
      </c>
      <c r="B143" s="4" t="s">
        <v>180</v>
      </c>
      <c r="C143" s="4" t="s">
        <v>196</v>
      </c>
      <c r="D143" s="4" t="s">
        <v>945</v>
      </c>
      <c r="E143" s="4"/>
      <c r="F143" s="4">
        <v>2</v>
      </c>
      <c r="G143" s="4">
        <v>2</v>
      </c>
      <c r="H143" s="4" t="s">
        <v>780</v>
      </c>
      <c r="I143" s="4" t="s">
        <v>634</v>
      </c>
      <c r="J143" s="7">
        <v>41924</v>
      </c>
      <c r="K143" s="201" t="str">
        <f>IF(DATEDIF($J143,'Inst summary and ER calculation'!$T$6,"y")=1,"1-2 years","2-3 years")</f>
        <v>2-3 years</v>
      </c>
      <c r="L143" s="6" t="s">
        <v>780</v>
      </c>
      <c r="M143" s="4" t="s">
        <v>780</v>
      </c>
      <c r="N143" s="4">
        <v>21</v>
      </c>
      <c r="O143" s="4">
        <v>88</v>
      </c>
      <c r="P143" s="4" t="s">
        <v>780</v>
      </c>
      <c r="Q143" s="4" t="s">
        <v>780</v>
      </c>
      <c r="R143" s="4" t="s">
        <v>780</v>
      </c>
      <c r="S143" s="4" t="s">
        <v>780</v>
      </c>
      <c r="T143" s="4" t="s">
        <v>780</v>
      </c>
      <c r="U143" s="4" t="s">
        <v>780</v>
      </c>
      <c r="V143" s="4" t="s">
        <v>15</v>
      </c>
      <c r="W143" s="4"/>
      <c r="X143" s="4" t="s">
        <v>15</v>
      </c>
      <c r="Y143" s="4"/>
      <c r="Z143" s="4"/>
      <c r="AA143" s="4"/>
      <c r="AB143" s="202" t="str">
        <f t="shared" si="2"/>
        <v/>
      </c>
    </row>
    <row r="144" spans="1:28" s="203" customFormat="1" ht="14.5">
      <c r="A144" s="15">
        <v>42739</v>
      </c>
      <c r="B144" s="4" t="s">
        <v>917</v>
      </c>
      <c r="C144" s="4" t="s">
        <v>521</v>
      </c>
      <c r="D144" s="4" t="s">
        <v>957</v>
      </c>
      <c r="E144" s="4"/>
      <c r="F144" s="4">
        <v>3</v>
      </c>
      <c r="G144" s="4">
        <v>2</v>
      </c>
      <c r="H144" s="4" t="s">
        <v>780</v>
      </c>
      <c r="I144" s="4" t="s">
        <v>520</v>
      </c>
      <c r="J144" s="7">
        <v>42184</v>
      </c>
      <c r="K144" s="201" t="str">
        <f>IF(DATEDIF($J144,'Inst summary and ER calculation'!$T$6,"y")=1,"1-2 years","2-3 years")</f>
        <v>1-2 years</v>
      </c>
      <c r="L144" s="6" t="s">
        <v>780</v>
      </c>
      <c r="M144" s="4" t="s">
        <v>780</v>
      </c>
      <c r="N144" s="4">
        <v>18</v>
      </c>
      <c r="O144" s="4">
        <v>76</v>
      </c>
      <c r="P144" s="4" t="s">
        <v>780</v>
      </c>
      <c r="Q144" s="4" t="s">
        <v>780</v>
      </c>
      <c r="R144" s="4" t="s">
        <v>780</v>
      </c>
      <c r="S144" s="4" t="s">
        <v>780</v>
      </c>
      <c r="T144" s="4" t="s">
        <v>780</v>
      </c>
      <c r="U144" s="4" t="s">
        <v>780</v>
      </c>
      <c r="V144" s="4" t="s">
        <v>15</v>
      </c>
      <c r="W144" s="4"/>
      <c r="X144" s="4" t="s">
        <v>15</v>
      </c>
      <c r="Y144" s="4"/>
      <c r="Z144" s="4"/>
      <c r="AA144" s="4"/>
      <c r="AB144" s="202" t="str">
        <f t="shared" si="2"/>
        <v/>
      </c>
    </row>
    <row r="145" spans="1:28" s="203" customFormat="1" ht="14.5">
      <c r="A145" s="15">
        <v>42750</v>
      </c>
      <c r="B145" s="4" t="s">
        <v>967</v>
      </c>
      <c r="C145" s="4" t="s">
        <v>510</v>
      </c>
      <c r="D145" s="4" t="s">
        <v>976</v>
      </c>
      <c r="E145" s="4"/>
      <c r="F145" s="4">
        <v>2</v>
      </c>
      <c r="G145" s="4">
        <v>2</v>
      </c>
      <c r="H145" s="4" t="s">
        <v>780</v>
      </c>
      <c r="I145" s="4" t="s">
        <v>509</v>
      </c>
      <c r="J145" s="7">
        <v>42184</v>
      </c>
      <c r="K145" s="201" t="str">
        <f>IF(DATEDIF($J145,'Inst summary and ER calculation'!$T$6,"y")=1,"1-2 years","2-3 years")</f>
        <v>1-2 years</v>
      </c>
      <c r="L145" s="6" t="s">
        <v>780</v>
      </c>
      <c r="M145" s="4" t="s">
        <v>780</v>
      </c>
      <c r="N145" s="4">
        <v>19</v>
      </c>
      <c r="O145" s="4">
        <v>80</v>
      </c>
      <c r="P145" s="4" t="s">
        <v>780</v>
      </c>
      <c r="Q145" s="4" t="s">
        <v>780</v>
      </c>
      <c r="R145" s="4" t="s">
        <v>780</v>
      </c>
      <c r="S145" s="4" t="s">
        <v>780</v>
      </c>
      <c r="T145" s="4" t="s">
        <v>780</v>
      </c>
      <c r="U145" s="4" t="s">
        <v>780</v>
      </c>
      <c r="V145" s="4" t="s">
        <v>15</v>
      </c>
      <c r="W145" s="4"/>
      <c r="X145" s="4" t="s">
        <v>15</v>
      </c>
      <c r="Y145" s="4"/>
      <c r="Z145" s="4"/>
      <c r="AA145" s="4"/>
      <c r="AB145" s="202" t="str">
        <f t="shared" si="2"/>
        <v/>
      </c>
    </row>
    <row r="146" spans="1:28" s="203" customFormat="1" ht="14.5">
      <c r="A146" s="15">
        <v>42755</v>
      </c>
      <c r="B146" s="8" t="s">
        <v>41</v>
      </c>
      <c r="C146" s="8" t="s">
        <v>564</v>
      </c>
      <c r="D146" s="9" t="s">
        <v>985</v>
      </c>
      <c r="E146" s="9"/>
      <c r="F146" s="4">
        <v>3</v>
      </c>
      <c r="G146" s="4">
        <v>2</v>
      </c>
      <c r="H146" s="4" t="s">
        <v>780</v>
      </c>
      <c r="I146" s="4" t="s">
        <v>563</v>
      </c>
      <c r="J146" s="7">
        <v>41774</v>
      </c>
      <c r="K146" s="201" t="str">
        <f>IF(DATEDIF($J146,'Inst summary and ER calculation'!$T$6,"y")=1,"1-2 years","2-3 years")</f>
        <v>2-3 years</v>
      </c>
      <c r="L146" s="6" t="s">
        <v>780</v>
      </c>
      <c r="M146" s="4" t="s">
        <v>780</v>
      </c>
      <c r="N146" s="4">
        <v>21</v>
      </c>
      <c r="O146" s="4">
        <v>90</v>
      </c>
      <c r="P146" s="4" t="s">
        <v>780</v>
      </c>
      <c r="Q146" s="4" t="s">
        <v>780</v>
      </c>
      <c r="R146" s="4" t="s">
        <v>780</v>
      </c>
      <c r="S146" s="4" t="s">
        <v>780</v>
      </c>
      <c r="T146" s="4" t="s">
        <v>780</v>
      </c>
      <c r="U146" s="4" t="s">
        <v>780</v>
      </c>
      <c r="V146" s="4" t="s">
        <v>15</v>
      </c>
      <c r="W146" s="4"/>
      <c r="X146" s="4" t="s">
        <v>15</v>
      </c>
      <c r="Y146" s="4"/>
      <c r="Z146" s="4"/>
      <c r="AA146" s="4"/>
      <c r="AB146" s="202" t="str">
        <f t="shared" si="2"/>
        <v/>
      </c>
    </row>
    <row r="147" spans="1:28" s="203" customFormat="1" ht="14.5">
      <c r="A147" s="15">
        <v>42738</v>
      </c>
      <c r="B147" s="4" t="s">
        <v>534</v>
      </c>
      <c r="C147" s="4" t="s">
        <v>218</v>
      </c>
      <c r="D147" s="4" t="s">
        <v>987</v>
      </c>
      <c r="E147" s="4"/>
      <c r="F147" s="4">
        <v>2</v>
      </c>
      <c r="G147" s="4">
        <v>3</v>
      </c>
      <c r="H147" s="4" t="s">
        <v>780</v>
      </c>
      <c r="I147" s="4" t="s">
        <v>319</v>
      </c>
      <c r="J147" s="7">
        <v>42081</v>
      </c>
      <c r="K147" s="201" t="str">
        <f>IF(DATEDIF($J147,'Inst summary and ER calculation'!$T$6,"y")=1,"1-2 years","2-3 years")</f>
        <v>1-2 years</v>
      </c>
      <c r="L147" s="6" t="s">
        <v>780</v>
      </c>
      <c r="M147" s="4" t="s">
        <v>780</v>
      </c>
      <c r="N147" s="4">
        <v>18</v>
      </c>
      <c r="O147" s="4">
        <v>76</v>
      </c>
      <c r="P147" s="4" t="s">
        <v>780</v>
      </c>
      <c r="Q147" s="4" t="s">
        <v>780</v>
      </c>
      <c r="R147" s="4" t="s">
        <v>780</v>
      </c>
      <c r="S147" s="4" t="s">
        <v>780</v>
      </c>
      <c r="T147" s="4" t="s">
        <v>780</v>
      </c>
      <c r="U147" s="4" t="s">
        <v>780</v>
      </c>
      <c r="V147" s="4" t="s">
        <v>15</v>
      </c>
      <c r="W147" s="4"/>
      <c r="X147" s="4" t="s">
        <v>15</v>
      </c>
      <c r="Y147" s="4"/>
      <c r="Z147" s="4"/>
      <c r="AA147" s="4"/>
      <c r="AB147" s="202" t="str">
        <f t="shared" si="2"/>
        <v/>
      </c>
    </row>
    <row r="148" spans="1:28" s="203" customFormat="1" ht="14.5">
      <c r="A148" s="15">
        <v>42746</v>
      </c>
      <c r="B148" s="209" t="s">
        <v>917</v>
      </c>
      <c r="C148" s="208" t="s">
        <v>200</v>
      </c>
      <c r="D148" s="208" t="s">
        <v>918</v>
      </c>
      <c r="E148" s="208"/>
      <c r="F148" s="4">
        <v>4</v>
      </c>
      <c r="G148" s="4">
        <v>1</v>
      </c>
      <c r="H148" s="4" t="s">
        <v>780</v>
      </c>
      <c r="I148" s="4" t="s">
        <v>282</v>
      </c>
      <c r="J148" s="7">
        <v>42054</v>
      </c>
      <c r="K148" s="201" t="str">
        <f>IF(DATEDIF($J148,'Inst summary and ER calculation'!$T$6,"y")=1,"1-2 years","2-3 years")</f>
        <v>2-3 years</v>
      </c>
      <c r="L148" s="6" t="s">
        <v>780</v>
      </c>
      <c r="M148" s="4" t="s">
        <v>780</v>
      </c>
      <c r="N148" s="4">
        <v>19</v>
      </c>
      <c r="O148" s="4">
        <v>86</v>
      </c>
      <c r="P148" s="4" t="s">
        <v>780</v>
      </c>
      <c r="Q148" s="4" t="s">
        <v>780</v>
      </c>
      <c r="R148" s="4" t="s">
        <v>780</v>
      </c>
      <c r="S148" s="4" t="s">
        <v>780</v>
      </c>
      <c r="T148" s="4" t="s">
        <v>780</v>
      </c>
      <c r="U148" s="4" t="s">
        <v>780</v>
      </c>
      <c r="V148" s="4" t="s">
        <v>15</v>
      </c>
      <c r="W148" s="4"/>
      <c r="X148" s="4" t="s">
        <v>15</v>
      </c>
      <c r="Y148" s="4"/>
      <c r="Z148" s="4"/>
      <c r="AA148" s="4"/>
      <c r="AB148" s="202" t="str">
        <f t="shared" si="2"/>
        <v/>
      </c>
    </row>
    <row r="149" spans="1:28" s="203" customFormat="1" ht="14.5">
      <c r="A149" s="15">
        <v>42754</v>
      </c>
      <c r="B149" s="208" t="s">
        <v>43</v>
      </c>
      <c r="C149" s="4" t="s">
        <v>174</v>
      </c>
      <c r="D149" s="4" t="s">
        <v>964</v>
      </c>
      <c r="E149" s="4"/>
      <c r="F149" s="4">
        <v>4</v>
      </c>
      <c r="G149" s="4">
        <v>1</v>
      </c>
      <c r="H149" s="4" t="s">
        <v>780</v>
      </c>
      <c r="I149" s="4" t="s">
        <v>269</v>
      </c>
      <c r="J149" s="7">
        <v>42035</v>
      </c>
      <c r="K149" s="201" t="str">
        <f>IF(DATEDIF($J149,'Inst summary and ER calculation'!$T$6,"y")=1,"1-2 years","2-3 years")</f>
        <v>2-3 years</v>
      </c>
      <c r="L149" s="6" t="s">
        <v>780</v>
      </c>
      <c r="M149" s="4" t="s">
        <v>780</v>
      </c>
      <c r="N149" s="4">
        <v>21</v>
      </c>
      <c r="O149" s="4">
        <v>88</v>
      </c>
      <c r="P149" s="4" t="s">
        <v>780</v>
      </c>
      <c r="Q149" s="4" t="s">
        <v>780</v>
      </c>
      <c r="R149" s="4" t="s">
        <v>780</v>
      </c>
      <c r="S149" s="4" t="s">
        <v>780</v>
      </c>
      <c r="T149" s="4" t="s">
        <v>780</v>
      </c>
      <c r="U149" s="4" t="s">
        <v>780</v>
      </c>
      <c r="V149" s="4" t="s">
        <v>15</v>
      </c>
      <c r="W149" s="4"/>
      <c r="X149" s="4" t="s">
        <v>15</v>
      </c>
      <c r="Y149" s="4"/>
      <c r="Z149" s="4"/>
      <c r="AA149" s="4"/>
      <c r="AB149" s="202" t="str">
        <f t="shared" si="2"/>
        <v/>
      </c>
    </row>
    <row r="150" spans="1:28" s="203" customFormat="1" ht="14.5">
      <c r="A150" s="15">
        <v>42752</v>
      </c>
      <c r="B150" s="4" t="s">
        <v>967</v>
      </c>
      <c r="C150" s="4" t="s">
        <v>453</v>
      </c>
      <c r="D150" s="4" t="s">
        <v>968</v>
      </c>
      <c r="E150" s="4"/>
      <c r="F150" s="4">
        <v>3</v>
      </c>
      <c r="G150" s="4">
        <v>2</v>
      </c>
      <c r="H150" s="4" t="s">
        <v>780</v>
      </c>
      <c r="I150" s="4" t="s">
        <v>525</v>
      </c>
      <c r="J150" s="7">
        <v>42184</v>
      </c>
      <c r="K150" s="201" t="str">
        <f>IF(DATEDIF($J150,'Inst summary and ER calculation'!$T$6,"y")=1,"1-2 years","2-3 years")</f>
        <v>1-2 years</v>
      </c>
      <c r="L150" s="6" t="s">
        <v>780</v>
      </c>
      <c r="M150" s="4" t="s">
        <v>780</v>
      </c>
      <c r="N150" s="4">
        <v>19</v>
      </c>
      <c r="O150" s="4">
        <v>80</v>
      </c>
      <c r="P150" s="4" t="s">
        <v>780</v>
      </c>
      <c r="Q150" s="4" t="s">
        <v>780</v>
      </c>
      <c r="R150" s="4" t="s">
        <v>780</v>
      </c>
      <c r="S150" s="4" t="s">
        <v>780</v>
      </c>
      <c r="T150" s="4" t="s">
        <v>780</v>
      </c>
      <c r="U150" s="4" t="s">
        <v>780</v>
      </c>
      <c r="V150" s="4" t="s">
        <v>15</v>
      </c>
      <c r="W150" s="4"/>
      <c r="X150" s="4" t="s">
        <v>15</v>
      </c>
      <c r="Y150" s="4"/>
      <c r="Z150" s="4"/>
      <c r="AA150" s="4"/>
      <c r="AB150" s="202" t="str">
        <f t="shared" si="2"/>
        <v/>
      </c>
    </row>
    <row r="151" spans="1:28" s="203" customFormat="1" ht="14.5">
      <c r="A151" s="15">
        <v>42739</v>
      </c>
      <c r="B151" s="4" t="s">
        <v>917</v>
      </c>
      <c r="C151" s="4" t="s">
        <v>524</v>
      </c>
      <c r="D151" s="4" t="s">
        <v>939</v>
      </c>
      <c r="E151" s="4"/>
      <c r="F151" s="4">
        <v>3</v>
      </c>
      <c r="G151" s="4">
        <v>1</v>
      </c>
      <c r="H151" s="4" t="s">
        <v>780</v>
      </c>
      <c r="I151" s="4" t="s">
        <v>523</v>
      </c>
      <c r="J151" s="7">
        <v>42184</v>
      </c>
      <c r="K151" s="201" t="str">
        <f>IF(DATEDIF($J151,'Inst summary and ER calculation'!$T$6,"y")=1,"1-2 years","2-3 years")</f>
        <v>1-2 years</v>
      </c>
      <c r="L151" s="6" t="s">
        <v>780</v>
      </c>
      <c r="M151" s="4" t="s">
        <v>780</v>
      </c>
      <c r="N151" s="4">
        <v>21</v>
      </c>
      <c r="O151" s="4">
        <v>88</v>
      </c>
      <c r="P151" s="4" t="s">
        <v>780</v>
      </c>
      <c r="Q151" s="4" t="s">
        <v>780</v>
      </c>
      <c r="R151" s="4" t="s">
        <v>780</v>
      </c>
      <c r="S151" s="4" t="s">
        <v>780</v>
      </c>
      <c r="T151" s="4" t="s">
        <v>780</v>
      </c>
      <c r="U151" s="4" t="s">
        <v>780</v>
      </c>
      <c r="V151" s="4" t="s">
        <v>15</v>
      </c>
      <c r="W151" s="4"/>
      <c r="X151" s="4" t="s">
        <v>15</v>
      </c>
      <c r="Y151" s="4"/>
      <c r="Z151" s="4"/>
      <c r="AA151" s="4"/>
      <c r="AB151" s="202" t="str">
        <f t="shared" si="2"/>
        <v/>
      </c>
    </row>
    <row r="152" spans="1:28" s="203" customFormat="1" ht="14.5">
      <c r="A152" s="15">
        <v>42741</v>
      </c>
      <c r="B152" s="4" t="s">
        <v>965</v>
      </c>
      <c r="C152" s="4" t="s">
        <v>250</v>
      </c>
      <c r="D152" s="4" t="s">
        <v>966</v>
      </c>
      <c r="E152" s="4"/>
      <c r="F152" s="4">
        <v>2</v>
      </c>
      <c r="G152" s="4">
        <v>2</v>
      </c>
      <c r="H152" s="4" t="s">
        <v>780</v>
      </c>
      <c r="I152" s="4" t="s">
        <v>249</v>
      </c>
      <c r="J152" s="7">
        <v>42019</v>
      </c>
      <c r="K152" s="201" t="str">
        <f>IF(DATEDIF($J152,'Inst summary and ER calculation'!$T$6,"y")=1,"1-2 years","2-3 years")</f>
        <v>2-3 years</v>
      </c>
      <c r="L152" s="6" t="s">
        <v>780</v>
      </c>
      <c r="M152" s="4" t="s">
        <v>780</v>
      </c>
      <c r="N152" s="4">
        <v>14</v>
      </c>
      <c r="O152" s="4">
        <v>60</v>
      </c>
      <c r="P152" s="4" t="s">
        <v>780</v>
      </c>
      <c r="Q152" s="4" t="s">
        <v>780</v>
      </c>
      <c r="R152" s="4" t="s">
        <v>780</v>
      </c>
      <c r="S152" s="4" t="s">
        <v>780</v>
      </c>
      <c r="T152" s="4" t="s">
        <v>780</v>
      </c>
      <c r="U152" s="4" t="s">
        <v>780</v>
      </c>
      <c r="V152" s="4" t="s">
        <v>15</v>
      </c>
      <c r="W152" s="4"/>
      <c r="X152" s="4" t="s">
        <v>15</v>
      </c>
      <c r="Y152" s="4"/>
      <c r="Z152" s="4"/>
      <c r="AA152" s="4"/>
      <c r="AB152" s="202" t="str">
        <f t="shared" si="2"/>
        <v/>
      </c>
    </row>
    <row r="153" spans="1:28" s="203" customFormat="1" ht="14.5">
      <c r="A153" s="15">
        <v>42739</v>
      </c>
      <c r="B153" s="4" t="s">
        <v>840</v>
      </c>
      <c r="C153" s="4" t="s">
        <v>227</v>
      </c>
      <c r="D153" s="4" t="s">
        <v>958</v>
      </c>
      <c r="E153" s="4"/>
      <c r="F153" s="4">
        <v>3</v>
      </c>
      <c r="G153" s="4">
        <v>2</v>
      </c>
      <c r="H153" s="4" t="s">
        <v>780</v>
      </c>
      <c r="I153" s="4" t="s">
        <v>506</v>
      </c>
      <c r="J153" s="7">
        <v>42184</v>
      </c>
      <c r="K153" s="201" t="str">
        <f>IF(DATEDIF($J153,'Inst summary and ER calculation'!$T$6,"y")=1,"1-2 years","2-3 years")</f>
        <v>1-2 years</v>
      </c>
      <c r="L153" s="6" t="s">
        <v>780</v>
      </c>
      <c r="M153" s="4" t="s">
        <v>780</v>
      </c>
      <c r="N153" s="4">
        <v>20</v>
      </c>
      <c r="O153" s="4">
        <v>84</v>
      </c>
      <c r="P153" s="4" t="s">
        <v>780</v>
      </c>
      <c r="Q153" s="4" t="s">
        <v>780</v>
      </c>
      <c r="R153" s="4" t="s">
        <v>780</v>
      </c>
      <c r="S153" s="4" t="s">
        <v>780</v>
      </c>
      <c r="T153" s="4" t="s">
        <v>780</v>
      </c>
      <c r="U153" s="4" t="s">
        <v>780</v>
      </c>
      <c r="V153" s="4" t="s">
        <v>15</v>
      </c>
      <c r="W153" s="4"/>
      <c r="X153" s="4" t="s">
        <v>15</v>
      </c>
      <c r="Y153" s="4"/>
      <c r="Z153" s="4"/>
      <c r="AA153" s="4"/>
      <c r="AB153" s="202" t="str">
        <f t="shared" si="2"/>
        <v/>
      </c>
    </row>
    <row r="154" spans="1:28" s="203" customFormat="1" ht="14.5">
      <c r="A154" s="15">
        <v>42739</v>
      </c>
      <c r="B154" s="8" t="s">
        <v>942</v>
      </c>
      <c r="C154" s="209" t="s">
        <v>683</v>
      </c>
      <c r="D154" s="208" t="s">
        <v>946</v>
      </c>
      <c r="E154" s="208"/>
      <c r="F154" s="4">
        <v>3</v>
      </c>
      <c r="G154" s="4">
        <v>3</v>
      </c>
      <c r="H154" s="4" t="s">
        <v>780</v>
      </c>
      <c r="I154" s="4" t="s">
        <v>682</v>
      </c>
      <c r="J154" s="7">
        <v>41940</v>
      </c>
      <c r="K154" s="201" t="str">
        <f>IF(DATEDIF($J154,'Inst summary and ER calculation'!$T$6,"y")=1,"1-2 years","2-3 years")</f>
        <v>2-3 years</v>
      </c>
      <c r="L154" s="6" t="s">
        <v>780</v>
      </c>
      <c r="M154" s="4" t="s">
        <v>780</v>
      </c>
      <c r="N154" s="4">
        <v>21</v>
      </c>
      <c r="O154" s="4">
        <v>90</v>
      </c>
      <c r="P154" s="4" t="s">
        <v>780</v>
      </c>
      <c r="Q154" s="4" t="s">
        <v>780</v>
      </c>
      <c r="R154" s="4" t="s">
        <v>780</v>
      </c>
      <c r="S154" s="4" t="s">
        <v>780</v>
      </c>
      <c r="T154" s="4" t="s">
        <v>780</v>
      </c>
      <c r="U154" s="4" t="s">
        <v>780</v>
      </c>
      <c r="V154" s="4" t="s">
        <v>15</v>
      </c>
      <c r="W154" s="4"/>
      <c r="X154" s="4" t="s">
        <v>15</v>
      </c>
      <c r="Y154" s="4"/>
      <c r="Z154" s="4"/>
      <c r="AA154" s="4"/>
      <c r="AB154" s="202" t="str">
        <f t="shared" si="2"/>
        <v/>
      </c>
    </row>
    <row r="155" spans="1:28" s="203" customFormat="1" ht="14.5">
      <c r="A155" s="15">
        <v>42750</v>
      </c>
      <c r="B155" s="4" t="s">
        <v>823</v>
      </c>
      <c r="C155" s="4" t="s">
        <v>220</v>
      </c>
      <c r="D155" s="4" t="s">
        <v>997</v>
      </c>
      <c r="E155" s="4"/>
      <c r="F155" s="4">
        <v>2</v>
      </c>
      <c r="G155" s="4">
        <v>2</v>
      </c>
      <c r="H155" s="4" t="s">
        <v>780</v>
      </c>
      <c r="I155" s="4" t="s">
        <v>338</v>
      </c>
      <c r="J155" s="7">
        <v>42092</v>
      </c>
      <c r="K155" s="201" t="str">
        <f>IF(DATEDIF($J155,'Inst summary and ER calculation'!$T$6,"y")=1,"1-2 years","2-3 years")</f>
        <v>1-2 years</v>
      </c>
      <c r="L155" s="6" t="s">
        <v>780</v>
      </c>
      <c r="M155" s="4" t="s">
        <v>780</v>
      </c>
      <c r="N155" s="4">
        <v>18</v>
      </c>
      <c r="O155" s="4">
        <v>76</v>
      </c>
      <c r="P155" s="4" t="s">
        <v>780</v>
      </c>
      <c r="Q155" s="4" t="s">
        <v>780</v>
      </c>
      <c r="R155" s="4" t="s">
        <v>780</v>
      </c>
      <c r="S155" s="4" t="s">
        <v>780</v>
      </c>
      <c r="T155" s="4" t="s">
        <v>780</v>
      </c>
      <c r="U155" s="4" t="s">
        <v>780</v>
      </c>
      <c r="V155" s="4" t="s">
        <v>15</v>
      </c>
      <c r="W155" s="4"/>
      <c r="X155" s="4" t="s">
        <v>15</v>
      </c>
      <c r="Y155" s="4"/>
      <c r="Z155" s="4"/>
      <c r="AA155" s="4"/>
      <c r="AB155" s="202" t="str">
        <f t="shared" si="2"/>
        <v/>
      </c>
    </row>
    <row r="156" spans="1:28" s="203" customFormat="1" ht="14.5">
      <c r="A156" s="15">
        <v>42750</v>
      </c>
      <c r="B156" s="4" t="s">
        <v>42</v>
      </c>
      <c r="C156" s="4" t="s">
        <v>580</v>
      </c>
      <c r="D156" s="4" t="s">
        <v>910</v>
      </c>
      <c r="E156" s="4"/>
      <c r="F156" s="4">
        <v>3</v>
      </c>
      <c r="G156" s="4">
        <v>1</v>
      </c>
      <c r="H156" s="4" t="s">
        <v>780</v>
      </c>
      <c r="I156" s="4" t="s">
        <v>579</v>
      </c>
      <c r="J156" s="7">
        <v>41849</v>
      </c>
      <c r="K156" s="201" t="str">
        <f>IF(DATEDIF($J156,'Inst summary and ER calculation'!$T$6,"y")=1,"1-2 years","2-3 years")</f>
        <v>2-3 years</v>
      </c>
      <c r="L156" s="6" t="s">
        <v>780</v>
      </c>
      <c r="M156" s="4" t="s">
        <v>780</v>
      </c>
      <c r="N156" s="4">
        <v>15</v>
      </c>
      <c r="O156" s="4">
        <v>64</v>
      </c>
      <c r="P156" s="4" t="s">
        <v>780</v>
      </c>
      <c r="Q156" s="4" t="s">
        <v>780</v>
      </c>
      <c r="R156" s="4" t="s">
        <v>780</v>
      </c>
      <c r="S156" s="4" t="s">
        <v>780</v>
      </c>
      <c r="T156" s="4" t="s">
        <v>780</v>
      </c>
      <c r="U156" s="4" t="s">
        <v>780</v>
      </c>
      <c r="V156" s="4" t="s">
        <v>15</v>
      </c>
      <c r="W156" s="4"/>
      <c r="X156" s="4" t="s">
        <v>15</v>
      </c>
      <c r="Y156" s="4"/>
      <c r="Z156" s="4"/>
      <c r="AA156" s="4"/>
      <c r="AB156" s="202" t="str">
        <f t="shared" si="2"/>
        <v/>
      </c>
    </row>
    <row r="157" spans="1:28" s="203" customFormat="1" ht="14.5">
      <c r="A157" s="15">
        <v>42748</v>
      </c>
      <c r="B157" s="4" t="s">
        <v>955</v>
      </c>
      <c r="C157" s="4" t="s">
        <v>388</v>
      </c>
      <c r="D157" s="4" t="s">
        <v>956</v>
      </c>
      <c r="E157" s="4"/>
      <c r="F157" s="4">
        <v>3</v>
      </c>
      <c r="G157" s="4">
        <v>2</v>
      </c>
      <c r="H157" s="4" t="s">
        <v>780</v>
      </c>
      <c r="I157" s="4" t="s">
        <v>387</v>
      </c>
      <c r="J157" s="7">
        <v>42122</v>
      </c>
      <c r="K157" s="201" t="str">
        <f>IF(DATEDIF($J157,'Inst summary and ER calculation'!$T$6,"y")=1,"1-2 years","2-3 years")</f>
        <v>1-2 years</v>
      </c>
      <c r="L157" s="6" t="s">
        <v>780</v>
      </c>
      <c r="M157" s="4" t="s">
        <v>780</v>
      </c>
      <c r="N157" s="4">
        <v>18</v>
      </c>
      <c r="O157" s="4">
        <v>78</v>
      </c>
      <c r="P157" s="4" t="s">
        <v>780</v>
      </c>
      <c r="Q157" s="4" t="s">
        <v>780</v>
      </c>
      <c r="R157" s="4" t="s">
        <v>780</v>
      </c>
      <c r="S157" s="4" t="s">
        <v>780</v>
      </c>
      <c r="T157" s="4" t="s">
        <v>780</v>
      </c>
      <c r="U157" s="4" t="s">
        <v>780</v>
      </c>
      <c r="V157" s="4" t="s">
        <v>15</v>
      </c>
      <c r="W157" s="4"/>
      <c r="X157" s="4" t="s">
        <v>15</v>
      </c>
      <c r="Y157" s="4"/>
      <c r="Z157" s="4"/>
      <c r="AA157" s="4"/>
      <c r="AB157" s="202" t="str">
        <f t="shared" si="2"/>
        <v/>
      </c>
    </row>
    <row r="158" spans="1:28" s="203" customFormat="1" ht="14.5">
      <c r="A158" s="15">
        <v>42739</v>
      </c>
      <c r="B158" s="209" t="s">
        <v>903</v>
      </c>
      <c r="C158" s="208" t="s">
        <v>224</v>
      </c>
      <c r="D158" s="209" t="s">
        <v>904</v>
      </c>
      <c r="E158" s="209"/>
      <c r="F158" s="4">
        <v>3</v>
      </c>
      <c r="G158" s="4">
        <v>1</v>
      </c>
      <c r="H158" s="4" t="s">
        <v>780</v>
      </c>
      <c r="I158" s="4" t="s">
        <v>493</v>
      </c>
      <c r="J158" s="7">
        <v>42177</v>
      </c>
      <c r="K158" s="201" t="str">
        <f>IF(DATEDIF($J158,'Inst summary and ER calculation'!$T$6,"y")=1,"1-2 years","2-3 years")</f>
        <v>1-2 years</v>
      </c>
      <c r="L158" s="6" t="s">
        <v>780</v>
      </c>
      <c r="M158" s="4" t="s">
        <v>780</v>
      </c>
      <c r="N158" s="4">
        <v>19</v>
      </c>
      <c r="O158" s="4">
        <v>80</v>
      </c>
      <c r="P158" s="4" t="s">
        <v>780</v>
      </c>
      <c r="Q158" s="4" t="s">
        <v>780</v>
      </c>
      <c r="R158" s="4" t="s">
        <v>780</v>
      </c>
      <c r="S158" s="4" t="s">
        <v>780</v>
      </c>
      <c r="T158" s="4" t="s">
        <v>780</v>
      </c>
      <c r="U158" s="4" t="s">
        <v>780</v>
      </c>
      <c r="V158" s="4" t="s">
        <v>15</v>
      </c>
      <c r="W158" s="4"/>
      <c r="X158" s="4" t="s">
        <v>15</v>
      </c>
      <c r="Y158" s="4"/>
      <c r="Z158" s="4"/>
      <c r="AA158" s="4"/>
      <c r="AB158" s="202" t="str">
        <f t="shared" si="2"/>
        <v/>
      </c>
    </row>
    <row r="159" spans="1:28" s="203" customFormat="1" ht="14.5">
      <c r="A159" s="15">
        <v>42755</v>
      </c>
      <c r="B159" s="4" t="s">
        <v>974</v>
      </c>
      <c r="C159" s="4" t="s">
        <v>210</v>
      </c>
      <c r="D159" s="4" t="s">
        <v>984</v>
      </c>
      <c r="E159" s="4"/>
      <c r="F159" s="4">
        <v>2</v>
      </c>
      <c r="G159" s="4">
        <v>2</v>
      </c>
      <c r="H159" s="4" t="s">
        <v>780</v>
      </c>
      <c r="I159" s="4" t="s">
        <v>655</v>
      </c>
      <c r="J159" s="7">
        <v>41932</v>
      </c>
      <c r="K159" s="201" t="str">
        <f>IF(DATEDIF($J159,'Inst summary and ER calculation'!$T$6,"y")=1,"1-2 years","2-3 years")</f>
        <v>2-3 years</v>
      </c>
      <c r="L159" s="6" t="s">
        <v>780</v>
      </c>
      <c r="M159" s="4" t="s">
        <v>780</v>
      </c>
      <c r="N159" s="4">
        <v>20</v>
      </c>
      <c r="O159" s="4">
        <v>84</v>
      </c>
      <c r="P159" s="4" t="s">
        <v>780</v>
      </c>
      <c r="Q159" s="4" t="s">
        <v>780</v>
      </c>
      <c r="R159" s="4" t="s">
        <v>780</v>
      </c>
      <c r="S159" s="4" t="s">
        <v>780</v>
      </c>
      <c r="T159" s="4" t="s">
        <v>780</v>
      </c>
      <c r="U159" s="4" t="s">
        <v>780</v>
      </c>
      <c r="V159" s="4" t="s">
        <v>15</v>
      </c>
      <c r="W159" s="4"/>
      <c r="X159" s="4" t="s">
        <v>15</v>
      </c>
      <c r="Y159" s="4"/>
      <c r="Z159" s="4"/>
      <c r="AA159" s="4"/>
      <c r="AB159" s="202" t="str">
        <f t="shared" si="2"/>
        <v/>
      </c>
    </row>
    <row r="160" spans="1:28" s="203" customFormat="1" ht="14.5">
      <c r="A160" s="15">
        <v>42755</v>
      </c>
      <c r="B160" s="4" t="s">
        <v>794</v>
      </c>
      <c r="C160" s="4" t="s">
        <v>219</v>
      </c>
      <c r="D160" s="4" t="s">
        <v>929</v>
      </c>
      <c r="E160" s="4"/>
      <c r="F160" s="4">
        <v>2</v>
      </c>
      <c r="G160" s="4">
        <v>2</v>
      </c>
      <c r="H160" s="4" t="s">
        <v>780</v>
      </c>
      <c r="I160" s="4" t="s">
        <v>368</v>
      </c>
      <c r="J160" s="7">
        <v>42113</v>
      </c>
      <c r="K160" s="201" t="str">
        <f>IF(DATEDIF($J160,'Inst summary and ER calculation'!$T$6,"y")=1,"1-2 years","2-3 years")</f>
        <v>1-2 years</v>
      </c>
      <c r="L160" s="6" t="s">
        <v>780</v>
      </c>
      <c r="M160" s="4" t="s">
        <v>780</v>
      </c>
      <c r="N160" s="4">
        <v>14</v>
      </c>
      <c r="O160" s="4">
        <v>60</v>
      </c>
      <c r="P160" s="4" t="s">
        <v>780</v>
      </c>
      <c r="Q160" s="4" t="s">
        <v>780</v>
      </c>
      <c r="R160" s="4" t="s">
        <v>780</v>
      </c>
      <c r="S160" s="4" t="s">
        <v>780</v>
      </c>
      <c r="T160" s="4" t="s">
        <v>780</v>
      </c>
      <c r="U160" s="4" t="s">
        <v>780</v>
      </c>
      <c r="V160" s="4" t="s">
        <v>15</v>
      </c>
      <c r="W160" s="4"/>
      <c r="X160" s="4" t="s">
        <v>15</v>
      </c>
      <c r="Y160" s="4"/>
      <c r="Z160" s="4"/>
      <c r="AA160" s="4"/>
      <c r="AB160" s="202" t="str">
        <f t="shared" si="2"/>
        <v/>
      </c>
    </row>
    <row r="161" spans="1:28" s="203" customFormat="1" ht="14.5">
      <c r="A161" s="15">
        <v>42745</v>
      </c>
      <c r="B161" s="4" t="s">
        <v>917</v>
      </c>
      <c r="C161" s="4" t="s">
        <v>169</v>
      </c>
      <c r="D161" s="4" t="s">
        <v>972</v>
      </c>
      <c r="E161" s="4"/>
      <c r="F161" s="4">
        <v>5</v>
      </c>
      <c r="G161" s="4">
        <v>0</v>
      </c>
      <c r="H161" s="4" t="s">
        <v>780</v>
      </c>
      <c r="I161" s="4" t="s">
        <v>613</v>
      </c>
      <c r="J161" s="7">
        <v>41908</v>
      </c>
      <c r="K161" s="201" t="str">
        <f>IF(DATEDIF($J161,'Inst summary and ER calculation'!$T$6,"y")=1,"1-2 years","2-3 years")</f>
        <v>2-3 years</v>
      </c>
      <c r="L161" s="6" t="s">
        <v>780</v>
      </c>
      <c r="M161" s="4" t="s">
        <v>780</v>
      </c>
      <c r="N161" s="4">
        <v>21</v>
      </c>
      <c r="O161" s="4">
        <v>88</v>
      </c>
      <c r="P161" s="4" t="s">
        <v>780</v>
      </c>
      <c r="Q161" s="4" t="s">
        <v>780</v>
      </c>
      <c r="R161" s="4" t="s">
        <v>780</v>
      </c>
      <c r="S161" s="4" t="s">
        <v>780</v>
      </c>
      <c r="T161" s="4" t="s">
        <v>780</v>
      </c>
      <c r="U161" s="4" t="s">
        <v>780</v>
      </c>
      <c r="V161" s="4" t="s">
        <v>15</v>
      </c>
      <c r="W161" s="4"/>
      <c r="X161" s="4" t="s">
        <v>15</v>
      </c>
      <c r="Y161" s="4"/>
      <c r="Z161" s="4"/>
      <c r="AA161" s="4"/>
      <c r="AB161" s="202" t="str">
        <f t="shared" si="2"/>
        <v/>
      </c>
    </row>
    <row r="162" spans="1:28" s="203" customFormat="1" ht="14.5">
      <c r="A162" s="15">
        <v>42739</v>
      </c>
      <c r="B162" s="4" t="s">
        <v>100</v>
      </c>
      <c r="C162" s="4" t="s">
        <v>599</v>
      </c>
      <c r="D162" s="4" t="s">
        <v>931</v>
      </c>
      <c r="E162" s="4"/>
      <c r="F162" s="4">
        <v>3</v>
      </c>
      <c r="G162" s="4">
        <v>2</v>
      </c>
      <c r="H162" s="4" t="s">
        <v>780</v>
      </c>
      <c r="I162" s="4" t="s">
        <v>598</v>
      </c>
      <c r="J162" s="7">
        <v>41877</v>
      </c>
      <c r="K162" s="201" t="str">
        <f>IF(DATEDIF($J162,'Inst summary and ER calculation'!$T$6,"y")=1,"1-2 years","2-3 years")</f>
        <v>2-3 years</v>
      </c>
      <c r="L162" s="6" t="s">
        <v>780</v>
      </c>
      <c r="M162" s="4" t="s">
        <v>780</v>
      </c>
      <c r="N162" s="4">
        <v>20</v>
      </c>
      <c r="O162" s="4">
        <v>84</v>
      </c>
      <c r="P162" s="4" t="s">
        <v>780</v>
      </c>
      <c r="Q162" s="4" t="s">
        <v>780</v>
      </c>
      <c r="R162" s="4" t="s">
        <v>780</v>
      </c>
      <c r="S162" s="4" t="s">
        <v>780</v>
      </c>
      <c r="T162" s="4" t="s">
        <v>780</v>
      </c>
      <c r="U162" s="4" t="s">
        <v>780</v>
      </c>
      <c r="V162" s="4" t="s">
        <v>15</v>
      </c>
      <c r="W162" s="4"/>
      <c r="X162" s="4" t="s">
        <v>15</v>
      </c>
      <c r="Y162" s="4"/>
      <c r="Z162" s="4"/>
      <c r="AA162" s="4"/>
      <c r="AB162" s="202" t="str">
        <f t="shared" si="2"/>
        <v/>
      </c>
    </row>
    <row r="163" spans="1:28" s="203" customFormat="1" ht="14.5">
      <c r="A163" s="15">
        <v>42743</v>
      </c>
      <c r="B163" s="4" t="s">
        <v>39</v>
      </c>
      <c r="C163" s="4" t="s">
        <v>186</v>
      </c>
      <c r="D163" s="4" t="s">
        <v>934</v>
      </c>
      <c r="E163" s="4"/>
      <c r="F163" s="4">
        <v>6</v>
      </c>
      <c r="G163" s="4">
        <v>0</v>
      </c>
      <c r="H163" s="4" t="s">
        <v>780</v>
      </c>
      <c r="I163" s="4" t="s">
        <v>593</v>
      </c>
      <c r="J163" s="7">
        <v>41868</v>
      </c>
      <c r="K163" s="201" t="str">
        <f>IF(DATEDIF($J163,'Inst summary and ER calculation'!$T$6,"y")=1,"1-2 years","2-3 years")</f>
        <v>2-3 years</v>
      </c>
      <c r="L163" s="6" t="s">
        <v>780</v>
      </c>
      <c r="M163" s="4" t="s">
        <v>780</v>
      </c>
      <c r="N163" s="4">
        <v>14</v>
      </c>
      <c r="O163" s="4">
        <v>60</v>
      </c>
      <c r="P163" s="4" t="s">
        <v>780</v>
      </c>
      <c r="Q163" s="4" t="s">
        <v>780</v>
      </c>
      <c r="R163" s="4" t="s">
        <v>780</v>
      </c>
      <c r="S163" s="4" t="s">
        <v>780</v>
      </c>
      <c r="T163" s="4" t="s">
        <v>780</v>
      </c>
      <c r="U163" s="4" t="s">
        <v>780</v>
      </c>
      <c r="V163" s="4" t="s">
        <v>15</v>
      </c>
      <c r="W163" s="4"/>
      <c r="X163" s="4" t="s">
        <v>15</v>
      </c>
      <c r="Y163" s="4"/>
      <c r="Z163" s="4"/>
      <c r="AA163" s="4"/>
      <c r="AB163" s="202" t="str">
        <f t="shared" si="2"/>
        <v/>
      </c>
    </row>
    <row r="164" spans="1:28" s="203" customFormat="1" ht="14.5">
      <c r="A164" s="15">
        <v>42753</v>
      </c>
      <c r="B164" s="209" t="s">
        <v>881</v>
      </c>
      <c r="C164" s="208" t="s">
        <v>14</v>
      </c>
      <c r="D164" s="209" t="s">
        <v>998</v>
      </c>
      <c r="E164" s="209"/>
      <c r="F164" s="4">
        <v>3</v>
      </c>
      <c r="G164" s="4">
        <v>2</v>
      </c>
      <c r="H164" s="4" t="s">
        <v>780</v>
      </c>
      <c r="I164" s="4" t="s">
        <v>620</v>
      </c>
      <c r="J164" s="7">
        <v>41912</v>
      </c>
      <c r="K164" s="201" t="str">
        <f>IF(DATEDIF($J164,'Inst summary and ER calculation'!$T$6,"y")=1,"1-2 years","2-3 years")</f>
        <v>2-3 years</v>
      </c>
      <c r="L164" s="6" t="s">
        <v>780</v>
      </c>
      <c r="M164" s="4" t="s">
        <v>780</v>
      </c>
      <c r="N164" s="4">
        <v>19</v>
      </c>
      <c r="O164" s="4">
        <v>80</v>
      </c>
      <c r="P164" s="4" t="s">
        <v>780</v>
      </c>
      <c r="Q164" s="4" t="s">
        <v>780</v>
      </c>
      <c r="R164" s="4" t="s">
        <v>780</v>
      </c>
      <c r="S164" s="4" t="s">
        <v>780</v>
      </c>
      <c r="T164" s="4" t="s">
        <v>780</v>
      </c>
      <c r="U164" s="4" t="s">
        <v>780</v>
      </c>
      <c r="V164" s="4" t="s">
        <v>15</v>
      </c>
      <c r="W164" s="4"/>
      <c r="X164" s="4" t="s">
        <v>15</v>
      </c>
      <c r="Y164" s="4"/>
      <c r="Z164" s="4"/>
      <c r="AA164" s="4"/>
      <c r="AB164" s="202" t="str">
        <f t="shared" si="2"/>
        <v/>
      </c>
    </row>
    <row r="165" spans="1:28" s="203" customFormat="1" ht="14.5">
      <c r="A165" s="15">
        <v>42742</v>
      </c>
      <c r="B165" s="208" t="s">
        <v>949</v>
      </c>
      <c r="C165" s="208" t="s">
        <v>216</v>
      </c>
      <c r="D165" s="208" t="s">
        <v>950</v>
      </c>
      <c r="E165" s="208"/>
      <c r="F165" s="4">
        <v>3</v>
      </c>
      <c r="G165" s="4">
        <v>1</v>
      </c>
      <c r="H165" s="4" t="s">
        <v>780</v>
      </c>
      <c r="I165" s="4" t="s">
        <v>356</v>
      </c>
      <c r="J165" s="7">
        <v>42109</v>
      </c>
      <c r="K165" s="201" t="str">
        <f>IF(DATEDIF($J165,'Inst summary and ER calculation'!$T$6,"y")=1,"1-2 years","2-3 years")</f>
        <v>1-2 years</v>
      </c>
      <c r="L165" s="6" t="s">
        <v>780</v>
      </c>
      <c r="M165" s="4" t="s">
        <v>780</v>
      </c>
      <c r="N165" s="4">
        <v>19</v>
      </c>
      <c r="O165" s="4">
        <v>88</v>
      </c>
      <c r="P165" s="4" t="s">
        <v>780</v>
      </c>
      <c r="Q165" s="4" t="s">
        <v>780</v>
      </c>
      <c r="R165" s="4" t="s">
        <v>780</v>
      </c>
      <c r="S165" s="4" t="s">
        <v>780</v>
      </c>
      <c r="T165" s="4" t="s">
        <v>780</v>
      </c>
      <c r="U165" s="4" t="s">
        <v>780</v>
      </c>
      <c r="V165" s="4" t="s">
        <v>15</v>
      </c>
      <c r="W165" s="4"/>
      <c r="X165" s="4" t="s">
        <v>15</v>
      </c>
      <c r="Y165" s="4"/>
      <c r="Z165" s="4"/>
      <c r="AA165" s="4"/>
      <c r="AB165" s="202" t="str">
        <f t="shared" si="2"/>
        <v/>
      </c>
    </row>
    <row r="166" spans="1:28" s="203" customFormat="1" ht="14.5">
      <c r="A166" s="15">
        <v>42739</v>
      </c>
      <c r="B166" s="4" t="s">
        <v>225</v>
      </c>
      <c r="C166" s="4" t="s">
        <v>712</v>
      </c>
      <c r="D166" s="4" t="s">
        <v>996</v>
      </c>
      <c r="E166" s="4"/>
      <c r="F166" s="4">
        <v>2</v>
      </c>
      <c r="G166" s="4">
        <v>1</v>
      </c>
      <c r="H166" s="4" t="s">
        <v>780</v>
      </c>
      <c r="I166" s="4" t="s">
        <v>711</v>
      </c>
      <c r="J166" s="7">
        <v>41971</v>
      </c>
      <c r="K166" s="201" t="str">
        <f>IF(DATEDIF($J166,'Inst summary and ER calculation'!$T$6,"y")=1,"1-2 years","2-3 years")</f>
        <v>2-3 years</v>
      </c>
      <c r="L166" s="6" t="s">
        <v>780</v>
      </c>
      <c r="M166" s="4" t="s">
        <v>780</v>
      </c>
      <c r="N166" s="4">
        <v>18</v>
      </c>
      <c r="O166" s="4">
        <v>76</v>
      </c>
      <c r="P166" s="4" t="s">
        <v>780</v>
      </c>
      <c r="Q166" s="4" t="s">
        <v>780</v>
      </c>
      <c r="R166" s="4" t="s">
        <v>780</v>
      </c>
      <c r="S166" s="4" t="s">
        <v>780</v>
      </c>
      <c r="T166" s="4" t="s">
        <v>780</v>
      </c>
      <c r="U166" s="4" t="s">
        <v>780</v>
      </c>
      <c r="V166" s="4" t="s">
        <v>15</v>
      </c>
      <c r="W166" s="4"/>
      <c r="X166" s="4" t="s">
        <v>15</v>
      </c>
      <c r="Y166" s="4"/>
      <c r="Z166" s="4"/>
      <c r="AA166" s="4"/>
      <c r="AB166" s="202" t="str">
        <f t="shared" si="2"/>
        <v/>
      </c>
    </row>
    <row r="167" spans="1:28" s="203" customFormat="1" ht="14.5">
      <c r="A167" s="15">
        <v>42742</v>
      </c>
      <c r="B167" s="208" t="s">
        <v>927</v>
      </c>
      <c r="C167" s="208" t="s">
        <v>345</v>
      </c>
      <c r="D167" s="208" t="s">
        <v>928</v>
      </c>
      <c r="E167" s="208"/>
      <c r="F167" s="4">
        <v>2</v>
      </c>
      <c r="G167" s="4">
        <v>2</v>
      </c>
      <c r="H167" s="4" t="s">
        <v>780</v>
      </c>
      <c r="I167" s="4" t="s">
        <v>371</v>
      </c>
      <c r="J167" s="7">
        <v>42114</v>
      </c>
      <c r="K167" s="201" t="str">
        <f>IF(DATEDIF($J167,'Inst summary and ER calculation'!$T$6,"y")=1,"1-2 years","2-3 years")</f>
        <v>1-2 years</v>
      </c>
      <c r="L167" s="6" t="s">
        <v>780</v>
      </c>
      <c r="M167" s="4" t="s">
        <v>16</v>
      </c>
      <c r="N167" s="4">
        <v>14</v>
      </c>
      <c r="O167" s="4">
        <v>60</v>
      </c>
      <c r="P167" s="4" t="s">
        <v>780</v>
      </c>
      <c r="Q167" s="4" t="s">
        <v>780</v>
      </c>
      <c r="R167" s="4" t="s">
        <v>780</v>
      </c>
      <c r="S167" s="4" t="s">
        <v>780</v>
      </c>
      <c r="T167" s="4" t="s">
        <v>780</v>
      </c>
      <c r="U167" s="4" t="s">
        <v>780</v>
      </c>
      <c r="V167" s="4" t="s">
        <v>15</v>
      </c>
      <c r="W167" s="4"/>
      <c r="X167" s="4" t="s">
        <v>15</v>
      </c>
      <c r="Y167" s="4"/>
      <c r="Z167" s="4"/>
      <c r="AA167" s="4"/>
      <c r="AB167" s="202" t="str">
        <f t="shared" si="2"/>
        <v/>
      </c>
    </row>
    <row r="168" spans="1:28" s="203" customFormat="1" ht="14.5">
      <c r="A168" s="15">
        <v>42738</v>
      </c>
      <c r="B168" s="204" t="s">
        <v>1024</v>
      </c>
      <c r="C168" s="204" t="s">
        <v>103</v>
      </c>
      <c r="D168" s="12" t="s">
        <v>1153</v>
      </c>
      <c r="E168" s="12"/>
      <c r="F168" s="204">
        <v>3</v>
      </c>
      <c r="G168" s="204">
        <v>1</v>
      </c>
      <c r="H168" s="204" t="s">
        <v>16</v>
      </c>
      <c r="I168" s="204" t="s">
        <v>485</v>
      </c>
      <c r="J168" s="205">
        <v>42171</v>
      </c>
      <c r="K168" s="201" t="str">
        <f>IF(DATEDIF($J168,'Inst summary and ER calculation'!$T$6,"y")=1,"1-2 years","2-3 years")</f>
        <v>1-2 years</v>
      </c>
      <c r="L168" s="204" t="s">
        <v>16</v>
      </c>
      <c r="M168" s="204" t="s">
        <v>16</v>
      </c>
      <c r="N168" s="204">
        <v>20</v>
      </c>
      <c r="O168" s="204">
        <v>82</v>
      </c>
      <c r="P168" s="204" t="s">
        <v>16</v>
      </c>
      <c r="Q168" s="204" t="s">
        <v>16</v>
      </c>
      <c r="R168" s="204" t="s">
        <v>16</v>
      </c>
      <c r="S168" s="204" t="s">
        <v>16</v>
      </c>
      <c r="T168" s="204" t="s">
        <v>16</v>
      </c>
      <c r="U168" s="204" t="s">
        <v>16</v>
      </c>
      <c r="V168" s="204"/>
      <c r="W168" s="22"/>
      <c r="X168" s="204" t="s">
        <v>15</v>
      </c>
      <c r="Y168" s="204"/>
      <c r="Z168" s="204"/>
      <c r="AA168" s="204"/>
      <c r="AB168" s="202" t="str">
        <f t="shared" si="2"/>
        <v/>
      </c>
    </row>
    <row r="169" spans="1:28" s="203" customFormat="1" ht="14.5">
      <c r="A169" s="15">
        <v>42738</v>
      </c>
      <c r="B169" s="204" t="s">
        <v>1016</v>
      </c>
      <c r="C169" s="204" t="s">
        <v>644</v>
      </c>
      <c r="D169" s="12" t="s">
        <v>1030</v>
      </c>
      <c r="E169" s="12"/>
      <c r="F169" s="204">
        <v>2</v>
      </c>
      <c r="G169" s="204">
        <v>2</v>
      </c>
      <c r="H169" s="204" t="s">
        <v>16</v>
      </c>
      <c r="I169" s="12" t="s">
        <v>604</v>
      </c>
      <c r="J169" s="16">
        <v>41894</v>
      </c>
      <c r="K169" s="201" t="str">
        <f>IF(DATEDIF($J169,'Inst summary and ER calculation'!$T$6,"y")=1,"1-2 years","2-3 years")</f>
        <v>2-3 years</v>
      </c>
      <c r="L169" s="204" t="s">
        <v>16</v>
      </c>
      <c r="M169" s="204" t="s">
        <v>16</v>
      </c>
      <c r="N169" s="204">
        <v>14</v>
      </c>
      <c r="O169" s="204">
        <v>60</v>
      </c>
      <c r="P169" s="204" t="s">
        <v>16</v>
      </c>
      <c r="Q169" s="204" t="s">
        <v>16</v>
      </c>
      <c r="R169" s="204" t="s">
        <v>16</v>
      </c>
      <c r="S169" s="204" t="s">
        <v>16</v>
      </c>
      <c r="T169" s="204" t="s">
        <v>16</v>
      </c>
      <c r="U169" s="204" t="s">
        <v>16</v>
      </c>
      <c r="V169" s="204"/>
      <c r="W169" s="22"/>
      <c r="X169" s="204" t="s">
        <v>15</v>
      </c>
      <c r="Y169" s="204"/>
      <c r="Z169" s="204"/>
      <c r="AA169" s="204"/>
      <c r="AB169" s="202" t="str">
        <f t="shared" si="2"/>
        <v/>
      </c>
    </row>
    <row r="170" spans="1:28" s="203" customFormat="1" ht="14.5">
      <c r="A170" s="15">
        <v>42739</v>
      </c>
      <c r="B170" s="204" t="s">
        <v>733</v>
      </c>
      <c r="C170" s="204" t="s">
        <v>584</v>
      </c>
      <c r="D170" s="206" t="s">
        <v>1157</v>
      </c>
      <c r="E170" s="204"/>
      <c r="F170" s="204">
        <v>4</v>
      </c>
      <c r="G170" s="204">
        <v>2</v>
      </c>
      <c r="H170" s="204" t="s">
        <v>16</v>
      </c>
      <c r="I170" s="204" t="s">
        <v>583</v>
      </c>
      <c r="J170" s="205">
        <v>41858</v>
      </c>
      <c r="K170" s="201" t="str">
        <f>IF(DATEDIF($J170,'Inst summary and ER calculation'!$T$6,"y")=1,"1-2 years","2-3 years")</f>
        <v>2-3 years</v>
      </c>
      <c r="L170" s="204" t="s">
        <v>16</v>
      </c>
      <c r="M170" s="204" t="s">
        <v>16</v>
      </c>
      <c r="N170" s="204">
        <v>13</v>
      </c>
      <c r="O170" s="204">
        <v>51</v>
      </c>
      <c r="P170" s="204" t="s">
        <v>16</v>
      </c>
      <c r="Q170" s="204" t="s">
        <v>16</v>
      </c>
      <c r="R170" s="204" t="s">
        <v>16</v>
      </c>
      <c r="S170" s="204" t="s">
        <v>16</v>
      </c>
      <c r="T170" s="204" t="s">
        <v>16</v>
      </c>
      <c r="U170" s="204" t="s">
        <v>16</v>
      </c>
      <c r="V170" s="204"/>
      <c r="W170" s="22"/>
      <c r="X170" s="204" t="s">
        <v>16</v>
      </c>
      <c r="Y170" s="204" t="s">
        <v>16</v>
      </c>
      <c r="Z170" s="204">
        <v>5</v>
      </c>
      <c r="AA170" s="204">
        <v>25</v>
      </c>
      <c r="AB170" s="202">
        <f t="shared" si="2"/>
        <v>0.32894736842105265</v>
      </c>
    </row>
    <row r="171" spans="1:28" s="203" customFormat="1" ht="14.5">
      <c r="A171" s="15">
        <v>42739</v>
      </c>
      <c r="B171" s="204" t="s">
        <v>1061</v>
      </c>
      <c r="C171" s="204" t="s">
        <v>89</v>
      </c>
      <c r="D171" s="206" t="s">
        <v>1410</v>
      </c>
      <c r="E171" s="204"/>
      <c r="F171" s="204">
        <v>4</v>
      </c>
      <c r="G171" s="204">
        <v>1</v>
      </c>
      <c r="H171" s="204" t="s">
        <v>16</v>
      </c>
      <c r="I171" s="204" t="s">
        <v>450</v>
      </c>
      <c r="J171" s="205">
        <v>42153</v>
      </c>
      <c r="K171" s="201" t="str">
        <f>IF(DATEDIF($J171,'Inst summary and ER calculation'!$T$6,"y")=1,"1-2 years","2-3 years")</f>
        <v>1-2 years</v>
      </c>
      <c r="L171" s="204" t="s">
        <v>16</v>
      </c>
      <c r="M171" s="204" t="s">
        <v>16</v>
      </c>
      <c r="N171" s="204">
        <v>14</v>
      </c>
      <c r="O171" s="204">
        <v>60</v>
      </c>
      <c r="P171" s="204" t="s">
        <v>16</v>
      </c>
      <c r="Q171" s="204" t="s">
        <v>16</v>
      </c>
      <c r="R171" s="204" t="s">
        <v>16</v>
      </c>
      <c r="S171" s="204" t="s">
        <v>16</v>
      </c>
      <c r="T171" s="204" t="s">
        <v>16</v>
      </c>
      <c r="U171" s="204" t="s">
        <v>16</v>
      </c>
      <c r="V171" s="204"/>
      <c r="W171" s="22"/>
      <c r="X171" s="204" t="s">
        <v>15</v>
      </c>
      <c r="Y171" s="204"/>
      <c r="Z171" s="204"/>
      <c r="AA171" s="204"/>
      <c r="AB171" s="202" t="str">
        <f t="shared" si="2"/>
        <v/>
      </c>
    </row>
    <row r="172" spans="1:28" s="203" customFormat="1" ht="14.5">
      <c r="A172" s="15">
        <v>42739</v>
      </c>
      <c r="B172" s="204" t="s">
        <v>1068</v>
      </c>
      <c r="C172" s="204" t="s">
        <v>1297</v>
      </c>
      <c r="D172" s="206" t="s">
        <v>1298</v>
      </c>
      <c r="E172" s="204"/>
      <c r="F172" s="204">
        <v>2</v>
      </c>
      <c r="G172" s="204">
        <v>2</v>
      </c>
      <c r="H172" s="204" t="s">
        <v>16</v>
      </c>
      <c r="I172" s="204" t="s">
        <v>649</v>
      </c>
      <c r="J172" s="205">
        <v>41930</v>
      </c>
      <c r="K172" s="201" t="str">
        <f>IF(DATEDIF($J172,'Inst summary and ER calculation'!$T$6,"y")=1,"1-2 years","2-3 years")</f>
        <v>2-3 years</v>
      </c>
      <c r="L172" s="204" t="s">
        <v>16</v>
      </c>
      <c r="M172" s="204" t="s">
        <v>16</v>
      </c>
      <c r="N172" s="204">
        <v>14</v>
      </c>
      <c r="O172" s="204">
        <v>60</v>
      </c>
      <c r="P172" s="204" t="s">
        <v>16</v>
      </c>
      <c r="Q172" s="204" t="s">
        <v>16</v>
      </c>
      <c r="R172" s="204" t="s">
        <v>16</v>
      </c>
      <c r="S172" s="204" t="s">
        <v>16</v>
      </c>
      <c r="T172" s="204" t="s">
        <v>16</v>
      </c>
      <c r="U172" s="204" t="s">
        <v>16</v>
      </c>
      <c r="V172" s="204"/>
      <c r="W172" s="22"/>
      <c r="X172" s="204" t="s">
        <v>15</v>
      </c>
      <c r="Y172" s="204"/>
      <c r="Z172" s="204"/>
      <c r="AA172" s="204"/>
      <c r="AB172" s="202" t="str">
        <f t="shared" si="2"/>
        <v/>
      </c>
    </row>
    <row r="173" spans="1:28" s="203" customFormat="1" ht="14.5">
      <c r="A173" s="15">
        <v>42739</v>
      </c>
      <c r="B173" s="204" t="s">
        <v>1336</v>
      </c>
      <c r="C173" s="204" t="s">
        <v>1351</v>
      </c>
      <c r="D173" s="206" t="s">
        <v>1352</v>
      </c>
      <c r="E173" s="204"/>
      <c r="F173" s="204">
        <v>5</v>
      </c>
      <c r="G173" s="204">
        <v>3</v>
      </c>
      <c r="H173" s="204" t="s">
        <v>16</v>
      </c>
      <c r="I173" s="204" t="s">
        <v>278</v>
      </c>
      <c r="J173" s="205">
        <v>42050</v>
      </c>
      <c r="K173" s="201" t="str">
        <f>IF(DATEDIF($J173,'Inst summary and ER calculation'!$T$6,"y")=1,"1-2 years","2-3 years")</f>
        <v>2-3 years</v>
      </c>
      <c r="L173" s="204" t="s">
        <v>16</v>
      </c>
      <c r="M173" s="204" t="s">
        <v>16</v>
      </c>
      <c r="N173" s="204">
        <v>14</v>
      </c>
      <c r="O173" s="204">
        <v>60</v>
      </c>
      <c r="P173" s="204" t="s">
        <v>16</v>
      </c>
      <c r="Q173" s="204" t="s">
        <v>16</v>
      </c>
      <c r="R173" s="204" t="s">
        <v>16</v>
      </c>
      <c r="S173" s="204" t="s">
        <v>16</v>
      </c>
      <c r="T173" s="204" t="s">
        <v>16</v>
      </c>
      <c r="U173" s="204" t="s">
        <v>16</v>
      </c>
      <c r="V173" s="204"/>
      <c r="W173" s="22"/>
      <c r="X173" s="204" t="s">
        <v>15</v>
      </c>
      <c r="Y173" s="204"/>
      <c r="Z173" s="204"/>
      <c r="AA173" s="204"/>
      <c r="AB173" s="202" t="str">
        <f t="shared" si="2"/>
        <v/>
      </c>
    </row>
    <row r="174" spans="1:28" s="203" customFormat="1" ht="14.5">
      <c r="A174" s="15">
        <v>42741</v>
      </c>
      <c r="B174" s="204" t="s">
        <v>193</v>
      </c>
      <c r="C174" s="204" t="s">
        <v>157</v>
      </c>
      <c r="D174" s="206" t="s">
        <v>1234</v>
      </c>
      <c r="E174" s="204"/>
      <c r="F174" s="204">
        <v>5</v>
      </c>
      <c r="G174" s="204">
        <v>2</v>
      </c>
      <c r="H174" s="204" t="s">
        <v>16</v>
      </c>
      <c r="I174" s="204" t="s">
        <v>407</v>
      </c>
      <c r="J174" s="205">
        <v>42126</v>
      </c>
      <c r="K174" s="201" t="str">
        <f>IF(DATEDIF($J174,'Inst summary and ER calculation'!$T$6,"y")=1,"1-2 years","2-3 years")</f>
        <v>1-2 years</v>
      </c>
      <c r="L174" s="204" t="s">
        <v>16</v>
      </c>
      <c r="M174" s="204" t="s">
        <v>16</v>
      </c>
      <c r="N174" s="204">
        <v>14</v>
      </c>
      <c r="O174" s="204">
        <v>60</v>
      </c>
      <c r="P174" s="204" t="s">
        <v>16</v>
      </c>
      <c r="Q174" s="204" t="s">
        <v>16</v>
      </c>
      <c r="R174" s="204" t="s">
        <v>16</v>
      </c>
      <c r="S174" s="204" t="s">
        <v>16</v>
      </c>
      <c r="T174" s="204" t="s">
        <v>16</v>
      </c>
      <c r="U174" s="204" t="s">
        <v>16</v>
      </c>
      <c r="V174" s="204"/>
      <c r="W174" s="22"/>
      <c r="X174" s="204" t="s">
        <v>15</v>
      </c>
      <c r="Y174" s="204"/>
      <c r="Z174" s="204"/>
      <c r="AA174" s="204"/>
      <c r="AB174" s="202" t="str">
        <f t="shared" si="2"/>
        <v/>
      </c>
    </row>
    <row r="175" spans="1:28" s="203" customFormat="1" ht="14.5">
      <c r="A175" s="15">
        <v>42741</v>
      </c>
      <c r="B175" s="204" t="s">
        <v>1263</v>
      </c>
      <c r="C175" s="11" t="s">
        <v>575</v>
      </c>
      <c r="D175" s="206" t="s">
        <v>1268</v>
      </c>
      <c r="E175" s="204"/>
      <c r="F175" s="204">
        <v>2</v>
      </c>
      <c r="G175" s="204">
        <v>1</v>
      </c>
      <c r="H175" s="204" t="s">
        <v>16</v>
      </c>
      <c r="I175" s="12" t="s">
        <v>574</v>
      </c>
      <c r="J175" s="207">
        <v>41832</v>
      </c>
      <c r="K175" s="201" t="str">
        <f>IF(DATEDIF($J175,'Inst summary and ER calculation'!$T$6,"y")=1,"1-2 years","2-3 years")</f>
        <v>2-3 years</v>
      </c>
      <c r="L175" s="204" t="s">
        <v>16</v>
      </c>
      <c r="M175" s="204" t="s">
        <v>16</v>
      </c>
      <c r="N175" s="204">
        <v>14</v>
      </c>
      <c r="O175" s="204">
        <v>60</v>
      </c>
      <c r="P175" s="204" t="s">
        <v>16</v>
      </c>
      <c r="Q175" s="204" t="s">
        <v>16</v>
      </c>
      <c r="R175" s="204" t="s">
        <v>16</v>
      </c>
      <c r="S175" s="204" t="s">
        <v>16</v>
      </c>
      <c r="T175" s="204" t="s">
        <v>16</v>
      </c>
      <c r="U175" s="204" t="s">
        <v>16</v>
      </c>
      <c r="V175" s="204"/>
      <c r="W175" s="22"/>
      <c r="X175" s="204" t="s">
        <v>15</v>
      </c>
      <c r="Y175" s="204"/>
      <c r="Z175" s="204"/>
      <c r="AA175" s="204"/>
      <c r="AB175" s="202" t="str">
        <f t="shared" si="2"/>
        <v/>
      </c>
    </row>
    <row r="176" spans="1:28" s="203" customFormat="1" ht="14.5">
      <c r="A176" s="15">
        <v>42742</v>
      </c>
      <c r="B176" s="204" t="s">
        <v>291</v>
      </c>
      <c r="C176" s="204" t="s">
        <v>76</v>
      </c>
      <c r="D176" s="12" t="s">
        <v>1065</v>
      </c>
      <c r="E176" s="12"/>
      <c r="F176" s="204">
        <v>4</v>
      </c>
      <c r="G176" s="204">
        <v>2</v>
      </c>
      <c r="H176" s="204" t="s">
        <v>16</v>
      </c>
      <c r="I176" s="204" t="s">
        <v>742</v>
      </c>
      <c r="J176" s="205">
        <v>42001</v>
      </c>
      <c r="K176" s="201" t="str">
        <f>IF(DATEDIF($J176,'Inst summary and ER calculation'!$T$6,"y")=1,"1-2 years","2-3 years")</f>
        <v>2-3 years</v>
      </c>
      <c r="L176" s="204" t="s">
        <v>16</v>
      </c>
      <c r="M176" s="204" t="s">
        <v>16</v>
      </c>
      <c r="N176" s="204">
        <v>14</v>
      </c>
      <c r="O176" s="204">
        <v>60</v>
      </c>
      <c r="P176" s="204" t="s">
        <v>16</v>
      </c>
      <c r="Q176" s="204" t="s">
        <v>16</v>
      </c>
      <c r="R176" s="204" t="s">
        <v>16</v>
      </c>
      <c r="S176" s="204" t="s">
        <v>16</v>
      </c>
      <c r="T176" s="204" t="s">
        <v>16</v>
      </c>
      <c r="U176" s="204" t="s">
        <v>16</v>
      </c>
      <c r="V176" s="204"/>
      <c r="W176" s="22"/>
      <c r="X176" s="204" t="s">
        <v>15</v>
      </c>
      <c r="Y176" s="204"/>
      <c r="Z176" s="204"/>
      <c r="AA176" s="204"/>
      <c r="AB176" s="202" t="str">
        <f t="shared" si="2"/>
        <v/>
      </c>
    </row>
    <row r="177" spans="1:28" s="203" customFormat="1" ht="14.5">
      <c r="A177" s="15">
        <v>42743</v>
      </c>
      <c r="B177" s="204" t="s">
        <v>1015</v>
      </c>
      <c r="C177" s="204" t="s">
        <v>505</v>
      </c>
      <c r="D177" s="12" t="s">
        <v>1120</v>
      </c>
      <c r="E177" s="12"/>
      <c r="F177" s="204">
        <v>3</v>
      </c>
      <c r="G177" s="204">
        <v>1</v>
      </c>
      <c r="H177" s="204" t="s">
        <v>16</v>
      </c>
      <c r="I177" s="204" t="s">
        <v>385</v>
      </c>
      <c r="J177" s="205">
        <v>42121</v>
      </c>
      <c r="K177" s="201" t="str">
        <f>IF(DATEDIF($J177,'Inst summary and ER calculation'!$T$6,"y")=1,"1-2 years","2-3 years")</f>
        <v>1-2 years</v>
      </c>
      <c r="L177" s="204" t="s">
        <v>16</v>
      </c>
      <c r="M177" s="204" t="s">
        <v>15</v>
      </c>
      <c r="N177" s="204"/>
      <c r="O177" s="204"/>
      <c r="P177" s="204"/>
      <c r="Q177" s="204"/>
      <c r="R177" s="204"/>
      <c r="S177" s="204"/>
      <c r="T177" s="204"/>
      <c r="U177" s="204"/>
      <c r="V177" s="204"/>
      <c r="W177" s="22"/>
      <c r="X177" s="204"/>
      <c r="Y177" s="204"/>
      <c r="Z177" s="204"/>
      <c r="AA177" s="204"/>
      <c r="AB177" s="202" t="str">
        <f t="shared" si="2"/>
        <v/>
      </c>
    </row>
    <row r="178" spans="1:28" s="203" customFormat="1" ht="14.5">
      <c r="A178" s="15">
        <v>42743</v>
      </c>
      <c r="B178" s="204" t="s">
        <v>920</v>
      </c>
      <c r="C178" s="204" t="s">
        <v>399</v>
      </c>
      <c r="D178" s="206" t="s">
        <v>1395</v>
      </c>
      <c r="E178" s="204"/>
      <c r="F178" s="204">
        <v>7</v>
      </c>
      <c r="G178" s="204">
        <v>2</v>
      </c>
      <c r="H178" s="204" t="s">
        <v>16</v>
      </c>
      <c r="I178" s="204" t="s">
        <v>398</v>
      </c>
      <c r="J178" s="205">
        <v>42124</v>
      </c>
      <c r="K178" s="201" t="str">
        <f>IF(DATEDIF($J178,'Inst summary and ER calculation'!$T$6,"y")=1,"1-2 years","2-3 years")</f>
        <v>1-2 years</v>
      </c>
      <c r="L178" s="204" t="s">
        <v>16</v>
      </c>
      <c r="M178" s="204" t="s">
        <v>16</v>
      </c>
      <c r="N178" s="204">
        <v>21</v>
      </c>
      <c r="O178" s="204">
        <v>85</v>
      </c>
      <c r="P178" s="204" t="s">
        <v>16</v>
      </c>
      <c r="Q178" s="204" t="s">
        <v>16</v>
      </c>
      <c r="R178" s="204" t="s">
        <v>16</v>
      </c>
      <c r="S178" s="204" t="s">
        <v>16</v>
      </c>
      <c r="T178" s="204" t="s">
        <v>16</v>
      </c>
      <c r="U178" s="204" t="s">
        <v>16</v>
      </c>
      <c r="V178" s="204"/>
      <c r="W178" s="22"/>
      <c r="X178" s="204" t="s">
        <v>15</v>
      </c>
      <c r="Y178" s="204"/>
      <c r="Z178" s="204"/>
      <c r="AA178" s="204"/>
      <c r="AB178" s="202" t="str">
        <f t="shared" si="2"/>
        <v/>
      </c>
    </row>
    <row r="179" spans="1:28" s="203" customFormat="1" ht="14.5">
      <c r="A179" s="15">
        <v>42743</v>
      </c>
      <c r="B179" s="204" t="s">
        <v>1045</v>
      </c>
      <c r="C179" s="12" t="s">
        <v>217</v>
      </c>
      <c r="D179" s="206" t="s">
        <v>1196</v>
      </c>
      <c r="E179" s="204"/>
      <c r="F179" s="204">
        <v>2</v>
      </c>
      <c r="G179" s="204">
        <v>2</v>
      </c>
      <c r="H179" s="204" t="s">
        <v>16</v>
      </c>
      <c r="I179" s="204" t="s">
        <v>746</v>
      </c>
      <c r="J179" s="205">
        <v>42003</v>
      </c>
      <c r="K179" s="201" t="str">
        <f>IF(DATEDIF($J179,'Inst summary and ER calculation'!$T$6,"y")=1,"1-2 years","2-3 years")</f>
        <v>2-3 years</v>
      </c>
      <c r="L179" s="204" t="s">
        <v>16</v>
      </c>
      <c r="M179" s="204" t="s">
        <v>16</v>
      </c>
      <c r="N179" s="204">
        <v>21</v>
      </c>
      <c r="O179" s="204">
        <v>90</v>
      </c>
      <c r="P179" s="204" t="s">
        <v>16</v>
      </c>
      <c r="Q179" s="204" t="s">
        <v>16</v>
      </c>
      <c r="R179" s="204" t="s">
        <v>16</v>
      </c>
      <c r="S179" s="204" t="s">
        <v>16</v>
      </c>
      <c r="T179" s="204" t="s">
        <v>16</v>
      </c>
      <c r="U179" s="204" t="s">
        <v>16</v>
      </c>
      <c r="V179" s="204"/>
      <c r="W179" s="22"/>
      <c r="X179" s="204" t="s">
        <v>15</v>
      </c>
      <c r="Y179" s="204"/>
      <c r="Z179" s="204"/>
      <c r="AA179" s="204"/>
      <c r="AB179" s="202" t="str">
        <f t="shared" si="2"/>
        <v/>
      </c>
    </row>
    <row r="180" spans="1:28" s="203" customFormat="1" ht="14.5">
      <c r="A180" s="15">
        <v>42743</v>
      </c>
      <c r="B180" s="204" t="s">
        <v>1331</v>
      </c>
      <c r="C180" s="204" t="s">
        <v>87</v>
      </c>
      <c r="D180" s="206" t="s">
        <v>1332</v>
      </c>
      <c r="E180" s="204"/>
      <c r="F180" s="204">
        <v>7</v>
      </c>
      <c r="G180" s="204"/>
      <c r="H180" s="204" t="s">
        <v>16</v>
      </c>
      <c r="I180" s="204" t="s">
        <v>257</v>
      </c>
      <c r="J180" s="205">
        <v>42024</v>
      </c>
      <c r="K180" s="201" t="str">
        <f>IF(DATEDIF($J180,'Inst summary and ER calculation'!$T$6,"y")=1,"1-2 years","2-3 years")</f>
        <v>2-3 years</v>
      </c>
      <c r="L180" s="204" t="s">
        <v>16</v>
      </c>
      <c r="M180" s="204" t="s">
        <v>16</v>
      </c>
      <c r="N180" s="204">
        <v>21</v>
      </c>
      <c r="O180" s="204">
        <v>90</v>
      </c>
      <c r="P180" s="204" t="s">
        <v>16</v>
      </c>
      <c r="Q180" s="204" t="s">
        <v>16</v>
      </c>
      <c r="R180" s="204" t="s">
        <v>16</v>
      </c>
      <c r="S180" s="204" t="s">
        <v>16</v>
      </c>
      <c r="T180" s="204" t="s">
        <v>16</v>
      </c>
      <c r="U180" s="204" t="s">
        <v>16</v>
      </c>
      <c r="V180" s="204"/>
      <c r="W180" s="22"/>
      <c r="X180" s="204" t="s">
        <v>15</v>
      </c>
      <c r="Y180" s="204"/>
      <c r="Z180" s="204"/>
      <c r="AA180" s="204"/>
      <c r="AB180" s="202" t="str">
        <f t="shared" si="2"/>
        <v/>
      </c>
    </row>
    <row r="181" spans="1:28" s="203" customFormat="1" ht="14.5">
      <c r="A181" s="15">
        <v>42744</v>
      </c>
      <c r="B181" s="204" t="s">
        <v>1411</v>
      </c>
      <c r="C181" s="204" t="s">
        <v>1412</v>
      </c>
      <c r="D181" s="206" t="s">
        <v>1413</v>
      </c>
      <c r="E181" s="204"/>
      <c r="F181" s="204">
        <v>2</v>
      </c>
      <c r="G181" s="204">
        <v>1</v>
      </c>
      <c r="H181" s="204" t="s">
        <v>16</v>
      </c>
      <c r="I181" s="204" t="s">
        <v>455</v>
      </c>
      <c r="J181" s="205">
        <v>42154</v>
      </c>
      <c r="K181" s="201" t="str">
        <f>IF(DATEDIF($J181,'Inst summary and ER calculation'!$T$6,"y")=1,"1-2 years","2-3 years")</f>
        <v>1-2 years</v>
      </c>
      <c r="L181" s="204" t="s">
        <v>16</v>
      </c>
      <c r="M181" s="204" t="s">
        <v>16</v>
      </c>
      <c r="N181" s="204">
        <v>19</v>
      </c>
      <c r="O181" s="204">
        <v>78</v>
      </c>
      <c r="P181" s="204" t="s">
        <v>16</v>
      </c>
      <c r="Q181" s="204" t="s">
        <v>16</v>
      </c>
      <c r="R181" s="204" t="s">
        <v>16</v>
      </c>
      <c r="S181" s="204" t="s">
        <v>16</v>
      </c>
      <c r="T181" s="204" t="s">
        <v>16</v>
      </c>
      <c r="U181" s="204" t="s">
        <v>16</v>
      </c>
      <c r="V181" s="204"/>
      <c r="W181" s="22"/>
      <c r="X181" s="204" t="s">
        <v>15</v>
      </c>
      <c r="Y181" s="204"/>
      <c r="Z181" s="204"/>
      <c r="AA181" s="204"/>
      <c r="AB181" s="202" t="str">
        <f t="shared" si="2"/>
        <v/>
      </c>
    </row>
    <row r="182" spans="1:28" s="203" customFormat="1" ht="14.5">
      <c r="A182" s="15">
        <v>42744</v>
      </c>
      <c r="B182" s="204" t="s">
        <v>1057</v>
      </c>
      <c r="C182" s="204" t="s">
        <v>628</v>
      </c>
      <c r="D182" s="12" t="s">
        <v>1079</v>
      </c>
      <c r="E182" s="12"/>
      <c r="F182" s="204">
        <v>3</v>
      </c>
      <c r="G182" s="204">
        <v>2</v>
      </c>
      <c r="H182" s="204" t="s">
        <v>16</v>
      </c>
      <c r="I182" s="204" t="s">
        <v>266</v>
      </c>
      <c r="J182" s="205">
        <v>42031</v>
      </c>
      <c r="K182" s="201" t="str">
        <f>IF(DATEDIF($J182,'Inst summary and ER calculation'!$T$6,"y")=1,"1-2 years","2-3 years")</f>
        <v>2-3 years</v>
      </c>
      <c r="L182" s="204" t="s">
        <v>16</v>
      </c>
      <c r="M182" s="204" t="s">
        <v>16</v>
      </c>
      <c r="N182" s="204">
        <v>14</v>
      </c>
      <c r="O182" s="204">
        <v>60</v>
      </c>
      <c r="P182" s="204" t="s">
        <v>16</v>
      </c>
      <c r="Q182" s="204" t="s">
        <v>16</v>
      </c>
      <c r="R182" s="204" t="s">
        <v>16</v>
      </c>
      <c r="S182" s="204" t="s">
        <v>16</v>
      </c>
      <c r="T182" s="204" t="s">
        <v>16</v>
      </c>
      <c r="U182" s="204" t="s">
        <v>16</v>
      </c>
      <c r="V182" s="204"/>
      <c r="W182" s="22"/>
      <c r="X182" s="204" t="s">
        <v>15</v>
      </c>
      <c r="Y182" s="204"/>
      <c r="Z182" s="204"/>
      <c r="AA182" s="204"/>
      <c r="AB182" s="202" t="str">
        <f t="shared" si="2"/>
        <v/>
      </c>
    </row>
    <row r="183" spans="1:28" s="203" customFormat="1" ht="14.5">
      <c r="A183" s="15">
        <v>42745</v>
      </c>
      <c r="B183" s="204" t="s">
        <v>1323</v>
      </c>
      <c r="C183" s="204" t="s">
        <v>95</v>
      </c>
      <c r="D183" s="206" t="s">
        <v>1402</v>
      </c>
      <c r="E183" s="204"/>
      <c r="F183" s="204">
        <v>3</v>
      </c>
      <c r="G183" s="204">
        <v>1</v>
      </c>
      <c r="H183" s="204" t="s">
        <v>16</v>
      </c>
      <c r="I183" s="204" t="s">
        <v>422</v>
      </c>
      <c r="J183" s="205">
        <v>42139</v>
      </c>
      <c r="K183" s="201" t="str">
        <f>IF(DATEDIF($J183,'Inst summary and ER calculation'!$T$6,"y")=1,"1-2 years","2-3 years")</f>
        <v>1-2 years</v>
      </c>
      <c r="L183" s="204" t="s">
        <v>16</v>
      </c>
      <c r="M183" s="204" t="s">
        <v>16</v>
      </c>
      <c r="N183" s="204">
        <v>18</v>
      </c>
      <c r="O183" s="204">
        <v>78</v>
      </c>
      <c r="P183" s="204" t="s">
        <v>16</v>
      </c>
      <c r="Q183" s="204" t="s">
        <v>16</v>
      </c>
      <c r="R183" s="204" t="s">
        <v>16</v>
      </c>
      <c r="S183" s="204" t="s">
        <v>16</v>
      </c>
      <c r="T183" s="204" t="s">
        <v>16</v>
      </c>
      <c r="U183" s="204" t="s">
        <v>16</v>
      </c>
      <c r="V183" s="204"/>
      <c r="W183" s="22"/>
      <c r="X183" s="204" t="s">
        <v>15</v>
      </c>
      <c r="Y183" s="204"/>
      <c r="Z183" s="204"/>
      <c r="AA183" s="204"/>
      <c r="AB183" s="202" t="str">
        <f t="shared" si="2"/>
        <v/>
      </c>
    </row>
    <row r="184" spans="1:28" s="203" customFormat="1" ht="14.5">
      <c r="A184" s="15">
        <v>42745</v>
      </c>
      <c r="B184" s="204" t="s">
        <v>232</v>
      </c>
      <c r="C184" s="204" t="s">
        <v>739</v>
      </c>
      <c r="D184" s="206" t="s">
        <v>1192</v>
      </c>
      <c r="E184" s="204"/>
      <c r="F184" s="204">
        <v>2</v>
      </c>
      <c r="G184" s="204">
        <v>1</v>
      </c>
      <c r="H184" s="204" t="s">
        <v>16</v>
      </c>
      <c r="I184" s="204" t="s">
        <v>738</v>
      </c>
      <c r="J184" s="205">
        <v>41993</v>
      </c>
      <c r="K184" s="201" t="str">
        <f>IF(DATEDIF($J184,'Inst summary and ER calculation'!$T$6,"y")=1,"1-2 years","2-3 years")</f>
        <v>2-3 years</v>
      </c>
      <c r="L184" s="204" t="s">
        <v>16</v>
      </c>
      <c r="M184" s="204" t="s">
        <v>16</v>
      </c>
      <c r="N184" s="204">
        <v>18</v>
      </c>
      <c r="O184" s="204">
        <v>75</v>
      </c>
      <c r="P184" s="204" t="s">
        <v>16</v>
      </c>
      <c r="Q184" s="204" t="s">
        <v>16</v>
      </c>
      <c r="R184" s="204" t="s">
        <v>16</v>
      </c>
      <c r="S184" s="204" t="s">
        <v>16</v>
      </c>
      <c r="T184" s="204" t="s">
        <v>16</v>
      </c>
      <c r="U184" s="204" t="s">
        <v>16</v>
      </c>
      <c r="V184" s="204"/>
      <c r="W184" s="22"/>
      <c r="X184" s="204" t="s">
        <v>15</v>
      </c>
      <c r="Y184" s="204"/>
      <c r="Z184" s="204"/>
      <c r="AA184" s="204"/>
      <c r="AB184" s="202" t="str">
        <f t="shared" si="2"/>
        <v/>
      </c>
    </row>
    <row r="185" spans="1:28" s="203" customFormat="1" ht="14.5">
      <c r="A185" s="15">
        <v>42746</v>
      </c>
      <c r="B185" s="204" t="s">
        <v>1031</v>
      </c>
      <c r="C185" s="204" t="s">
        <v>633</v>
      </c>
      <c r="D185" s="12" t="s">
        <v>1034</v>
      </c>
      <c r="E185" s="12"/>
      <c r="F185" s="204">
        <v>6</v>
      </c>
      <c r="G185" s="204">
        <v>2</v>
      </c>
      <c r="H185" s="204" t="s">
        <v>16</v>
      </c>
      <c r="I185" s="11" t="s">
        <v>632</v>
      </c>
      <c r="J185" s="17">
        <v>41924</v>
      </c>
      <c r="K185" s="201" t="str">
        <f>IF(DATEDIF($J185,'Inst summary and ER calculation'!$T$6,"y")=1,"1-2 years","2-3 years")</f>
        <v>2-3 years</v>
      </c>
      <c r="L185" s="204" t="s">
        <v>16</v>
      </c>
      <c r="M185" s="204" t="s">
        <v>16</v>
      </c>
      <c r="N185" s="204">
        <v>17</v>
      </c>
      <c r="O185" s="204">
        <v>77</v>
      </c>
      <c r="P185" s="204" t="s">
        <v>16</v>
      </c>
      <c r="Q185" s="204" t="s">
        <v>16</v>
      </c>
      <c r="R185" s="204" t="s">
        <v>16</v>
      </c>
      <c r="S185" s="204" t="s">
        <v>16</v>
      </c>
      <c r="T185" s="204" t="s">
        <v>16</v>
      </c>
      <c r="U185" s="204" t="s">
        <v>16</v>
      </c>
      <c r="V185" s="204"/>
      <c r="W185" s="22"/>
      <c r="X185" s="204" t="s">
        <v>15</v>
      </c>
      <c r="Y185" s="204"/>
      <c r="Z185" s="204"/>
      <c r="AA185" s="204"/>
      <c r="AB185" s="202" t="str">
        <f t="shared" si="2"/>
        <v/>
      </c>
    </row>
    <row r="186" spans="1:28" s="203" customFormat="1" ht="14.5">
      <c r="A186" s="15">
        <v>42747</v>
      </c>
      <c r="B186" s="204" t="s">
        <v>1432</v>
      </c>
      <c r="C186" s="204" t="s">
        <v>60</v>
      </c>
      <c r="D186" s="206" t="s">
        <v>1433</v>
      </c>
      <c r="E186" s="204"/>
      <c r="F186" s="204">
        <v>5</v>
      </c>
      <c r="G186" s="204">
        <v>1</v>
      </c>
      <c r="H186" s="204" t="s">
        <v>16</v>
      </c>
      <c r="I186" s="204" t="s">
        <v>516</v>
      </c>
      <c r="J186" s="205">
        <v>42184</v>
      </c>
      <c r="K186" s="201" t="str">
        <f>IF(DATEDIF($J186,'Inst summary and ER calculation'!$T$6,"y")=1,"1-2 years","2-3 years")</f>
        <v>1-2 years</v>
      </c>
      <c r="L186" s="204" t="s">
        <v>16</v>
      </c>
      <c r="M186" s="204" t="s">
        <v>16</v>
      </c>
      <c r="N186" s="204">
        <v>14</v>
      </c>
      <c r="O186" s="204">
        <v>60</v>
      </c>
      <c r="P186" s="204" t="s">
        <v>16</v>
      </c>
      <c r="Q186" s="204" t="s">
        <v>16</v>
      </c>
      <c r="R186" s="204" t="s">
        <v>16</v>
      </c>
      <c r="S186" s="204" t="s">
        <v>16</v>
      </c>
      <c r="T186" s="204" t="s">
        <v>16</v>
      </c>
      <c r="U186" s="204" t="s">
        <v>16</v>
      </c>
      <c r="V186" s="204"/>
      <c r="W186" s="22"/>
      <c r="X186" s="204" t="s">
        <v>15</v>
      </c>
      <c r="Y186" s="204"/>
      <c r="Z186" s="204"/>
      <c r="AA186" s="204"/>
      <c r="AB186" s="202" t="str">
        <f t="shared" si="2"/>
        <v/>
      </c>
    </row>
    <row r="187" spans="1:28" s="203" customFormat="1" ht="14.5">
      <c r="A187" s="15">
        <v>42747</v>
      </c>
      <c r="B187" s="204" t="s">
        <v>1027</v>
      </c>
      <c r="C187" s="204" t="s">
        <v>1028</v>
      </c>
      <c r="D187" s="12" t="s">
        <v>1029</v>
      </c>
      <c r="E187" s="12"/>
      <c r="F187" s="204">
        <v>2</v>
      </c>
      <c r="G187" s="204">
        <v>3</v>
      </c>
      <c r="H187" s="204" t="s">
        <v>16</v>
      </c>
      <c r="I187" s="204" t="s">
        <v>602</v>
      </c>
      <c r="J187" s="205">
        <v>41883</v>
      </c>
      <c r="K187" s="201" t="str">
        <f>IF(DATEDIF($J187,'Inst summary and ER calculation'!$T$6,"y")=1,"1-2 years","2-3 years")</f>
        <v>2-3 years</v>
      </c>
      <c r="L187" s="204" t="s">
        <v>16</v>
      </c>
      <c r="M187" s="204" t="s">
        <v>16</v>
      </c>
      <c r="N187" s="204">
        <v>19</v>
      </c>
      <c r="O187" s="204">
        <v>76</v>
      </c>
      <c r="P187" s="204" t="s">
        <v>16</v>
      </c>
      <c r="Q187" s="204" t="s">
        <v>16</v>
      </c>
      <c r="R187" s="204" t="s">
        <v>16</v>
      </c>
      <c r="S187" s="204" t="s">
        <v>16</v>
      </c>
      <c r="T187" s="204" t="s">
        <v>16</v>
      </c>
      <c r="U187" s="204" t="s">
        <v>16</v>
      </c>
      <c r="V187" s="204"/>
      <c r="W187" s="22"/>
      <c r="X187" s="204" t="s">
        <v>15</v>
      </c>
      <c r="Y187" s="204"/>
      <c r="Z187" s="204"/>
      <c r="AA187" s="204"/>
      <c r="AB187" s="202" t="str">
        <f t="shared" si="2"/>
        <v/>
      </c>
    </row>
    <row r="188" spans="1:28" s="203" customFormat="1" ht="14.5">
      <c r="A188" s="15">
        <v>42747</v>
      </c>
      <c r="B188" s="204" t="s">
        <v>1015</v>
      </c>
      <c r="C188" s="204" t="s">
        <v>80</v>
      </c>
      <c r="D188" s="12" t="s">
        <v>1040</v>
      </c>
      <c r="E188" s="12"/>
      <c r="F188" s="204">
        <v>3</v>
      </c>
      <c r="G188" s="204">
        <v>1</v>
      </c>
      <c r="H188" s="204" t="s">
        <v>16</v>
      </c>
      <c r="I188" s="204" t="s">
        <v>667</v>
      </c>
      <c r="J188" s="207">
        <v>41936</v>
      </c>
      <c r="K188" s="201" t="str">
        <f>IF(DATEDIF($J188,'Inst summary and ER calculation'!$T$6,"y")=1,"1-2 years","2-3 years")</f>
        <v>2-3 years</v>
      </c>
      <c r="L188" s="204" t="s">
        <v>16</v>
      </c>
      <c r="M188" s="204" t="s">
        <v>16</v>
      </c>
      <c r="N188" s="204">
        <v>14</v>
      </c>
      <c r="O188" s="204">
        <v>60</v>
      </c>
      <c r="P188" s="204" t="s">
        <v>16</v>
      </c>
      <c r="Q188" s="204" t="s">
        <v>16</v>
      </c>
      <c r="R188" s="204" t="s">
        <v>16</v>
      </c>
      <c r="S188" s="204" t="s">
        <v>16</v>
      </c>
      <c r="T188" s="204" t="s">
        <v>16</v>
      </c>
      <c r="U188" s="204" t="s">
        <v>16</v>
      </c>
      <c r="V188" s="204"/>
      <c r="W188" s="22"/>
      <c r="X188" s="204" t="s">
        <v>15</v>
      </c>
      <c r="Y188" s="204"/>
      <c r="Z188" s="204"/>
      <c r="AA188" s="204"/>
      <c r="AB188" s="202" t="str">
        <f t="shared" si="2"/>
        <v/>
      </c>
    </row>
    <row r="189" spans="1:28" s="203" customFormat="1" ht="14.5">
      <c r="A189" s="15">
        <v>42747</v>
      </c>
      <c r="B189" s="204" t="s">
        <v>1263</v>
      </c>
      <c r="C189" s="204" t="s">
        <v>112</v>
      </c>
      <c r="D189" s="206" t="s">
        <v>1310</v>
      </c>
      <c r="E189" s="204"/>
      <c r="F189" s="204">
        <v>3</v>
      </c>
      <c r="G189" s="204"/>
      <c r="H189" s="204" t="s">
        <v>16</v>
      </c>
      <c r="I189" s="204" t="s">
        <v>689</v>
      </c>
      <c r="J189" s="207">
        <v>41942</v>
      </c>
      <c r="K189" s="201" t="str">
        <f>IF(DATEDIF($J189,'Inst summary and ER calculation'!$T$6,"y")=1,"1-2 years","2-3 years")</f>
        <v>2-3 years</v>
      </c>
      <c r="L189" s="204" t="s">
        <v>16</v>
      </c>
      <c r="M189" s="204" t="s">
        <v>16</v>
      </c>
      <c r="N189" s="204">
        <v>14</v>
      </c>
      <c r="O189" s="204">
        <v>60</v>
      </c>
      <c r="P189" s="204" t="s">
        <v>16</v>
      </c>
      <c r="Q189" s="204" t="s">
        <v>16</v>
      </c>
      <c r="R189" s="204" t="s">
        <v>16</v>
      </c>
      <c r="S189" s="204" t="s">
        <v>16</v>
      </c>
      <c r="T189" s="204" t="s">
        <v>16</v>
      </c>
      <c r="U189" s="204" t="s">
        <v>16</v>
      </c>
      <c r="V189" s="204"/>
      <c r="W189" s="22"/>
      <c r="X189" s="204" t="s">
        <v>15</v>
      </c>
      <c r="Y189" s="204"/>
      <c r="Z189" s="204"/>
      <c r="AA189" s="204"/>
      <c r="AB189" s="202" t="str">
        <f t="shared" si="2"/>
        <v/>
      </c>
    </row>
    <row r="190" spans="1:28" s="203" customFormat="1" ht="14.5">
      <c r="A190" s="15">
        <v>42747</v>
      </c>
      <c r="B190" s="204" t="s">
        <v>1027</v>
      </c>
      <c r="C190" s="204" t="s">
        <v>66</v>
      </c>
      <c r="D190" s="12" t="s">
        <v>1083</v>
      </c>
      <c r="E190" s="12"/>
      <c r="F190" s="204">
        <v>2</v>
      </c>
      <c r="G190" s="204">
        <v>3</v>
      </c>
      <c r="H190" s="204" t="s">
        <v>16</v>
      </c>
      <c r="I190" s="204" t="s">
        <v>275</v>
      </c>
      <c r="J190" s="205">
        <v>42047</v>
      </c>
      <c r="K190" s="201" t="str">
        <f>IF(DATEDIF($J190,'Inst summary and ER calculation'!$T$6,"y")=1,"1-2 years","2-3 years")</f>
        <v>2-3 years</v>
      </c>
      <c r="L190" s="204" t="s">
        <v>16</v>
      </c>
      <c r="M190" s="204" t="s">
        <v>16</v>
      </c>
      <c r="N190" s="204">
        <v>19</v>
      </c>
      <c r="O190" s="204">
        <v>76</v>
      </c>
      <c r="P190" s="204" t="s">
        <v>16</v>
      </c>
      <c r="Q190" s="204" t="s">
        <v>16</v>
      </c>
      <c r="R190" s="204" t="s">
        <v>16</v>
      </c>
      <c r="S190" s="204" t="s">
        <v>16</v>
      </c>
      <c r="T190" s="204" t="s">
        <v>16</v>
      </c>
      <c r="U190" s="204" t="s">
        <v>16</v>
      </c>
      <c r="V190" s="204"/>
      <c r="W190" s="22"/>
      <c r="X190" s="204" t="s">
        <v>15</v>
      </c>
      <c r="Y190" s="204"/>
      <c r="Z190" s="204"/>
      <c r="AA190" s="204"/>
      <c r="AB190" s="202" t="str">
        <f t="shared" si="2"/>
        <v/>
      </c>
    </row>
    <row r="191" spans="1:28" s="203" customFormat="1" ht="14.5">
      <c r="A191" s="15">
        <v>42748</v>
      </c>
      <c r="B191" s="204" t="s">
        <v>1018</v>
      </c>
      <c r="C191" s="11" t="s">
        <v>229</v>
      </c>
      <c r="D191" s="206" t="s">
        <v>1220</v>
      </c>
      <c r="E191" s="204"/>
      <c r="F191" s="204">
        <v>5</v>
      </c>
      <c r="G191" s="204"/>
      <c r="H191" s="204" t="s">
        <v>16</v>
      </c>
      <c r="I191" s="204" t="s">
        <v>341</v>
      </c>
      <c r="J191" s="205">
        <v>42096</v>
      </c>
      <c r="K191" s="201" t="str">
        <f>IF(DATEDIF($J191,'Inst summary and ER calculation'!$T$6,"y")=1,"1-2 years","2-3 years")</f>
        <v>1-2 years</v>
      </c>
      <c r="L191" s="204" t="s">
        <v>16</v>
      </c>
      <c r="M191" s="204" t="s">
        <v>16</v>
      </c>
      <c r="N191" s="204">
        <v>18</v>
      </c>
      <c r="O191" s="204">
        <v>72</v>
      </c>
      <c r="P191" s="204" t="s">
        <v>16</v>
      </c>
      <c r="Q191" s="204" t="s">
        <v>16</v>
      </c>
      <c r="R191" s="204" t="s">
        <v>16</v>
      </c>
      <c r="S191" s="204" t="s">
        <v>16</v>
      </c>
      <c r="T191" s="204" t="s">
        <v>16</v>
      </c>
      <c r="U191" s="204" t="s">
        <v>16</v>
      </c>
      <c r="V191" s="204"/>
      <c r="W191" s="22"/>
      <c r="X191" s="204" t="s">
        <v>15</v>
      </c>
      <c r="Y191" s="204"/>
      <c r="Z191" s="204"/>
      <c r="AA191" s="204"/>
      <c r="AB191" s="202" t="str">
        <f t="shared" si="2"/>
        <v/>
      </c>
    </row>
    <row r="192" spans="1:28" s="203" customFormat="1" ht="14.5">
      <c r="A192" s="15">
        <v>42749</v>
      </c>
      <c r="B192" s="204" t="s">
        <v>1061</v>
      </c>
      <c r="C192" s="204" t="s">
        <v>1063</v>
      </c>
      <c r="D192" s="12" t="s">
        <v>1064</v>
      </c>
      <c r="E192" s="12"/>
      <c r="F192" s="204">
        <v>5</v>
      </c>
      <c r="G192" s="204">
        <v>0</v>
      </c>
      <c r="H192" s="204" t="s">
        <v>16</v>
      </c>
      <c r="I192" s="204" t="s">
        <v>737</v>
      </c>
      <c r="J192" s="205">
        <v>41993</v>
      </c>
      <c r="K192" s="201" t="str">
        <f>IF(DATEDIF($J192,'Inst summary and ER calculation'!$T$6,"y")=1,"1-2 years","2-3 years")</f>
        <v>2-3 years</v>
      </c>
      <c r="L192" s="204" t="s">
        <v>16</v>
      </c>
      <c r="M192" s="204" t="s">
        <v>16</v>
      </c>
      <c r="N192" s="204">
        <v>14</v>
      </c>
      <c r="O192" s="204">
        <v>60</v>
      </c>
      <c r="P192" s="204" t="s">
        <v>16</v>
      </c>
      <c r="Q192" s="204" t="s">
        <v>16</v>
      </c>
      <c r="R192" s="204" t="s">
        <v>16</v>
      </c>
      <c r="S192" s="204" t="s">
        <v>16</v>
      </c>
      <c r="T192" s="204" t="s">
        <v>16</v>
      </c>
      <c r="U192" s="204" t="s">
        <v>16</v>
      </c>
      <c r="V192" s="204"/>
      <c r="W192" s="22"/>
      <c r="X192" s="204" t="s">
        <v>15</v>
      </c>
      <c r="Y192" s="204"/>
      <c r="Z192" s="204"/>
      <c r="AA192" s="204"/>
      <c r="AB192" s="202" t="str">
        <f t="shared" si="2"/>
        <v/>
      </c>
    </row>
    <row r="193" spans="1:28" s="203" customFormat="1" ht="14.5">
      <c r="A193" s="15">
        <v>42749</v>
      </c>
      <c r="B193" s="204" t="s">
        <v>1194</v>
      </c>
      <c r="C193" s="204" t="s">
        <v>710</v>
      </c>
      <c r="D193" s="206" t="s">
        <v>1195</v>
      </c>
      <c r="E193" s="204"/>
      <c r="F193" s="204">
        <v>2</v>
      </c>
      <c r="G193" s="204">
        <v>1</v>
      </c>
      <c r="H193" s="204" t="s">
        <v>16</v>
      </c>
      <c r="I193" s="204" t="s">
        <v>743</v>
      </c>
      <c r="J193" s="205">
        <v>42001</v>
      </c>
      <c r="K193" s="201" t="str">
        <f>IF(DATEDIF($J193,'Inst summary and ER calculation'!$T$6,"y")=1,"1-2 years","2-3 years")</f>
        <v>2-3 years</v>
      </c>
      <c r="L193" s="204" t="s">
        <v>16</v>
      </c>
      <c r="M193" s="204" t="s">
        <v>16</v>
      </c>
      <c r="N193" s="204">
        <v>20</v>
      </c>
      <c r="O193" s="204">
        <v>85</v>
      </c>
      <c r="P193" s="204" t="s">
        <v>16</v>
      </c>
      <c r="Q193" s="204" t="s">
        <v>16</v>
      </c>
      <c r="R193" s="204" t="s">
        <v>16</v>
      </c>
      <c r="S193" s="204" t="s">
        <v>16</v>
      </c>
      <c r="T193" s="204" t="s">
        <v>16</v>
      </c>
      <c r="U193" s="204" t="s">
        <v>16</v>
      </c>
      <c r="V193" s="204"/>
      <c r="W193" s="22"/>
      <c r="X193" s="204" t="s">
        <v>15</v>
      </c>
      <c r="Y193" s="204"/>
      <c r="Z193" s="204"/>
      <c r="AA193" s="204"/>
      <c r="AB193" s="202" t="str">
        <f t="shared" si="2"/>
        <v/>
      </c>
    </row>
    <row r="194" spans="1:28" s="203" customFormat="1" ht="14.5">
      <c r="A194" s="15">
        <v>42750</v>
      </c>
      <c r="B194" s="204" t="s">
        <v>1068</v>
      </c>
      <c r="C194" s="204" t="s">
        <v>1109</v>
      </c>
      <c r="D194" s="12" t="s">
        <v>1110</v>
      </c>
      <c r="E194" s="12"/>
      <c r="F194" s="204">
        <v>3</v>
      </c>
      <c r="G194" s="204">
        <v>3</v>
      </c>
      <c r="H194" s="204" t="s">
        <v>16</v>
      </c>
      <c r="I194" s="204" t="s">
        <v>351</v>
      </c>
      <c r="J194" s="205">
        <v>42108</v>
      </c>
      <c r="K194" s="201" t="str">
        <f>IF(DATEDIF($J194,'Inst summary and ER calculation'!$T$6,"y")=1,"1-2 years","2-3 years")</f>
        <v>1-2 years</v>
      </c>
      <c r="L194" s="204" t="s">
        <v>16</v>
      </c>
      <c r="M194" s="204" t="s">
        <v>16</v>
      </c>
      <c r="N194" s="204">
        <v>14</v>
      </c>
      <c r="O194" s="204">
        <v>60</v>
      </c>
      <c r="P194" s="204" t="s">
        <v>16</v>
      </c>
      <c r="Q194" s="204" t="s">
        <v>16</v>
      </c>
      <c r="R194" s="204" t="s">
        <v>16</v>
      </c>
      <c r="S194" s="204" t="s">
        <v>16</v>
      </c>
      <c r="T194" s="204" t="s">
        <v>16</v>
      </c>
      <c r="U194" s="204" t="s">
        <v>16</v>
      </c>
      <c r="V194" s="204"/>
      <c r="W194" s="22"/>
      <c r="X194" s="204" t="s">
        <v>15</v>
      </c>
      <c r="Y194" s="204"/>
      <c r="Z194" s="204"/>
      <c r="AA194" s="204"/>
      <c r="AB194" s="202" t="str">
        <f t="shared" si="2"/>
        <v/>
      </c>
    </row>
    <row r="195" spans="1:28" s="203" customFormat="1" ht="14.5">
      <c r="A195" s="15">
        <v>42750</v>
      </c>
      <c r="B195" s="204" t="s">
        <v>100</v>
      </c>
      <c r="C195" s="204" t="s">
        <v>203</v>
      </c>
      <c r="D195" s="206" t="s">
        <v>1248</v>
      </c>
      <c r="E195" s="204"/>
      <c r="F195" s="204">
        <v>6</v>
      </c>
      <c r="G195" s="204">
        <v>3</v>
      </c>
      <c r="H195" s="204" t="s">
        <v>16</v>
      </c>
      <c r="I195" s="204" t="s">
        <v>496</v>
      </c>
      <c r="J195" s="205">
        <v>42177</v>
      </c>
      <c r="K195" s="201" t="str">
        <f>IF(DATEDIF($J195,'Inst summary and ER calculation'!$T$6,"y")=1,"1-2 years","2-3 years")</f>
        <v>1-2 years</v>
      </c>
      <c r="L195" s="204" t="s">
        <v>16</v>
      </c>
      <c r="M195" s="204" t="s">
        <v>16</v>
      </c>
      <c r="N195" s="204">
        <v>16</v>
      </c>
      <c r="O195" s="204">
        <v>78</v>
      </c>
      <c r="P195" s="204" t="s">
        <v>16</v>
      </c>
      <c r="Q195" s="204" t="s">
        <v>16</v>
      </c>
      <c r="R195" s="204" t="s">
        <v>16</v>
      </c>
      <c r="S195" s="204" t="s">
        <v>16</v>
      </c>
      <c r="T195" s="204" t="s">
        <v>16</v>
      </c>
      <c r="U195" s="204" t="s">
        <v>16</v>
      </c>
      <c r="V195" s="204"/>
      <c r="W195" s="22"/>
      <c r="X195" s="204" t="s">
        <v>15</v>
      </c>
      <c r="Y195" s="204"/>
      <c r="Z195" s="204"/>
      <c r="AA195" s="204"/>
      <c r="AB195" s="202" t="str">
        <f t="shared" ref="AB195:AB207" si="3">IF(Y195="yes",MAX(Z195/(Z195+N195),AA195/(AA195+O195)),"")</f>
        <v/>
      </c>
    </row>
    <row r="196" spans="1:28" s="203" customFormat="1" ht="14.5">
      <c r="A196" s="15">
        <v>42751</v>
      </c>
      <c r="B196" s="204" t="s">
        <v>1018</v>
      </c>
      <c r="C196" s="204" t="s">
        <v>107</v>
      </c>
      <c r="D196" s="206" t="s">
        <v>1198</v>
      </c>
      <c r="E196" s="204"/>
      <c r="F196" s="204">
        <v>5</v>
      </c>
      <c r="G196" s="204">
        <v>1</v>
      </c>
      <c r="H196" s="204" t="s">
        <v>16</v>
      </c>
      <c r="I196" s="204" t="s">
        <v>244</v>
      </c>
      <c r="J196" s="205">
        <v>42017</v>
      </c>
      <c r="K196" s="201" t="str">
        <f>IF(DATEDIF($J196,'Inst summary and ER calculation'!$T$6,"y")=1,"1-2 years","2-3 years")</f>
        <v>2-3 years</v>
      </c>
      <c r="L196" s="204" t="s">
        <v>16</v>
      </c>
      <c r="M196" s="204" t="s">
        <v>16</v>
      </c>
      <c r="N196" s="204">
        <v>12</v>
      </c>
      <c r="O196" s="204">
        <v>48</v>
      </c>
      <c r="P196" s="204" t="s">
        <v>16</v>
      </c>
      <c r="Q196" s="204" t="s">
        <v>16</v>
      </c>
      <c r="R196" s="204" t="s">
        <v>16</v>
      </c>
      <c r="S196" s="204" t="s">
        <v>16</v>
      </c>
      <c r="T196" s="204" t="s">
        <v>16</v>
      </c>
      <c r="U196" s="204" t="s">
        <v>16</v>
      </c>
      <c r="V196" s="204"/>
      <c r="W196" s="22"/>
      <c r="X196" s="204" t="s">
        <v>16</v>
      </c>
      <c r="Y196" s="204" t="s">
        <v>16</v>
      </c>
      <c r="Z196" s="204">
        <v>6</v>
      </c>
      <c r="AA196" s="204">
        <v>24</v>
      </c>
      <c r="AB196" s="202">
        <f t="shared" si="3"/>
        <v>0.33333333333333331</v>
      </c>
    </row>
    <row r="197" spans="1:28" s="203" customFormat="1" ht="14.5">
      <c r="A197" s="15">
        <v>42752</v>
      </c>
      <c r="B197" s="204" t="s">
        <v>1018</v>
      </c>
      <c r="C197" s="204" t="s">
        <v>206</v>
      </c>
      <c r="D197" s="206" t="s">
        <v>1249</v>
      </c>
      <c r="E197" s="204"/>
      <c r="F197" s="204">
        <v>4</v>
      </c>
      <c r="G197" s="204">
        <v>1</v>
      </c>
      <c r="H197" s="204" t="s">
        <v>16</v>
      </c>
      <c r="I197" s="204" t="s">
        <v>495</v>
      </c>
      <c r="J197" s="205">
        <v>42177</v>
      </c>
      <c r="K197" s="201" t="str">
        <f>IF(DATEDIF($J197,'Inst summary and ER calculation'!$T$6,"y")=1,"1-2 years","2-3 years")</f>
        <v>1-2 years</v>
      </c>
      <c r="L197" s="204" t="s">
        <v>16</v>
      </c>
      <c r="M197" s="204" t="s">
        <v>16</v>
      </c>
      <c r="N197" s="204">
        <v>20</v>
      </c>
      <c r="O197" s="204">
        <v>80</v>
      </c>
      <c r="P197" s="204" t="s">
        <v>16</v>
      </c>
      <c r="Q197" s="204" t="s">
        <v>16</v>
      </c>
      <c r="R197" s="204" t="s">
        <v>16</v>
      </c>
      <c r="S197" s="204" t="s">
        <v>16</v>
      </c>
      <c r="T197" s="204" t="s">
        <v>16</v>
      </c>
      <c r="U197" s="204" t="s">
        <v>16</v>
      </c>
      <c r="V197" s="204"/>
      <c r="W197" s="22"/>
      <c r="X197" s="204" t="s">
        <v>15</v>
      </c>
      <c r="Y197" s="204"/>
      <c r="Z197" s="204"/>
      <c r="AA197" s="204"/>
      <c r="AB197" s="202" t="str">
        <f t="shared" si="3"/>
        <v/>
      </c>
    </row>
    <row r="198" spans="1:28" s="203" customFormat="1" ht="14.5">
      <c r="A198" s="15">
        <v>42752</v>
      </c>
      <c r="B198" s="204" t="s">
        <v>1284</v>
      </c>
      <c r="C198" s="12" t="s">
        <v>286</v>
      </c>
      <c r="D198" s="206" t="s">
        <v>1285</v>
      </c>
      <c r="E198" s="204"/>
      <c r="F198" s="204">
        <v>4</v>
      </c>
      <c r="G198" s="204">
        <v>2</v>
      </c>
      <c r="H198" s="204" t="s">
        <v>16</v>
      </c>
      <c r="I198" s="204" t="s">
        <v>616</v>
      </c>
      <c r="J198" s="205">
        <v>41910</v>
      </c>
      <c r="K198" s="201" t="str">
        <f>IF(DATEDIF($J198,'Inst summary and ER calculation'!$T$6,"y")=1,"1-2 years","2-3 years")</f>
        <v>2-3 years</v>
      </c>
      <c r="L198" s="204" t="s">
        <v>16</v>
      </c>
      <c r="M198" s="204" t="s">
        <v>16</v>
      </c>
      <c r="N198" s="204">
        <v>20</v>
      </c>
      <c r="O198" s="204">
        <v>80</v>
      </c>
      <c r="P198" s="204" t="s">
        <v>16</v>
      </c>
      <c r="Q198" s="204" t="s">
        <v>16</v>
      </c>
      <c r="R198" s="204" t="s">
        <v>16</v>
      </c>
      <c r="S198" s="204" t="s">
        <v>16</v>
      </c>
      <c r="T198" s="204" t="s">
        <v>16</v>
      </c>
      <c r="U198" s="204" t="s">
        <v>16</v>
      </c>
      <c r="V198" s="204"/>
      <c r="W198" s="22"/>
      <c r="X198" s="204" t="s">
        <v>15</v>
      </c>
      <c r="Y198" s="204"/>
      <c r="Z198" s="204"/>
      <c r="AA198" s="204"/>
      <c r="AB198" s="202" t="str">
        <f t="shared" si="3"/>
        <v/>
      </c>
    </row>
    <row r="199" spans="1:28" s="203" customFormat="1" ht="14.5">
      <c r="A199" s="15">
        <v>42752</v>
      </c>
      <c r="B199" s="204" t="s">
        <v>1038</v>
      </c>
      <c r="C199" s="204" t="s">
        <v>212</v>
      </c>
      <c r="D199" s="206" t="s">
        <v>1184</v>
      </c>
      <c r="E199" s="204"/>
      <c r="F199" s="204">
        <v>2</v>
      </c>
      <c r="G199" s="204">
        <v>2</v>
      </c>
      <c r="H199" s="204" t="s">
        <v>16</v>
      </c>
      <c r="I199" s="204" t="s">
        <v>714</v>
      </c>
      <c r="J199" s="205">
        <v>41972</v>
      </c>
      <c r="K199" s="201" t="str">
        <f>IF(DATEDIF($J199,'Inst summary and ER calculation'!$T$6,"y")=1,"1-2 years","2-3 years")</f>
        <v>2-3 years</v>
      </c>
      <c r="L199" s="204" t="s">
        <v>16</v>
      </c>
      <c r="M199" s="204" t="s">
        <v>16</v>
      </c>
      <c r="N199" s="204">
        <v>20</v>
      </c>
      <c r="O199" s="204">
        <v>80</v>
      </c>
      <c r="P199" s="204" t="s">
        <v>16</v>
      </c>
      <c r="Q199" s="204" t="s">
        <v>16</v>
      </c>
      <c r="R199" s="204" t="s">
        <v>16</v>
      </c>
      <c r="S199" s="204" t="s">
        <v>16</v>
      </c>
      <c r="T199" s="204" t="s">
        <v>16</v>
      </c>
      <c r="U199" s="204" t="s">
        <v>16</v>
      </c>
      <c r="V199" s="204"/>
      <c r="W199" s="22"/>
      <c r="X199" s="204" t="s">
        <v>15</v>
      </c>
      <c r="Y199" s="204"/>
      <c r="Z199" s="204"/>
      <c r="AA199" s="204"/>
      <c r="AB199" s="202" t="str">
        <f t="shared" si="3"/>
        <v/>
      </c>
    </row>
    <row r="200" spans="1:28" s="203" customFormat="1" ht="14.5">
      <c r="A200" s="15">
        <v>42754</v>
      </c>
      <c r="B200" s="204" t="s">
        <v>1057</v>
      </c>
      <c r="C200" s="204" t="s">
        <v>161</v>
      </c>
      <c r="D200" s="206" t="s">
        <v>1235</v>
      </c>
      <c r="E200" s="204"/>
      <c r="F200" s="204">
        <v>3</v>
      </c>
      <c r="G200" s="204">
        <v>2</v>
      </c>
      <c r="H200" s="204" t="s">
        <v>16</v>
      </c>
      <c r="I200" s="204" t="s">
        <v>412</v>
      </c>
      <c r="J200" s="205">
        <v>42133</v>
      </c>
      <c r="K200" s="201" t="str">
        <f>IF(DATEDIF($J200,'Inst summary and ER calculation'!$T$6,"y")=1,"1-2 years","2-3 years")</f>
        <v>1-2 years</v>
      </c>
      <c r="L200" s="204" t="s">
        <v>16</v>
      </c>
      <c r="M200" s="204" t="s">
        <v>16</v>
      </c>
      <c r="N200" s="204">
        <v>14</v>
      </c>
      <c r="O200" s="204">
        <v>60</v>
      </c>
      <c r="P200" s="204" t="s">
        <v>16</v>
      </c>
      <c r="Q200" s="204" t="s">
        <v>16</v>
      </c>
      <c r="R200" s="204" t="s">
        <v>16</v>
      </c>
      <c r="S200" s="204" t="s">
        <v>16</v>
      </c>
      <c r="T200" s="204" t="s">
        <v>16</v>
      </c>
      <c r="U200" s="204" t="s">
        <v>16</v>
      </c>
      <c r="V200" s="204"/>
      <c r="W200" s="22"/>
      <c r="X200" s="204" t="s">
        <v>15</v>
      </c>
      <c r="Y200" s="204"/>
      <c r="Z200" s="204"/>
      <c r="AA200" s="204"/>
      <c r="AB200" s="202" t="str">
        <f t="shared" si="3"/>
        <v/>
      </c>
    </row>
    <row r="201" spans="1:28" s="203" customFormat="1" ht="14.5">
      <c r="A201" s="15">
        <v>42754</v>
      </c>
      <c r="B201" s="204" t="s">
        <v>1284</v>
      </c>
      <c r="C201" s="204" t="s">
        <v>93</v>
      </c>
      <c r="D201" s="206" t="s">
        <v>1417</v>
      </c>
      <c r="E201" s="204"/>
      <c r="F201" s="204">
        <v>3</v>
      </c>
      <c r="G201" s="204">
        <v>2</v>
      </c>
      <c r="H201" s="204" t="s">
        <v>16</v>
      </c>
      <c r="I201" s="204" t="s">
        <v>467</v>
      </c>
      <c r="J201" s="205">
        <v>42166</v>
      </c>
      <c r="K201" s="201" t="str">
        <f>IF(DATEDIF($J201,'Inst summary and ER calculation'!$T$6,"y")=1,"1-2 years","2-3 years")</f>
        <v>1-2 years</v>
      </c>
      <c r="L201" s="204" t="s">
        <v>16</v>
      </c>
      <c r="M201" s="204" t="s">
        <v>16</v>
      </c>
      <c r="N201" s="204">
        <v>20</v>
      </c>
      <c r="O201" s="204">
        <v>80</v>
      </c>
      <c r="P201" s="204" t="s">
        <v>16</v>
      </c>
      <c r="Q201" s="204" t="s">
        <v>16</v>
      </c>
      <c r="R201" s="204" t="s">
        <v>16</v>
      </c>
      <c r="S201" s="204" t="s">
        <v>16</v>
      </c>
      <c r="T201" s="204" t="s">
        <v>16</v>
      </c>
      <c r="U201" s="204" t="s">
        <v>16</v>
      </c>
      <c r="V201" s="204"/>
      <c r="W201" s="22"/>
      <c r="X201" s="204" t="s">
        <v>15</v>
      </c>
      <c r="Y201" s="204"/>
      <c r="Z201" s="204"/>
      <c r="AA201" s="204"/>
      <c r="AB201" s="202" t="str">
        <f t="shared" si="3"/>
        <v/>
      </c>
    </row>
    <row r="202" spans="1:28" s="203" customFormat="1" ht="14.5">
      <c r="A202" s="15">
        <v>42754</v>
      </c>
      <c r="B202" s="204" t="s">
        <v>803</v>
      </c>
      <c r="C202" s="204" t="s">
        <v>176</v>
      </c>
      <c r="D202" s="206" t="s">
        <v>1247</v>
      </c>
      <c r="E202" s="204"/>
      <c r="F202" s="204">
        <v>3</v>
      </c>
      <c r="G202" s="204">
        <v>3</v>
      </c>
      <c r="H202" s="204" t="s">
        <v>16</v>
      </c>
      <c r="I202" s="204" t="s">
        <v>487</v>
      </c>
      <c r="J202" s="205">
        <v>42173</v>
      </c>
      <c r="K202" s="201" t="str">
        <f>IF(DATEDIF($J202,'Inst summary and ER calculation'!$T$6,"y")=1,"1-2 years","2-3 years")</f>
        <v>1-2 years</v>
      </c>
      <c r="L202" s="204" t="s">
        <v>16</v>
      </c>
      <c r="M202" s="204" t="s">
        <v>16</v>
      </c>
      <c r="N202" s="204">
        <v>20</v>
      </c>
      <c r="O202" s="204">
        <v>90</v>
      </c>
      <c r="P202" s="204" t="s">
        <v>16</v>
      </c>
      <c r="Q202" s="204" t="s">
        <v>16</v>
      </c>
      <c r="R202" s="204" t="s">
        <v>16</v>
      </c>
      <c r="S202" s="204" t="s">
        <v>16</v>
      </c>
      <c r="T202" s="204" t="s">
        <v>16</v>
      </c>
      <c r="U202" s="204" t="s">
        <v>16</v>
      </c>
      <c r="V202" s="204"/>
      <c r="W202" s="22"/>
      <c r="X202" s="204" t="s">
        <v>15</v>
      </c>
      <c r="Y202" s="204"/>
      <c r="Z202" s="204"/>
      <c r="AA202" s="204"/>
      <c r="AB202" s="202" t="str">
        <f t="shared" si="3"/>
        <v/>
      </c>
    </row>
    <row r="203" spans="1:28" s="203" customFormat="1" ht="14.5">
      <c r="A203" s="15">
        <v>42754</v>
      </c>
      <c r="B203" s="204" t="s">
        <v>920</v>
      </c>
      <c r="C203" s="204" t="s">
        <v>1256</v>
      </c>
      <c r="D203" s="206" t="s">
        <v>1257</v>
      </c>
      <c r="E203" s="204"/>
      <c r="F203" s="204">
        <v>4</v>
      </c>
      <c r="G203" s="204"/>
      <c r="H203" s="204" t="s">
        <v>16</v>
      </c>
      <c r="I203" s="204" t="s">
        <v>504</v>
      </c>
      <c r="J203" s="205">
        <v>42183</v>
      </c>
      <c r="K203" s="201" t="str">
        <f>IF(DATEDIF($J203,'Inst summary and ER calculation'!$T$6,"y")=1,"1-2 years","2-3 years")</f>
        <v>1-2 years</v>
      </c>
      <c r="L203" s="204" t="s">
        <v>16</v>
      </c>
      <c r="M203" s="204" t="s">
        <v>16</v>
      </c>
      <c r="N203" s="204">
        <v>18</v>
      </c>
      <c r="O203" s="204">
        <v>79</v>
      </c>
      <c r="P203" s="204" t="s">
        <v>16</v>
      </c>
      <c r="Q203" s="204" t="s">
        <v>16</v>
      </c>
      <c r="R203" s="204" t="s">
        <v>16</v>
      </c>
      <c r="S203" s="204" t="s">
        <v>16</v>
      </c>
      <c r="T203" s="204" t="s">
        <v>16</v>
      </c>
      <c r="U203" s="204" t="s">
        <v>16</v>
      </c>
      <c r="V203" s="204"/>
      <c r="W203" s="22"/>
      <c r="X203" s="204" t="s">
        <v>15</v>
      </c>
      <c r="Y203" s="204"/>
      <c r="Z203" s="204"/>
      <c r="AA203" s="204"/>
      <c r="AB203" s="202" t="str">
        <f t="shared" si="3"/>
        <v/>
      </c>
    </row>
    <row r="204" spans="1:28" s="203" customFormat="1" ht="14.5">
      <c r="A204" s="15">
        <v>42754</v>
      </c>
      <c r="B204" s="204" t="s">
        <v>1273</v>
      </c>
      <c r="C204" s="204" t="s">
        <v>514</v>
      </c>
      <c r="D204" s="206" t="s">
        <v>1431</v>
      </c>
      <c r="E204" s="204"/>
      <c r="F204" s="204">
        <v>2</v>
      </c>
      <c r="G204" s="204">
        <v>4</v>
      </c>
      <c r="H204" s="204" t="s">
        <v>16</v>
      </c>
      <c r="I204" s="204" t="s">
        <v>513</v>
      </c>
      <c r="J204" s="205">
        <v>42184</v>
      </c>
      <c r="K204" s="201" t="str">
        <f>IF(DATEDIF($J204,'Inst summary and ER calculation'!$T$6,"y")=1,"1-2 years","2-3 years")</f>
        <v>1-2 years</v>
      </c>
      <c r="L204" s="204" t="s">
        <v>16</v>
      </c>
      <c r="M204" s="204" t="s">
        <v>16</v>
      </c>
      <c r="N204" s="204">
        <v>14</v>
      </c>
      <c r="O204" s="204">
        <v>60</v>
      </c>
      <c r="P204" s="204" t="s">
        <v>16</v>
      </c>
      <c r="Q204" s="204" t="s">
        <v>16</v>
      </c>
      <c r="R204" s="204" t="s">
        <v>16</v>
      </c>
      <c r="S204" s="204" t="s">
        <v>16</v>
      </c>
      <c r="T204" s="204" t="s">
        <v>16</v>
      </c>
      <c r="U204" s="204" t="s">
        <v>16</v>
      </c>
      <c r="V204" s="204"/>
      <c r="W204" s="22"/>
      <c r="X204" s="204" t="s">
        <v>15</v>
      </c>
      <c r="Y204" s="204"/>
      <c r="Z204" s="204"/>
      <c r="AA204" s="204"/>
      <c r="AB204" s="202" t="str">
        <f t="shared" si="3"/>
        <v/>
      </c>
    </row>
    <row r="205" spans="1:28" s="203" customFormat="1" ht="14.5">
      <c r="A205" s="15">
        <v>42754</v>
      </c>
      <c r="B205" s="204" t="s">
        <v>1061</v>
      </c>
      <c r="C205" s="204" t="s">
        <v>98</v>
      </c>
      <c r="D205" s="12" t="s">
        <v>1062</v>
      </c>
      <c r="E205" s="12"/>
      <c r="F205" s="204">
        <v>4</v>
      </c>
      <c r="G205" s="204">
        <v>1</v>
      </c>
      <c r="H205" s="204" t="s">
        <v>16</v>
      </c>
      <c r="I205" s="204" t="s">
        <v>723</v>
      </c>
      <c r="J205" s="205">
        <v>41988</v>
      </c>
      <c r="K205" s="201" t="str">
        <f>IF(DATEDIF($J205,'Inst summary and ER calculation'!$T$6,"y")=1,"1-2 years","2-3 years")</f>
        <v>2-3 years</v>
      </c>
      <c r="L205" s="204" t="s">
        <v>16</v>
      </c>
      <c r="M205" s="204" t="s">
        <v>16</v>
      </c>
      <c r="N205" s="204">
        <v>14</v>
      </c>
      <c r="O205" s="204">
        <v>60</v>
      </c>
      <c r="P205" s="204" t="s">
        <v>16</v>
      </c>
      <c r="Q205" s="204" t="s">
        <v>16</v>
      </c>
      <c r="R205" s="204" t="s">
        <v>16</v>
      </c>
      <c r="S205" s="204" t="s">
        <v>16</v>
      </c>
      <c r="T205" s="204" t="s">
        <v>16</v>
      </c>
      <c r="U205" s="204" t="s">
        <v>16</v>
      </c>
      <c r="V205" s="204"/>
      <c r="W205" s="22"/>
      <c r="X205" s="204" t="s">
        <v>15</v>
      </c>
      <c r="Y205" s="204"/>
      <c r="Z205" s="204"/>
      <c r="AA205" s="204"/>
      <c r="AB205" s="202" t="str">
        <f t="shared" si="3"/>
        <v/>
      </c>
    </row>
    <row r="206" spans="1:28" s="203" customFormat="1" ht="14.5">
      <c r="A206" s="15">
        <v>42755</v>
      </c>
      <c r="B206" s="204" t="s">
        <v>1368</v>
      </c>
      <c r="C206" s="204" t="s">
        <v>53</v>
      </c>
      <c r="D206" s="206" t="s">
        <v>1369</v>
      </c>
      <c r="E206" s="204"/>
      <c r="F206" s="204">
        <v>4</v>
      </c>
      <c r="G206" s="204">
        <v>3</v>
      </c>
      <c r="H206" s="204" t="s">
        <v>16</v>
      </c>
      <c r="I206" s="204" t="s">
        <v>320</v>
      </c>
      <c r="J206" s="205">
        <v>42082</v>
      </c>
      <c r="K206" s="201" t="str">
        <f>IF(DATEDIF($J206,'Inst summary and ER calculation'!$T$6,"y")=1,"1-2 years","2-3 years")</f>
        <v>1-2 years</v>
      </c>
      <c r="L206" s="204" t="s">
        <v>16</v>
      </c>
      <c r="M206" s="204" t="s">
        <v>16</v>
      </c>
      <c r="N206" s="204">
        <v>16</v>
      </c>
      <c r="O206" s="204">
        <v>68</v>
      </c>
      <c r="P206" s="204" t="s">
        <v>16</v>
      </c>
      <c r="Q206" s="204" t="s">
        <v>16</v>
      </c>
      <c r="R206" s="204" t="s">
        <v>16</v>
      </c>
      <c r="S206" s="204" t="s">
        <v>16</v>
      </c>
      <c r="T206" s="204" t="s">
        <v>16</v>
      </c>
      <c r="U206" s="204" t="s">
        <v>16</v>
      </c>
      <c r="V206" s="204"/>
      <c r="W206" s="22"/>
      <c r="X206" s="204" t="s">
        <v>15</v>
      </c>
      <c r="Y206" s="204"/>
      <c r="Z206" s="204"/>
      <c r="AA206" s="204"/>
      <c r="AB206" s="202" t="str">
        <f t="shared" si="3"/>
        <v/>
      </c>
    </row>
    <row r="207" spans="1:28" s="203" customFormat="1" ht="14.5">
      <c r="A207" s="15">
        <v>42755</v>
      </c>
      <c r="B207" s="204" t="s">
        <v>1061</v>
      </c>
      <c r="C207" s="11" t="s">
        <v>699</v>
      </c>
      <c r="D207" s="206" t="s">
        <v>1181</v>
      </c>
      <c r="E207" s="204"/>
      <c r="F207" s="204">
        <v>4</v>
      </c>
      <c r="G207" s="204">
        <v>1</v>
      </c>
      <c r="H207" s="204" t="s">
        <v>16</v>
      </c>
      <c r="I207" s="204" t="s">
        <v>698</v>
      </c>
      <c r="J207" s="205">
        <v>41953</v>
      </c>
      <c r="K207" s="201" t="str">
        <f>IF(DATEDIF($J207,'Inst summary and ER calculation'!$T$6,"y")=1,"1-2 years","2-3 years")</f>
        <v>2-3 years</v>
      </c>
      <c r="L207" s="204" t="s">
        <v>16</v>
      </c>
      <c r="M207" s="204" t="s">
        <v>16</v>
      </c>
      <c r="N207" s="204">
        <v>21</v>
      </c>
      <c r="O207" s="204">
        <v>90</v>
      </c>
      <c r="P207" s="204" t="s">
        <v>16</v>
      </c>
      <c r="Q207" s="204" t="s">
        <v>16</v>
      </c>
      <c r="R207" s="204" t="s">
        <v>16</v>
      </c>
      <c r="S207" s="204" t="s">
        <v>16</v>
      </c>
      <c r="T207" s="204" t="s">
        <v>16</v>
      </c>
      <c r="U207" s="204" t="s">
        <v>16</v>
      </c>
      <c r="V207" s="204"/>
      <c r="W207" s="22"/>
      <c r="X207" s="204" t="s">
        <v>15</v>
      </c>
      <c r="Y207" s="204"/>
      <c r="Z207" s="204"/>
      <c r="AA207" s="204"/>
      <c r="AB207" s="202" t="str">
        <f t="shared" si="3"/>
        <v/>
      </c>
    </row>
  </sheetData>
  <mergeCells count="25">
    <mergeCell ref="H1:H2"/>
    <mergeCell ref="I1:I2"/>
    <mergeCell ref="V1:V2"/>
    <mergeCell ref="W1:W2"/>
    <mergeCell ref="X1:X2"/>
    <mergeCell ref="M1:M2"/>
    <mergeCell ref="P1:P2"/>
    <mergeCell ref="Q1:Q2"/>
    <mergeCell ref="R1:R2"/>
    <mergeCell ref="AB1:AB2"/>
    <mergeCell ref="J1:J2"/>
    <mergeCell ref="K1:K2"/>
    <mergeCell ref="L1:L2"/>
    <mergeCell ref="A1:A2"/>
    <mergeCell ref="B1:B2"/>
    <mergeCell ref="C1:C2"/>
    <mergeCell ref="D1:D2"/>
    <mergeCell ref="E1:E2"/>
    <mergeCell ref="Y1:Y2"/>
    <mergeCell ref="Z1:AA1"/>
    <mergeCell ref="N1:O1"/>
    <mergeCell ref="F1:G1"/>
    <mergeCell ref="S1:S2"/>
    <mergeCell ref="T1:T2"/>
    <mergeCell ref="U1:U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0E80-7DAD-414D-9D8C-71373F87CF75}">
  <sheetPr codeName="Sheet6"/>
  <dimension ref="A1:AD208"/>
  <sheetViews>
    <sheetView topLeftCell="G1" zoomScale="85" zoomScaleNormal="85" workbookViewId="0">
      <selection activeCell="G29" sqref="G29"/>
    </sheetView>
  </sheetViews>
  <sheetFormatPr defaultColWidth="8.83203125" defaultRowHeight="15.5"/>
  <cols>
    <col min="1" max="1" width="14.33203125" style="19" bestFit="1" customWidth="1"/>
    <col min="2" max="2" width="24.83203125" style="19" bestFit="1" customWidth="1"/>
    <col min="3" max="3" width="32.5" style="19" bestFit="1" customWidth="1"/>
    <col min="4" max="4" width="46.83203125" style="19" customWidth="1"/>
    <col min="5" max="5" width="16.33203125" style="19" customWidth="1"/>
    <col min="6" max="6" width="13.1640625" style="19" customWidth="1"/>
    <col min="7" max="7" width="12.6640625" style="19" customWidth="1"/>
    <col min="8" max="8" width="13.83203125" style="19" customWidth="1"/>
    <col min="9" max="9" width="27.5" style="19" bestFit="1" customWidth="1"/>
    <col min="10" max="10" width="17" style="19" customWidth="1"/>
    <col min="11" max="12" width="11.33203125" style="19" bestFit="1" customWidth="1"/>
    <col min="13" max="13" width="12" style="19" bestFit="1" customWidth="1"/>
    <col min="14" max="15" width="12.6640625" style="19" customWidth="1"/>
    <col min="16" max="16" width="16.1640625" style="19" customWidth="1"/>
    <col min="17" max="17" width="20.33203125" style="19" customWidth="1"/>
    <col min="18" max="18" width="15.83203125" style="19" customWidth="1"/>
    <col min="19" max="19" width="20.83203125" style="19" customWidth="1"/>
    <col min="20" max="21" width="17.83203125" style="19" customWidth="1"/>
    <col min="22" max="22" width="19.5" style="19" customWidth="1"/>
    <col min="23" max="23" width="20.5" style="19" customWidth="1"/>
    <col min="24" max="24" width="16.6640625" style="19" customWidth="1"/>
    <col min="25" max="25" width="15.6640625" style="19" customWidth="1"/>
    <col min="26" max="26" width="14" style="19" bestFit="1" customWidth="1"/>
    <col min="27" max="27" width="14.6640625" style="19" bestFit="1" customWidth="1"/>
    <col min="28" max="28" width="16.6640625" style="19" bestFit="1" customWidth="1"/>
    <col min="29" max="16384" width="8.83203125" style="19"/>
  </cols>
  <sheetData>
    <row r="1" spans="1:30" s="18" customFormat="1" ht="54" customHeight="1">
      <c r="A1" s="281" t="s">
        <v>900</v>
      </c>
      <c r="B1" s="281" t="s">
        <v>761</v>
      </c>
      <c r="C1" s="281" t="s">
        <v>762</v>
      </c>
      <c r="D1" s="281" t="s">
        <v>763</v>
      </c>
      <c r="E1" s="281" t="s">
        <v>764</v>
      </c>
      <c r="F1" s="285" t="s">
        <v>1010</v>
      </c>
      <c r="G1" s="286"/>
      <c r="H1" s="287" t="s">
        <v>765</v>
      </c>
      <c r="I1" s="287" t="s">
        <v>766</v>
      </c>
      <c r="J1" s="287" t="s">
        <v>767</v>
      </c>
      <c r="K1" s="287" t="s">
        <v>0</v>
      </c>
      <c r="L1" s="287" t="s">
        <v>768</v>
      </c>
      <c r="M1" s="287" t="s">
        <v>769</v>
      </c>
      <c r="N1" s="285" t="s">
        <v>1009</v>
      </c>
      <c r="O1" s="286"/>
      <c r="P1" s="287" t="s">
        <v>770</v>
      </c>
      <c r="Q1" s="287" t="s">
        <v>771</v>
      </c>
      <c r="R1" s="287" t="s">
        <v>772</v>
      </c>
      <c r="S1" s="287" t="s">
        <v>773</v>
      </c>
      <c r="T1" s="287" t="s">
        <v>774</v>
      </c>
      <c r="U1" s="287" t="s">
        <v>775</v>
      </c>
      <c r="V1" s="287" t="s">
        <v>776</v>
      </c>
      <c r="W1" s="287" t="s">
        <v>777</v>
      </c>
      <c r="X1" s="287" t="s">
        <v>778</v>
      </c>
      <c r="Y1" s="287" t="s">
        <v>779</v>
      </c>
      <c r="Z1" s="285" t="s">
        <v>1013</v>
      </c>
      <c r="AA1" s="286"/>
      <c r="AB1" s="289" t="s">
        <v>1438</v>
      </c>
    </row>
    <row r="2" spans="1:30" s="18" customFormat="1" ht="25.5" customHeight="1">
      <c r="A2" s="282"/>
      <c r="B2" s="282"/>
      <c r="C2" s="282"/>
      <c r="D2" s="282"/>
      <c r="E2" s="282"/>
      <c r="F2" s="150" t="s">
        <v>1011</v>
      </c>
      <c r="G2" s="150" t="s">
        <v>1012</v>
      </c>
      <c r="H2" s="288"/>
      <c r="I2" s="288"/>
      <c r="J2" s="288"/>
      <c r="K2" s="288"/>
      <c r="L2" s="288"/>
      <c r="M2" s="288"/>
      <c r="N2" s="150" t="s">
        <v>1007</v>
      </c>
      <c r="O2" s="150" t="s">
        <v>1008</v>
      </c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150" t="s">
        <v>1007</v>
      </c>
      <c r="AA2" s="150" t="s">
        <v>1008</v>
      </c>
      <c r="AB2" s="289"/>
    </row>
    <row r="3" spans="1:30" s="213" customFormat="1" ht="14.5">
      <c r="A3" s="206">
        <v>43112</v>
      </c>
      <c r="B3" s="204" t="s">
        <v>622</v>
      </c>
      <c r="C3" s="204" t="s">
        <v>1372</v>
      </c>
      <c r="D3" s="206" t="s">
        <v>1373</v>
      </c>
      <c r="E3" s="204"/>
      <c r="F3" s="204">
        <v>2</v>
      </c>
      <c r="G3" s="204">
        <v>1</v>
      </c>
      <c r="H3" s="204" t="s">
        <v>16</v>
      </c>
      <c r="I3" s="204" t="s">
        <v>335</v>
      </c>
      <c r="J3" s="205">
        <v>42091</v>
      </c>
      <c r="K3" s="13" t="str">
        <f>IF(DATEDIF($J3,'Inst summary and ER calculation'!$U$6,"y")=2,"2-3 years","3-4 years")</f>
        <v>2-3 years</v>
      </c>
      <c r="L3" s="204" t="s">
        <v>16</v>
      </c>
      <c r="M3" s="204" t="s">
        <v>16</v>
      </c>
      <c r="N3" s="204">
        <v>14</v>
      </c>
      <c r="O3" s="204">
        <v>60</v>
      </c>
      <c r="P3" s="204" t="s">
        <v>16</v>
      </c>
      <c r="Q3" s="204" t="s">
        <v>16</v>
      </c>
      <c r="R3" s="204" t="s">
        <v>16</v>
      </c>
      <c r="S3" s="204" t="s">
        <v>16</v>
      </c>
      <c r="T3" s="204" t="s">
        <v>16</v>
      </c>
      <c r="U3" s="204" t="s">
        <v>16</v>
      </c>
      <c r="V3" s="204"/>
      <c r="W3" s="22"/>
      <c r="X3" s="204" t="s">
        <v>15</v>
      </c>
      <c r="Y3" s="204"/>
      <c r="Z3" s="204"/>
      <c r="AA3" s="204"/>
      <c r="AB3" s="202" t="str">
        <f t="shared" ref="AB3:AB34" si="0">IF(Y3="yes",MAX(Z3/(Z3+N3),AA3/(AA3+O3)),"")</f>
        <v/>
      </c>
    </row>
    <row r="4" spans="1:30" s="213" customFormat="1" ht="14.5">
      <c r="A4" s="206">
        <v>43108</v>
      </c>
      <c r="B4" s="204" t="s">
        <v>454</v>
      </c>
      <c r="C4" s="204" t="s">
        <v>1149</v>
      </c>
      <c r="D4" s="12" t="s">
        <v>1150</v>
      </c>
      <c r="E4" s="12"/>
      <c r="F4" s="204">
        <v>6</v>
      </c>
      <c r="G4" s="204">
        <v>2</v>
      </c>
      <c r="H4" s="204" t="s">
        <v>16</v>
      </c>
      <c r="I4" s="204" t="s">
        <v>473</v>
      </c>
      <c r="J4" s="205">
        <v>42170</v>
      </c>
      <c r="K4" s="13" t="str">
        <f>IF(DATEDIF($J4,'Inst summary and ER calculation'!$U$6,"y")=2,"2-3 years","3-4 years")</f>
        <v>2-3 years</v>
      </c>
      <c r="L4" s="204" t="s">
        <v>16</v>
      </c>
      <c r="M4" s="204" t="s">
        <v>16</v>
      </c>
      <c r="N4" s="204">
        <v>14</v>
      </c>
      <c r="O4" s="204">
        <v>60</v>
      </c>
      <c r="P4" s="204" t="s">
        <v>16</v>
      </c>
      <c r="Q4" s="204" t="s">
        <v>16</v>
      </c>
      <c r="R4" s="204" t="s">
        <v>16</v>
      </c>
      <c r="S4" s="204" t="s">
        <v>16</v>
      </c>
      <c r="T4" s="204" t="s">
        <v>16</v>
      </c>
      <c r="U4" s="204" t="s">
        <v>16</v>
      </c>
      <c r="V4" s="204"/>
      <c r="W4" s="22"/>
      <c r="X4" s="204" t="s">
        <v>15</v>
      </c>
      <c r="Y4" s="204"/>
      <c r="Z4" s="204"/>
      <c r="AA4" s="204"/>
      <c r="AB4" s="202" t="str">
        <f t="shared" si="0"/>
        <v/>
      </c>
    </row>
    <row r="5" spans="1:30" s="213" customFormat="1" ht="14.5">
      <c r="A5" s="206">
        <v>43104</v>
      </c>
      <c r="B5" s="4" t="s">
        <v>238</v>
      </c>
      <c r="C5" s="4" t="s">
        <v>410</v>
      </c>
      <c r="D5" s="4" t="s">
        <v>893</v>
      </c>
      <c r="E5" s="4"/>
      <c r="F5" s="4">
        <v>2</v>
      </c>
      <c r="G5" s="209">
        <v>2</v>
      </c>
      <c r="H5" s="4" t="s">
        <v>780</v>
      </c>
      <c r="I5" s="4" t="s">
        <v>409</v>
      </c>
      <c r="J5" s="205">
        <v>42128</v>
      </c>
      <c r="K5" s="13" t="str">
        <f>IF(DATEDIF($J5,'Inst summary and ER calculation'!$U$6,"y")=2,"2-3 years","3-4 years")</f>
        <v>2-3 years</v>
      </c>
      <c r="L5" s="6" t="s">
        <v>780</v>
      </c>
      <c r="M5" s="4" t="s">
        <v>780</v>
      </c>
      <c r="N5" s="4">
        <v>22</v>
      </c>
      <c r="O5" s="209">
        <v>93</v>
      </c>
      <c r="P5" s="4" t="s">
        <v>780</v>
      </c>
      <c r="Q5" s="4" t="s">
        <v>780</v>
      </c>
      <c r="R5" s="4" t="s">
        <v>780</v>
      </c>
      <c r="S5" s="4" t="s">
        <v>780</v>
      </c>
      <c r="T5" s="4" t="s">
        <v>780</v>
      </c>
      <c r="U5" s="4" t="s">
        <v>780</v>
      </c>
      <c r="V5" s="4" t="s">
        <v>15</v>
      </c>
      <c r="W5" s="4"/>
      <c r="X5" s="4" t="s">
        <v>15</v>
      </c>
      <c r="Y5" s="4"/>
      <c r="Z5" s="4"/>
      <c r="AA5" s="209"/>
      <c r="AB5" s="202" t="str">
        <f t="shared" si="0"/>
        <v/>
      </c>
    </row>
    <row r="6" spans="1:30" s="213" customFormat="1" ht="14.5">
      <c r="A6" s="206">
        <v>43121</v>
      </c>
      <c r="B6" s="204" t="s">
        <v>1425</v>
      </c>
      <c r="C6" s="204" t="s">
        <v>684</v>
      </c>
      <c r="D6" s="206" t="s">
        <v>1426</v>
      </c>
      <c r="E6" s="204"/>
      <c r="F6" s="204">
        <v>2</v>
      </c>
      <c r="G6" s="204">
        <v>1</v>
      </c>
      <c r="H6" s="204" t="s">
        <v>16</v>
      </c>
      <c r="I6" s="204" t="s">
        <v>492</v>
      </c>
      <c r="J6" s="205">
        <v>42177</v>
      </c>
      <c r="K6" s="13" t="str">
        <f>IF(DATEDIF($J6,'Inst summary and ER calculation'!$U$6,"y")=2,"2-3 years","3-4 years")</f>
        <v>2-3 years</v>
      </c>
      <c r="L6" s="204" t="s">
        <v>16</v>
      </c>
      <c r="M6" s="204" t="s">
        <v>16</v>
      </c>
      <c r="N6" s="204">
        <v>20</v>
      </c>
      <c r="O6" s="204">
        <v>85</v>
      </c>
      <c r="P6" s="204" t="s">
        <v>16</v>
      </c>
      <c r="Q6" s="204" t="s">
        <v>16</v>
      </c>
      <c r="R6" s="204" t="s">
        <v>16</v>
      </c>
      <c r="S6" s="204" t="s">
        <v>16</v>
      </c>
      <c r="T6" s="204" t="s">
        <v>16</v>
      </c>
      <c r="U6" s="204" t="s">
        <v>16</v>
      </c>
      <c r="V6" s="204"/>
      <c r="W6" s="22"/>
      <c r="X6" s="204" t="s">
        <v>15</v>
      </c>
      <c r="Y6" s="204"/>
      <c r="Z6" s="204"/>
      <c r="AA6" s="204"/>
      <c r="AB6" s="202" t="str">
        <f t="shared" si="0"/>
        <v/>
      </c>
    </row>
    <row r="7" spans="1:30" s="213" customFormat="1" ht="14.5">
      <c r="A7" s="206">
        <v>43111</v>
      </c>
      <c r="B7" s="4" t="s">
        <v>532</v>
      </c>
      <c r="C7" s="4" t="s">
        <v>1575</v>
      </c>
      <c r="D7" s="4" t="s">
        <v>830</v>
      </c>
      <c r="E7" s="4"/>
      <c r="F7" s="4">
        <v>2</v>
      </c>
      <c r="G7" s="209">
        <v>1</v>
      </c>
      <c r="H7" s="4" t="s">
        <v>780</v>
      </c>
      <c r="I7" s="4" t="s">
        <v>361</v>
      </c>
      <c r="J7" s="205">
        <v>42109</v>
      </c>
      <c r="K7" s="13" t="str">
        <f>IF(DATEDIF($J7,'Inst summary and ER calculation'!$U$6,"y")=2,"2-3 years","3-4 years")</f>
        <v>2-3 years</v>
      </c>
      <c r="L7" s="6" t="s">
        <v>780</v>
      </c>
      <c r="M7" s="4" t="s">
        <v>780</v>
      </c>
      <c r="N7" s="4">
        <v>14</v>
      </c>
      <c r="O7" s="209">
        <v>68</v>
      </c>
      <c r="P7" s="4" t="s">
        <v>780</v>
      </c>
      <c r="Q7" s="4" t="s">
        <v>780</v>
      </c>
      <c r="R7" s="4" t="s">
        <v>780</v>
      </c>
      <c r="S7" s="4" t="s">
        <v>780</v>
      </c>
      <c r="T7" s="4" t="s">
        <v>780</v>
      </c>
      <c r="U7" s="4" t="s">
        <v>780</v>
      </c>
      <c r="V7" s="4" t="s">
        <v>15</v>
      </c>
      <c r="W7" s="4"/>
      <c r="X7" s="4" t="s">
        <v>15</v>
      </c>
      <c r="Y7" s="4"/>
      <c r="Z7" s="4"/>
      <c r="AA7" s="209"/>
      <c r="AB7" s="202" t="str">
        <f t="shared" si="0"/>
        <v/>
      </c>
    </row>
    <row r="8" spans="1:30" s="213" customFormat="1" ht="14.5">
      <c r="A8" s="206">
        <v>43124</v>
      </c>
      <c r="B8" s="4" t="s">
        <v>789</v>
      </c>
      <c r="C8" s="4" t="s">
        <v>74</v>
      </c>
      <c r="D8" s="4" t="s">
        <v>834</v>
      </c>
      <c r="E8" s="4"/>
      <c r="F8" s="4">
        <v>3</v>
      </c>
      <c r="G8" s="209">
        <v>4</v>
      </c>
      <c r="H8" s="4" t="s">
        <v>780</v>
      </c>
      <c r="I8" s="4" t="s">
        <v>401</v>
      </c>
      <c r="J8" s="205">
        <v>42124</v>
      </c>
      <c r="K8" s="13" t="str">
        <f>IF(DATEDIF($J8,'Inst summary and ER calculation'!$U$6,"y")=2,"2-3 years","3-4 years")</f>
        <v>2-3 years</v>
      </c>
      <c r="L8" s="6" t="s">
        <v>780</v>
      </c>
      <c r="M8" s="4" t="s">
        <v>780</v>
      </c>
      <c r="N8" s="4">
        <v>20</v>
      </c>
      <c r="O8" s="209">
        <v>86</v>
      </c>
      <c r="P8" s="4" t="s">
        <v>780</v>
      </c>
      <c r="Q8" s="4" t="s">
        <v>780</v>
      </c>
      <c r="R8" s="4" t="s">
        <v>780</v>
      </c>
      <c r="S8" s="4" t="s">
        <v>780</v>
      </c>
      <c r="T8" s="4" t="s">
        <v>780</v>
      </c>
      <c r="U8" s="4" t="s">
        <v>780</v>
      </c>
      <c r="V8" s="4" t="s">
        <v>15</v>
      </c>
      <c r="W8" s="4"/>
      <c r="X8" s="4" t="s">
        <v>15</v>
      </c>
      <c r="Y8" s="4"/>
      <c r="Z8" s="4"/>
      <c r="AA8" s="209"/>
      <c r="AB8" s="202" t="str">
        <f t="shared" si="0"/>
        <v/>
      </c>
    </row>
    <row r="9" spans="1:30" s="213" customFormat="1" ht="14.5">
      <c r="A9" s="206">
        <v>43113</v>
      </c>
      <c r="B9" s="204" t="s">
        <v>1315</v>
      </c>
      <c r="C9" s="204" t="s">
        <v>1399</v>
      </c>
      <c r="D9" s="206" t="s">
        <v>1400</v>
      </c>
      <c r="E9" s="204"/>
      <c r="F9" s="204">
        <v>2</v>
      </c>
      <c r="G9" s="204">
        <v>1</v>
      </c>
      <c r="H9" s="204" t="s">
        <v>16</v>
      </c>
      <c r="I9" s="204" t="s">
        <v>414</v>
      </c>
      <c r="J9" s="205">
        <v>42136</v>
      </c>
      <c r="K9" s="13" t="str">
        <f>IF(DATEDIF($J9,'Inst summary and ER calculation'!$U$6,"y")=2,"2-3 years","3-4 years")</f>
        <v>2-3 years</v>
      </c>
      <c r="L9" s="204" t="s">
        <v>16</v>
      </c>
      <c r="M9" s="204" t="s">
        <v>16</v>
      </c>
      <c r="N9" s="204">
        <v>14</v>
      </c>
      <c r="O9" s="204">
        <v>60</v>
      </c>
      <c r="P9" s="204" t="s">
        <v>16</v>
      </c>
      <c r="Q9" s="204" t="s">
        <v>16</v>
      </c>
      <c r="R9" s="204" t="s">
        <v>16</v>
      </c>
      <c r="S9" s="204" t="s">
        <v>16</v>
      </c>
      <c r="T9" s="204" t="s">
        <v>16</v>
      </c>
      <c r="U9" s="204" t="s">
        <v>16</v>
      </c>
      <c r="V9" s="204"/>
      <c r="W9" s="22"/>
      <c r="X9" s="204" t="s">
        <v>15</v>
      </c>
      <c r="Y9" s="204"/>
      <c r="Z9" s="204"/>
      <c r="AA9" s="204"/>
      <c r="AB9" s="202" t="str">
        <f t="shared" si="0"/>
        <v/>
      </c>
      <c r="AD9" s="214"/>
    </row>
    <row r="10" spans="1:30" s="213" customFormat="1" ht="14.5">
      <c r="A10" s="206">
        <v>43104</v>
      </c>
      <c r="B10" s="204" t="s">
        <v>1224</v>
      </c>
      <c r="C10" s="204" t="s">
        <v>182</v>
      </c>
      <c r="D10" s="206" t="s">
        <v>1229</v>
      </c>
      <c r="E10" s="204"/>
      <c r="F10" s="204">
        <v>2</v>
      </c>
      <c r="G10" s="204">
        <v>2</v>
      </c>
      <c r="H10" s="204" t="s">
        <v>16</v>
      </c>
      <c r="I10" s="204" t="s">
        <v>366</v>
      </c>
      <c r="J10" s="205">
        <v>42110</v>
      </c>
      <c r="K10" s="13" t="str">
        <f>IF(DATEDIF($J10,'Inst summary and ER calculation'!$U$6,"y")=2,"2-3 years","3-4 years")</f>
        <v>2-3 years</v>
      </c>
      <c r="L10" s="204" t="s">
        <v>16</v>
      </c>
      <c r="M10" s="204" t="s">
        <v>16</v>
      </c>
      <c r="N10" s="204">
        <v>21</v>
      </c>
      <c r="O10" s="204">
        <v>94</v>
      </c>
      <c r="P10" s="204" t="s">
        <v>16</v>
      </c>
      <c r="Q10" s="204" t="s">
        <v>16</v>
      </c>
      <c r="R10" s="204" t="s">
        <v>16</v>
      </c>
      <c r="S10" s="204" t="s">
        <v>16</v>
      </c>
      <c r="T10" s="204" t="s">
        <v>16</v>
      </c>
      <c r="U10" s="204" t="s">
        <v>16</v>
      </c>
      <c r="V10" s="204"/>
      <c r="W10" s="22"/>
      <c r="X10" s="204" t="s">
        <v>15</v>
      </c>
      <c r="Y10" s="204"/>
      <c r="Z10" s="204"/>
      <c r="AA10" s="204"/>
      <c r="AB10" s="202" t="str">
        <f t="shared" si="0"/>
        <v/>
      </c>
    </row>
    <row r="11" spans="1:30" s="213" customFormat="1" ht="14.5">
      <c r="A11" s="206">
        <v>43116</v>
      </c>
      <c r="B11" s="204" t="s">
        <v>19</v>
      </c>
      <c r="C11" s="204" t="s">
        <v>592</v>
      </c>
      <c r="D11" s="206" t="s">
        <v>1422</v>
      </c>
      <c r="E11" s="204"/>
      <c r="F11" s="204">
        <v>4</v>
      </c>
      <c r="G11" s="204">
        <v>1</v>
      </c>
      <c r="H11" s="204" t="s">
        <v>16</v>
      </c>
      <c r="I11" s="204" t="s">
        <v>488</v>
      </c>
      <c r="J11" s="205">
        <v>42173</v>
      </c>
      <c r="K11" s="13" t="str">
        <f>IF(DATEDIF($J11,'Inst summary and ER calculation'!$U$6,"y")=2,"2-3 years","3-4 years")</f>
        <v>2-3 years</v>
      </c>
      <c r="L11" s="204" t="s">
        <v>16</v>
      </c>
      <c r="M11" s="204" t="s">
        <v>16</v>
      </c>
      <c r="N11" s="204">
        <v>14</v>
      </c>
      <c r="O11" s="204">
        <v>60</v>
      </c>
      <c r="P11" s="204" t="s">
        <v>16</v>
      </c>
      <c r="Q11" s="204" t="s">
        <v>16</v>
      </c>
      <c r="R11" s="204" t="s">
        <v>16</v>
      </c>
      <c r="S11" s="204" t="s">
        <v>16</v>
      </c>
      <c r="T11" s="204" t="s">
        <v>16</v>
      </c>
      <c r="U11" s="204" t="s">
        <v>16</v>
      </c>
      <c r="V11" s="204"/>
      <c r="W11" s="22"/>
      <c r="X11" s="204" t="s">
        <v>15</v>
      </c>
      <c r="Y11" s="204"/>
      <c r="Z11" s="204"/>
      <c r="AA11" s="204"/>
      <c r="AB11" s="202" t="str">
        <f t="shared" si="0"/>
        <v/>
      </c>
    </row>
    <row r="12" spans="1:30" s="213" customFormat="1" ht="14.5">
      <c r="A12" s="206">
        <v>43111</v>
      </c>
      <c r="B12" s="208" t="s">
        <v>849</v>
      </c>
      <c r="C12" s="208" t="s">
        <v>198</v>
      </c>
      <c r="D12" s="208" t="s">
        <v>850</v>
      </c>
      <c r="E12" s="208"/>
      <c r="F12" s="4">
        <v>3</v>
      </c>
      <c r="G12" s="209">
        <v>3</v>
      </c>
      <c r="H12" s="4" t="s">
        <v>780</v>
      </c>
      <c r="I12" s="4" t="s">
        <v>298</v>
      </c>
      <c r="J12" s="205">
        <v>42064</v>
      </c>
      <c r="K12" s="13" t="str">
        <f>IF(DATEDIF($J12,'Inst summary and ER calculation'!$U$6,"y")=2,"2-3 years","3-4 years")</f>
        <v>2-3 years</v>
      </c>
      <c r="L12" s="6" t="s">
        <v>780</v>
      </c>
      <c r="M12" s="4" t="s">
        <v>780</v>
      </c>
      <c r="N12" s="4">
        <v>21</v>
      </c>
      <c r="O12" s="209">
        <v>90</v>
      </c>
      <c r="P12" s="4" t="s">
        <v>780</v>
      </c>
      <c r="Q12" s="4" t="s">
        <v>780</v>
      </c>
      <c r="R12" s="4" t="s">
        <v>780</v>
      </c>
      <c r="S12" s="4" t="s">
        <v>780</v>
      </c>
      <c r="T12" s="4" t="s">
        <v>780</v>
      </c>
      <c r="U12" s="4" t="s">
        <v>780</v>
      </c>
      <c r="V12" s="4" t="s">
        <v>15</v>
      </c>
      <c r="W12" s="4"/>
      <c r="X12" s="4" t="s">
        <v>15</v>
      </c>
      <c r="Y12" s="4"/>
      <c r="Z12" s="4"/>
      <c r="AA12" s="209"/>
      <c r="AB12" s="202" t="str">
        <f t="shared" si="0"/>
        <v/>
      </c>
    </row>
    <row r="13" spans="1:30" s="213" customFormat="1" ht="14.5">
      <c r="A13" s="206">
        <v>43117</v>
      </c>
      <c r="B13" s="208" t="s">
        <v>818</v>
      </c>
      <c r="C13" s="208" t="s">
        <v>233</v>
      </c>
      <c r="D13" s="208" t="s">
        <v>819</v>
      </c>
      <c r="E13" s="208"/>
      <c r="F13" s="4">
        <v>3</v>
      </c>
      <c r="G13" s="209">
        <v>0</v>
      </c>
      <c r="H13" s="4" t="s">
        <v>780</v>
      </c>
      <c r="I13" s="4" t="s">
        <v>389</v>
      </c>
      <c r="J13" s="205">
        <v>42123</v>
      </c>
      <c r="K13" s="13" t="str">
        <f>IF(DATEDIF($J13,'Inst summary and ER calculation'!$U$6,"y")=2,"2-3 years","3-4 years")</f>
        <v>2-3 years</v>
      </c>
      <c r="L13" s="6" t="s">
        <v>780</v>
      </c>
      <c r="M13" s="4" t="s">
        <v>780</v>
      </c>
      <c r="N13" s="4">
        <v>14</v>
      </c>
      <c r="O13" s="209">
        <v>70</v>
      </c>
      <c r="P13" s="4" t="s">
        <v>780</v>
      </c>
      <c r="Q13" s="4" t="s">
        <v>780</v>
      </c>
      <c r="R13" s="4" t="s">
        <v>780</v>
      </c>
      <c r="S13" s="4" t="s">
        <v>780</v>
      </c>
      <c r="T13" s="4" t="s">
        <v>780</v>
      </c>
      <c r="U13" s="4" t="s">
        <v>780</v>
      </c>
      <c r="V13" s="4" t="s">
        <v>15</v>
      </c>
      <c r="W13" s="4"/>
      <c r="X13" s="4" t="s">
        <v>15</v>
      </c>
      <c r="Y13" s="4"/>
      <c r="Z13" s="4"/>
      <c r="AA13" s="209"/>
      <c r="AB13" s="202" t="str">
        <f t="shared" si="0"/>
        <v/>
      </c>
    </row>
    <row r="14" spans="1:30" s="213" customFormat="1" ht="14.5">
      <c r="A14" s="206">
        <v>43110</v>
      </c>
      <c r="B14" s="204" t="s">
        <v>637</v>
      </c>
      <c r="C14" s="204" t="s">
        <v>1145</v>
      </c>
      <c r="D14" s="12" t="s">
        <v>1146</v>
      </c>
      <c r="E14" s="12"/>
      <c r="F14" s="204">
        <v>2</v>
      </c>
      <c r="G14" s="204">
        <v>1</v>
      </c>
      <c r="H14" s="204" t="s">
        <v>16</v>
      </c>
      <c r="I14" s="204" t="s">
        <v>466</v>
      </c>
      <c r="J14" s="205">
        <v>42166</v>
      </c>
      <c r="K14" s="13" t="str">
        <f>IF(DATEDIF($J14,'Inst summary and ER calculation'!$U$6,"y")=2,"2-3 years","3-4 years")</f>
        <v>2-3 years</v>
      </c>
      <c r="L14" s="204" t="s">
        <v>16</v>
      </c>
      <c r="M14" s="204" t="s">
        <v>16</v>
      </c>
      <c r="N14" s="204">
        <v>18</v>
      </c>
      <c r="O14" s="204">
        <v>72</v>
      </c>
      <c r="P14" s="204" t="s">
        <v>16</v>
      </c>
      <c r="Q14" s="204" t="s">
        <v>16</v>
      </c>
      <c r="R14" s="204" t="s">
        <v>16</v>
      </c>
      <c r="S14" s="204" t="s">
        <v>16</v>
      </c>
      <c r="T14" s="204" t="s">
        <v>16</v>
      </c>
      <c r="U14" s="204" t="s">
        <v>16</v>
      </c>
      <c r="V14" s="204"/>
      <c r="W14" s="22"/>
      <c r="X14" s="204" t="s">
        <v>15</v>
      </c>
      <c r="Y14" s="204"/>
      <c r="Z14" s="204"/>
      <c r="AA14" s="204"/>
      <c r="AB14" s="202" t="str">
        <f t="shared" si="0"/>
        <v/>
      </c>
    </row>
    <row r="15" spans="1:30" s="213" customFormat="1" ht="14.5">
      <c r="A15" s="206">
        <v>43116</v>
      </c>
      <c r="B15" s="204" t="s">
        <v>637</v>
      </c>
      <c r="C15" s="204" t="s">
        <v>1396</v>
      </c>
      <c r="D15" s="206" t="s">
        <v>1397</v>
      </c>
      <c r="E15" s="204"/>
      <c r="F15" s="204">
        <v>3</v>
      </c>
      <c r="G15" s="204">
        <v>1</v>
      </c>
      <c r="H15" s="204" t="s">
        <v>16</v>
      </c>
      <c r="I15" s="204" t="s">
        <v>396</v>
      </c>
      <c r="J15" s="205">
        <v>42124</v>
      </c>
      <c r="K15" s="13" t="str">
        <f>IF(DATEDIF($J15,'Inst summary and ER calculation'!$U$6,"y")=2,"2-3 years","3-4 years")</f>
        <v>2-3 years</v>
      </c>
      <c r="L15" s="204" t="s">
        <v>16</v>
      </c>
      <c r="M15" s="204" t="s">
        <v>15</v>
      </c>
      <c r="N15" s="204"/>
      <c r="O15" s="204"/>
      <c r="P15" s="204"/>
      <c r="Q15" s="204"/>
      <c r="R15" s="204"/>
      <c r="S15" s="204"/>
      <c r="T15" s="204"/>
      <c r="U15" s="204"/>
      <c r="V15" s="204"/>
      <c r="W15" s="22"/>
      <c r="X15" s="204"/>
      <c r="Y15" s="204"/>
      <c r="Z15" s="204"/>
      <c r="AA15" s="204"/>
      <c r="AB15" s="202" t="str">
        <f t="shared" si="0"/>
        <v/>
      </c>
    </row>
    <row r="16" spans="1:30" s="213" customFormat="1" ht="14.5">
      <c r="A16" s="206">
        <v>43106</v>
      </c>
      <c r="B16" s="4" t="s">
        <v>41</v>
      </c>
      <c r="C16" s="4" t="s">
        <v>1569</v>
      </c>
      <c r="D16" s="4" t="s">
        <v>828</v>
      </c>
      <c r="E16" s="4"/>
      <c r="F16" s="4">
        <v>2</v>
      </c>
      <c r="G16" s="209">
        <v>3</v>
      </c>
      <c r="H16" s="4" t="s">
        <v>780</v>
      </c>
      <c r="I16" s="4" t="s">
        <v>381</v>
      </c>
      <c r="J16" s="205">
        <v>42120</v>
      </c>
      <c r="K16" s="13" t="str">
        <f>IF(DATEDIF($J16,'Inst summary and ER calculation'!$U$6,"y")=2,"2-3 years","3-4 years")</f>
        <v>2-3 years</v>
      </c>
      <c r="L16" s="6" t="s">
        <v>780</v>
      </c>
      <c r="M16" s="4" t="s">
        <v>780</v>
      </c>
      <c r="N16" s="4">
        <v>14</v>
      </c>
      <c r="O16" s="209">
        <v>60</v>
      </c>
      <c r="P16" s="4" t="s">
        <v>780</v>
      </c>
      <c r="Q16" s="4" t="s">
        <v>780</v>
      </c>
      <c r="R16" s="4" t="s">
        <v>780</v>
      </c>
      <c r="S16" s="4" t="s">
        <v>780</v>
      </c>
      <c r="T16" s="4" t="s">
        <v>780</v>
      </c>
      <c r="U16" s="4" t="s">
        <v>780</v>
      </c>
      <c r="V16" s="4" t="s">
        <v>15</v>
      </c>
      <c r="W16" s="4"/>
      <c r="X16" s="4" t="s">
        <v>15</v>
      </c>
      <c r="Y16" s="4"/>
      <c r="Z16" s="4"/>
      <c r="AA16" s="209"/>
      <c r="AB16" s="202" t="str">
        <f t="shared" si="0"/>
        <v/>
      </c>
    </row>
    <row r="17" spans="1:28" s="213" customFormat="1" ht="14.5">
      <c r="A17" s="206">
        <v>43109</v>
      </c>
      <c r="B17" s="4" t="s">
        <v>536</v>
      </c>
      <c r="C17" s="4" t="s">
        <v>1572</v>
      </c>
      <c r="D17" s="4" t="s">
        <v>813</v>
      </c>
      <c r="E17" s="4"/>
      <c r="F17" s="4">
        <v>5</v>
      </c>
      <c r="G17" s="209">
        <v>0</v>
      </c>
      <c r="H17" s="4" t="s">
        <v>780</v>
      </c>
      <c r="I17" s="4" t="s">
        <v>441</v>
      </c>
      <c r="J17" s="205">
        <v>42146</v>
      </c>
      <c r="K17" s="13" t="str">
        <f>IF(DATEDIF($J17,'Inst summary and ER calculation'!$U$6,"y")=2,"2-3 years","3-4 years")</f>
        <v>2-3 years</v>
      </c>
      <c r="L17" s="6" t="s">
        <v>780</v>
      </c>
      <c r="M17" s="4" t="s">
        <v>780</v>
      </c>
      <c r="N17" s="4">
        <v>14</v>
      </c>
      <c r="O17" s="209">
        <v>60</v>
      </c>
      <c r="P17" s="4" t="s">
        <v>780</v>
      </c>
      <c r="Q17" s="4" t="s">
        <v>780</v>
      </c>
      <c r="R17" s="4" t="s">
        <v>780</v>
      </c>
      <c r="S17" s="4" t="s">
        <v>780</v>
      </c>
      <c r="T17" s="4" t="s">
        <v>780</v>
      </c>
      <c r="U17" s="4" t="s">
        <v>780</v>
      </c>
      <c r="V17" s="4" t="s">
        <v>15</v>
      </c>
      <c r="W17" s="4"/>
      <c r="X17" s="4" t="s">
        <v>15</v>
      </c>
      <c r="Y17" s="4"/>
      <c r="Z17" s="4"/>
      <c r="AA17" s="209"/>
      <c r="AB17" s="202" t="str">
        <f t="shared" si="0"/>
        <v/>
      </c>
    </row>
    <row r="18" spans="1:28" s="213" customFormat="1" ht="14.5">
      <c r="A18" s="206">
        <v>43125</v>
      </c>
      <c r="B18" s="4" t="s">
        <v>41</v>
      </c>
      <c r="C18" s="4" t="s">
        <v>1606</v>
      </c>
      <c r="D18" s="4" t="s">
        <v>787</v>
      </c>
      <c r="E18" s="4"/>
      <c r="F18" s="4">
        <v>3</v>
      </c>
      <c r="G18" s="209">
        <v>0</v>
      </c>
      <c r="H18" s="4" t="s">
        <v>780</v>
      </c>
      <c r="I18" s="4" t="s">
        <v>494</v>
      </c>
      <c r="J18" s="205">
        <v>42177</v>
      </c>
      <c r="K18" s="13" t="str">
        <f>IF(DATEDIF($J18,'Inst summary and ER calculation'!$U$6,"y")=2,"2-3 years","3-4 years")</f>
        <v>2-3 years</v>
      </c>
      <c r="L18" s="6" t="s">
        <v>780</v>
      </c>
      <c r="M18" s="4" t="s">
        <v>780</v>
      </c>
      <c r="N18" s="4">
        <v>14</v>
      </c>
      <c r="O18" s="209">
        <v>60</v>
      </c>
      <c r="P18" s="4" t="s">
        <v>780</v>
      </c>
      <c r="Q18" s="4" t="s">
        <v>780</v>
      </c>
      <c r="R18" s="4" t="s">
        <v>780</v>
      </c>
      <c r="S18" s="4" t="s">
        <v>780</v>
      </c>
      <c r="T18" s="4" t="s">
        <v>780</v>
      </c>
      <c r="U18" s="4" t="s">
        <v>780</v>
      </c>
      <c r="V18" s="4" t="s">
        <v>15</v>
      </c>
      <c r="W18" s="4"/>
      <c r="X18" s="4" t="s">
        <v>15</v>
      </c>
      <c r="Y18" s="4"/>
      <c r="Z18" s="4"/>
      <c r="AA18" s="209"/>
      <c r="AB18" s="202" t="str">
        <f t="shared" si="0"/>
        <v/>
      </c>
    </row>
    <row r="19" spans="1:28" s="213" customFormat="1" ht="14.5">
      <c r="A19" s="206">
        <v>43120</v>
      </c>
      <c r="B19" s="4" t="s">
        <v>41</v>
      </c>
      <c r="C19" s="4" t="s">
        <v>1594</v>
      </c>
      <c r="D19" s="4" t="s">
        <v>815</v>
      </c>
      <c r="E19" s="4"/>
      <c r="F19" s="4">
        <v>4</v>
      </c>
      <c r="G19" s="209">
        <v>1</v>
      </c>
      <c r="H19" s="4" t="s">
        <v>780</v>
      </c>
      <c r="I19" s="4" t="s">
        <v>329</v>
      </c>
      <c r="J19" s="205">
        <v>42087</v>
      </c>
      <c r="K19" s="13" t="str">
        <f>IF(DATEDIF($J19,'Inst summary and ER calculation'!$U$6,"y")=2,"2-3 years","3-4 years")</f>
        <v>2-3 years</v>
      </c>
      <c r="L19" s="6" t="s">
        <v>780</v>
      </c>
      <c r="M19" s="4" t="s">
        <v>780</v>
      </c>
      <c r="N19" s="4">
        <v>14</v>
      </c>
      <c r="O19" s="209">
        <v>60</v>
      </c>
      <c r="P19" s="4" t="s">
        <v>780</v>
      </c>
      <c r="Q19" s="4" t="s">
        <v>780</v>
      </c>
      <c r="R19" s="4" t="s">
        <v>780</v>
      </c>
      <c r="S19" s="4" t="s">
        <v>780</v>
      </c>
      <c r="T19" s="4" t="s">
        <v>780</v>
      </c>
      <c r="U19" s="4" t="s">
        <v>780</v>
      </c>
      <c r="V19" s="4" t="s">
        <v>15</v>
      </c>
      <c r="W19" s="4"/>
      <c r="X19" s="4" t="s">
        <v>15</v>
      </c>
      <c r="Y19" s="4"/>
      <c r="Z19" s="4"/>
      <c r="AA19" s="209"/>
      <c r="AB19" s="202" t="str">
        <f t="shared" si="0"/>
        <v/>
      </c>
    </row>
    <row r="20" spans="1:28" s="213" customFormat="1" ht="14.5">
      <c r="A20" s="206">
        <v>43124</v>
      </c>
      <c r="B20" s="208" t="s">
        <v>41</v>
      </c>
      <c r="C20" s="4" t="s">
        <v>1602</v>
      </c>
      <c r="D20" s="4" t="s">
        <v>831</v>
      </c>
      <c r="E20" s="208"/>
      <c r="F20" s="4">
        <v>4</v>
      </c>
      <c r="G20" s="209">
        <v>1</v>
      </c>
      <c r="H20" s="4" t="s">
        <v>780</v>
      </c>
      <c r="I20" s="4" t="s">
        <v>449</v>
      </c>
      <c r="J20" s="205">
        <v>42151</v>
      </c>
      <c r="K20" s="13" t="str">
        <f>IF(DATEDIF($J20,'Inst summary and ER calculation'!$U$6,"y")=2,"2-3 years","3-4 years")</f>
        <v>2-3 years</v>
      </c>
      <c r="L20" s="6" t="s">
        <v>780</v>
      </c>
      <c r="M20" s="4" t="s">
        <v>780</v>
      </c>
      <c r="N20" s="4">
        <v>14</v>
      </c>
      <c r="O20" s="209">
        <v>60</v>
      </c>
      <c r="P20" s="4" t="s">
        <v>780</v>
      </c>
      <c r="Q20" s="4" t="s">
        <v>780</v>
      </c>
      <c r="R20" s="4" t="s">
        <v>780</v>
      </c>
      <c r="S20" s="4" t="s">
        <v>780</v>
      </c>
      <c r="T20" s="4" t="s">
        <v>780</v>
      </c>
      <c r="U20" s="4" t="s">
        <v>780</v>
      </c>
      <c r="V20" s="4" t="s">
        <v>15</v>
      </c>
      <c r="W20" s="4"/>
      <c r="X20" s="4" t="s">
        <v>15</v>
      </c>
      <c r="Y20" s="4"/>
      <c r="Z20" s="4"/>
      <c r="AA20" s="209"/>
      <c r="AB20" s="202" t="str">
        <f t="shared" si="0"/>
        <v/>
      </c>
    </row>
    <row r="21" spans="1:28" s="213" customFormat="1" ht="14.5">
      <c r="A21" s="206">
        <v>43103</v>
      </c>
      <c r="B21" s="208" t="s">
        <v>536</v>
      </c>
      <c r="C21" s="208" t="s">
        <v>195</v>
      </c>
      <c r="D21" s="208" t="s">
        <v>817</v>
      </c>
      <c r="E21" s="208"/>
      <c r="F21" s="4">
        <v>4</v>
      </c>
      <c r="G21" s="209">
        <v>1</v>
      </c>
      <c r="H21" s="4" t="s">
        <v>780</v>
      </c>
      <c r="I21" s="4" t="s">
        <v>436</v>
      </c>
      <c r="J21" s="205">
        <v>42142</v>
      </c>
      <c r="K21" s="13" t="str">
        <f>IF(DATEDIF($J21,'Inst summary and ER calculation'!$U$6,"y")=2,"2-3 years","3-4 years")</f>
        <v>2-3 years</v>
      </c>
      <c r="L21" s="6" t="s">
        <v>780</v>
      </c>
      <c r="M21" s="4" t="s">
        <v>780</v>
      </c>
      <c r="N21" s="4">
        <v>14</v>
      </c>
      <c r="O21" s="209">
        <v>60</v>
      </c>
      <c r="P21" s="4" t="s">
        <v>780</v>
      </c>
      <c r="Q21" s="4" t="s">
        <v>780</v>
      </c>
      <c r="R21" s="4" t="s">
        <v>780</v>
      </c>
      <c r="S21" s="4" t="s">
        <v>780</v>
      </c>
      <c r="T21" s="4" t="s">
        <v>780</v>
      </c>
      <c r="U21" s="4" t="s">
        <v>780</v>
      </c>
      <c r="V21" s="4" t="s">
        <v>15</v>
      </c>
      <c r="W21" s="4"/>
      <c r="X21" s="4" t="s">
        <v>15</v>
      </c>
      <c r="Y21" s="4"/>
      <c r="Z21" s="4"/>
      <c r="AA21" s="209"/>
      <c r="AB21" s="202" t="str">
        <f t="shared" si="0"/>
        <v/>
      </c>
    </row>
    <row r="22" spans="1:28" s="213" customFormat="1" ht="14.5">
      <c r="A22" s="206">
        <v>43104</v>
      </c>
      <c r="B22" s="204" t="s">
        <v>41</v>
      </c>
      <c r="C22" s="204" t="s">
        <v>199</v>
      </c>
      <c r="D22" s="206" t="s">
        <v>1231</v>
      </c>
      <c r="E22" s="204"/>
      <c r="F22" s="204">
        <v>5</v>
      </c>
      <c r="G22" s="204">
        <v>1</v>
      </c>
      <c r="H22" s="204" t="s">
        <v>16</v>
      </c>
      <c r="I22" s="204" t="s">
        <v>375</v>
      </c>
      <c r="J22" s="205">
        <v>42116</v>
      </c>
      <c r="K22" s="13" t="str">
        <f>IF(DATEDIF($J22,'Inst summary and ER calculation'!$U$6,"y")=2,"2-3 years","3-4 years")</f>
        <v>2-3 years</v>
      </c>
      <c r="L22" s="204" t="s">
        <v>16</v>
      </c>
      <c r="M22" s="204" t="s">
        <v>16</v>
      </c>
      <c r="N22" s="204">
        <v>18</v>
      </c>
      <c r="O22" s="204">
        <v>81</v>
      </c>
      <c r="P22" s="204" t="s">
        <v>16</v>
      </c>
      <c r="Q22" s="204" t="s">
        <v>16</v>
      </c>
      <c r="R22" s="204" t="s">
        <v>16</v>
      </c>
      <c r="S22" s="204" t="s">
        <v>16</v>
      </c>
      <c r="T22" s="204" t="s">
        <v>16</v>
      </c>
      <c r="U22" s="204" t="s">
        <v>16</v>
      </c>
      <c r="V22" s="204"/>
      <c r="W22" s="22"/>
      <c r="X22" s="204" t="s">
        <v>15</v>
      </c>
      <c r="Y22" s="204"/>
      <c r="Z22" s="204"/>
      <c r="AA22" s="204"/>
      <c r="AB22" s="202" t="str">
        <f t="shared" si="0"/>
        <v/>
      </c>
    </row>
    <row r="23" spans="1:28" s="213" customFormat="1" ht="14.5">
      <c r="A23" s="206">
        <v>43103</v>
      </c>
      <c r="B23" s="204" t="s">
        <v>1031</v>
      </c>
      <c r="C23" s="12" t="s">
        <v>1103</v>
      </c>
      <c r="D23" s="12" t="s">
        <v>1104</v>
      </c>
      <c r="E23" s="12"/>
      <c r="F23" s="215">
        <v>3</v>
      </c>
      <c r="G23" s="216">
        <v>0</v>
      </c>
      <c r="H23" s="204" t="s">
        <v>16</v>
      </c>
      <c r="I23" s="204" t="s">
        <v>328</v>
      </c>
      <c r="J23" s="205">
        <v>42087</v>
      </c>
      <c r="K23" s="13" t="str">
        <f>IF(DATEDIF($J23,'Inst summary and ER calculation'!$U$6,"y")=2,"2-3 years","3-4 years")</f>
        <v>2-3 years</v>
      </c>
      <c r="L23" s="204" t="s">
        <v>16</v>
      </c>
      <c r="M23" s="204" t="s">
        <v>16</v>
      </c>
      <c r="N23" s="204">
        <v>16</v>
      </c>
      <c r="O23" s="204">
        <v>72</v>
      </c>
      <c r="P23" s="204" t="s">
        <v>16</v>
      </c>
      <c r="Q23" s="204" t="s">
        <v>16</v>
      </c>
      <c r="R23" s="204" t="s">
        <v>16</v>
      </c>
      <c r="S23" s="204" t="s">
        <v>16</v>
      </c>
      <c r="T23" s="204" t="s">
        <v>16</v>
      </c>
      <c r="U23" s="204" t="s">
        <v>16</v>
      </c>
      <c r="V23" s="204"/>
      <c r="W23" s="22"/>
      <c r="X23" s="204" t="s">
        <v>15</v>
      </c>
      <c r="Y23" s="204"/>
      <c r="Z23" s="204"/>
      <c r="AA23" s="204"/>
      <c r="AB23" s="202" t="str">
        <f t="shared" si="0"/>
        <v/>
      </c>
    </row>
    <row r="24" spans="1:28" s="213" customFormat="1" ht="14.5">
      <c r="A24" s="206">
        <v>43109</v>
      </c>
      <c r="B24" s="208" t="s">
        <v>41</v>
      </c>
      <c r="C24" s="208" t="s">
        <v>55</v>
      </c>
      <c r="D24" s="4" t="s">
        <v>871</v>
      </c>
      <c r="E24" s="208"/>
      <c r="F24" s="4">
        <v>2</v>
      </c>
      <c r="G24" s="209">
        <v>1</v>
      </c>
      <c r="H24" s="4" t="s">
        <v>780</v>
      </c>
      <c r="I24" s="4" t="s">
        <v>486</v>
      </c>
      <c r="J24" s="205">
        <v>42173</v>
      </c>
      <c r="K24" s="13" t="str">
        <f>IF(DATEDIF($J24,'Inst summary and ER calculation'!$U$6,"y")=2,"2-3 years","3-4 years")</f>
        <v>2-3 years</v>
      </c>
      <c r="L24" s="6" t="s">
        <v>780</v>
      </c>
      <c r="M24" s="4" t="s">
        <v>780</v>
      </c>
      <c r="N24" s="4">
        <v>14</v>
      </c>
      <c r="O24" s="209">
        <v>60</v>
      </c>
      <c r="P24" s="4" t="s">
        <v>780</v>
      </c>
      <c r="Q24" s="4" t="s">
        <v>780</v>
      </c>
      <c r="R24" s="4" t="s">
        <v>780</v>
      </c>
      <c r="S24" s="4" t="s">
        <v>780</v>
      </c>
      <c r="T24" s="4" t="s">
        <v>780</v>
      </c>
      <c r="U24" s="4" t="s">
        <v>780</v>
      </c>
      <c r="V24" s="4" t="s">
        <v>15</v>
      </c>
      <c r="W24" s="4"/>
      <c r="X24" s="4" t="s">
        <v>15</v>
      </c>
      <c r="Y24" s="4"/>
      <c r="Z24" s="4"/>
      <c r="AA24" s="209"/>
      <c r="AB24" s="202" t="str">
        <f t="shared" si="0"/>
        <v/>
      </c>
    </row>
    <row r="25" spans="1:28" s="213" customFormat="1" ht="14.5">
      <c r="A25" s="206">
        <v>43120</v>
      </c>
      <c r="B25" s="204" t="s">
        <v>1031</v>
      </c>
      <c r="C25" s="204" t="s">
        <v>1130</v>
      </c>
      <c r="D25" s="12" t="s">
        <v>1131</v>
      </c>
      <c r="E25" s="12"/>
      <c r="F25" s="204">
        <v>2</v>
      </c>
      <c r="G25" s="204">
        <v>2</v>
      </c>
      <c r="H25" s="204" t="s">
        <v>16</v>
      </c>
      <c r="I25" s="204" t="s">
        <v>433</v>
      </c>
      <c r="J25" s="205">
        <v>42139</v>
      </c>
      <c r="K25" s="13" t="str">
        <f>IF(DATEDIF($J25,'Inst summary and ER calculation'!$U$6,"y")=2,"2-3 years","3-4 years")</f>
        <v>2-3 years</v>
      </c>
      <c r="L25" s="204" t="s">
        <v>16</v>
      </c>
      <c r="M25" s="204" t="s">
        <v>15</v>
      </c>
      <c r="N25" s="204"/>
      <c r="O25" s="204"/>
      <c r="P25" s="204"/>
      <c r="Q25" s="204"/>
      <c r="R25" s="204"/>
      <c r="S25" s="204"/>
      <c r="T25" s="204"/>
      <c r="U25" s="204"/>
      <c r="V25" s="204"/>
      <c r="W25" s="22"/>
      <c r="X25" s="204"/>
      <c r="Y25" s="204"/>
      <c r="Z25" s="204"/>
      <c r="AA25" s="204"/>
      <c r="AB25" s="202" t="str">
        <f t="shared" si="0"/>
        <v/>
      </c>
    </row>
    <row r="26" spans="1:28" s="213" customFormat="1" ht="14.5">
      <c r="A26" s="206">
        <v>43108</v>
      </c>
      <c r="B26" s="204" t="s">
        <v>1015</v>
      </c>
      <c r="C26" s="204" t="s">
        <v>1124</v>
      </c>
      <c r="D26" s="12" t="s">
        <v>1125</v>
      </c>
      <c r="E26" s="12"/>
      <c r="F26" s="204">
        <v>4</v>
      </c>
      <c r="G26" s="204">
        <v>1</v>
      </c>
      <c r="H26" s="204" t="s">
        <v>16</v>
      </c>
      <c r="I26" s="204" t="s">
        <v>406</v>
      </c>
      <c r="J26" s="205">
        <v>42125</v>
      </c>
      <c r="K26" s="13" t="str">
        <f>IF(DATEDIF($J26,'Inst summary and ER calculation'!$U$6,"y")=2,"2-3 years","3-4 years")</f>
        <v>2-3 years</v>
      </c>
      <c r="L26" s="204" t="s">
        <v>16</v>
      </c>
      <c r="M26" s="204" t="s">
        <v>16</v>
      </c>
      <c r="N26" s="204">
        <v>14</v>
      </c>
      <c r="O26" s="204">
        <v>60</v>
      </c>
      <c r="P26" s="204" t="s">
        <v>16</v>
      </c>
      <c r="Q26" s="204" t="s">
        <v>16</v>
      </c>
      <c r="R26" s="204" t="s">
        <v>16</v>
      </c>
      <c r="S26" s="204" t="s">
        <v>16</v>
      </c>
      <c r="T26" s="204" t="s">
        <v>16</v>
      </c>
      <c r="U26" s="204" t="s">
        <v>16</v>
      </c>
      <c r="V26" s="204"/>
      <c r="W26" s="22"/>
      <c r="X26" s="204" t="s">
        <v>15</v>
      </c>
      <c r="Y26" s="204"/>
      <c r="Z26" s="204"/>
      <c r="AA26" s="204"/>
      <c r="AB26" s="202" t="str">
        <f t="shared" si="0"/>
        <v/>
      </c>
    </row>
    <row r="27" spans="1:28" s="213" customFormat="1" ht="14.5">
      <c r="A27" s="206">
        <v>43107</v>
      </c>
      <c r="B27" s="4" t="s">
        <v>533</v>
      </c>
      <c r="C27" s="4" t="s">
        <v>160</v>
      </c>
      <c r="D27" s="4" t="s">
        <v>816</v>
      </c>
      <c r="E27" s="4"/>
      <c r="F27" s="4">
        <v>2</v>
      </c>
      <c r="G27" s="209">
        <v>3</v>
      </c>
      <c r="H27" s="4" t="s">
        <v>780</v>
      </c>
      <c r="I27" s="4" t="s">
        <v>478</v>
      </c>
      <c r="J27" s="205">
        <v>42170</v>
      </c>
      <c r="K27" s="13" t="str">
        <f>IF(DATEDIF($J27,'Inst summary and ER calculation'!$U$6,"y")=2,"2-3 years","3-4 years")</f>
        <v>2-3 years</v>
      </c>
      <c r="L27" s="6" t="s">
        <v>780</v>
      </c>
      <c r="M27" s="4" t="s">
        <v>780</v>
      </c>
      <c r="N27" s="4">
        <v>18</v>
      </c>
      <c r="O27" s="209">
        <v>80</v>
      </c>
      <c r="P27" s="4" t="s">
        <v>780</v>
      </c>
      <c r="Q27" s="4" t="s">
        <v>780</v>
      </c>
      <c r="R27" s="4" t="s">
        <v>780</v>
      </c>
      <c r="S27" s="4" t="s">
        <v>780</v>
      </c>
      <c r="T27" s="4" t="s">
        <v>780</v>
      </c>
      <c r="U27" s="4" t="s">
        <v>780</v>
      </c>
      <c r="V27" s="4" t="s">
        <v>15</v>
      </c>
      <c r="W27" s="4"/>
      <c r="X27" s="4" t="s">
        <v>15</v>
      </c>
      <c r="Y27" s="4"/>
      <c r="Z27" s="4"/>
      <c r="AA27" s="209"/>
      <c r="AB27" s="202" t="str">
        <f t="shared" si="0"/>
        <v/>
      </c>
    </row>
    <row r="28" spans="1:28" s="213" customFormat="1" ht="14.5">
      <c r="A28" s="206">
        <v>43113</v>
      </c>
      <c r="B28" s="4" t="s">
        <v>791</v>
      </c>
      <c r="C28" s="4" t="s">
        <v>482</v>
      </c>
      <c r="D28" s="208" t="s">
        <v>792</v>
      </c>
      <c r="E28" s="4"/>
      <c r="F28" s="4">
        <v>2</v>
      </c>
      <c r="G28" s="209">
        <v>2</v>
      </c>
      <c r="H28" s="4" t="s">
        <v>780</v>
      </c>
      <c r="I28" s="4" t="s">
        <v>481</v>
      </c>
      <c r="J28" s="205">
        <v>42170</v>
      </c>
      <c r="K28" s="13" t="str">
        <f>IF(DATEDIF($J28,'Inst summary and ER calculation'!$U$6,"y")=2,"2-3 years","3-4 years")</f>
        <v>2-3 years</v>
      </c>
      <c r="L28" s="6" t="s">
        <v>780</v>
      </c>
      <c r="M28" s="4" t="s">
        <v>780</v>
      </c>
      <c r="N28" s="4">
        <v>21</v>
      </c>
      <c r="O28" s="209">
        <v>88</v>
      </c>
      <c r="P28" s="4" t="s">
        <v>780</v>
      </c>
      <c r="Q28" s="4" t="s">
        <v>780</v>
      </c>
      <c r="R28" s="4" t="s">
        <v>780</v>
      </c>
      <c r="S28" s="4" t="s">
        <v>780</v>
      </c>
      <c r="T28" s="4" t="s">
        <v>780</v>
      </c>
      <c r="U28" s="4" t="s">
        <v>780</v>
      </c>
      <c r="V28" s="4" t="s">
        <v>15</v>
      </c>
      <c r="W28" s="4"/>
      <c r="X28" s="4" t="s">
        <v>15</v>
      </c>
      <c r="Y28" s="4"/>
      <c r="Z28" s="4"/>
      <c r="AA28" s="209"/>
      <c r="AB28" s="202" t="str">
        <f t="shared" si="0"/>
        <v/>
      </c>
    </row>
    <row r="29" spans="1:28" s="213" customFormat="1" ht="14.5">
      <c r="A29" s="206">
        <v>43107</v>
      </c>
      <c r="B29" s="204" t="s">
        <v>533</v>
      </c>
      <c r="C29" s="204" t="s">
        <v>235</v>
      </c>
      <c r="D29" s="206" t="s">
        <v>1238</v>
      </c>
      <c r="E29" s="204"/>
      <c r="F29" s="204">
        <v>2</v>
      </c>
      <c r="G29" s="204">
        <v>2</v>
      </c>
      <c r="H29" s="204" t="s">
        <v>16</v>
      </c>
      <c r="I29" s="204" t="s">
        <v>423</v>
      </c>
      <c r="J29" s="205">
        <v>42139</v>
      </c>
      <c r="K29" s="13" t="str">
        <f>IF(DATEDIF($J29,'Inst summary and ER calculation'!$U$6,"y")=2,"2-3 years","3-4 years")</f>
        <v>2-3 years</v>
      </c>
      <c r="L29" s="204" t="s">
        <v>16</v>
      </c>
      <c r="M29" s="204" t="s">
        <v>16</v>
      </c>
      <c r="N29" s="204">
        <v>19</v>
      </c>
      <c r="O29" s="204">
        <v>78</v>
      </c>
      <c r="P29" s="204" t="s">
        <v>16</v>
      </c>
      <c r="Q29" s="204" t="s">
        <v>16</v>
      </c>
      <c r="R29" s="204" t="s">
        <v>16</v>
      </c>
      <c r="S29" s="204" t="s">
        <v>16</v>
      </c>
      <c r="T29" s="204" t="s">
        <v>16</v>
      </c>
      <c r="U29" s="204" t="s">
        <v>16</v>
      </c>
      <c r="V29" s="204"/>
      <c r="W29" s="22"/>
      <c r="X29" s="204" t="s">
        <v>15</v>
      </c>
      <c r="Y29" s="204"/>
      <c r="Z29" s="204"/>
      <c r="AA29" s="204"/>
      <c r="AB29" s="202" t="str">
        <f t="shared" si="0"/>
        <v/>
      </c>
    </row>
    <row r="30" spans="1:28" s="213" customFormat="1" ht="14.5">
      <c r="A30" s="206">
        <v>43110</v>
      </c>
      <c r="B30" s="204" t="s">
        <v>1096</v>
      </c>
      <c r="C30" s="11" t="s">
        <v>1097</v>
      </c>
      <c r="D30" s="12" t="s">
        <v>1098</v>
      </c>
      <c r="E30" s="12"/>
      <c r="F30" s="204">
        <v>3</v>
      </c>
      <c r="G30" s="204">
        <v>2</v>
      </c>
      <c r="H30" s="204" t="s">
        <v>16</v>
      </c>
      <c r="I30" s="204" t="s">
        <v>317</v>
      </c>
      <c r="J30" s="205">
        <v>42078</v>
      </c>
      <c r="K30" s="13" t="str">
        <f>IF(DATEDIF($J30,'Inst summary and ER calculation'!$U$6,"y")=2,"2-3 years","3-4 years")</f>
        <v>2-3 years</v>
      </c>
      <c r="L30" s="204" t="s">
        <v>16</v>
      </c>
      <c r="M30" s="204" t="s">
        <v>16</v>
      </c>
      <c r="N30" s="204">
        <v>20</v>
      </c>
      <c r="O30" s="204">
        <v>80</v>
      </c>
      <c r="P30" s="204" t="s">
        <v>16</v>
      </c>
      <c r="Q30" s="204" t="s">
        <v>16</v>
      </c>
      <c r="R30" s="204" t="s">
        <v>16</v>
      </c>
      <c r="S30" s="204" t="s">
        <v>16</v>
      </c>
      <c r="T30" s="204" t="s">
        <v>16</v>
      </c>
      <c r="U30" s="204" t="s">
        <v>16</v>
      </c>
      <c r="V30" s="204"/>
      <c r="W30" s="22"/>
      <c r="X30" s="204" t="s">
        <v>15</v>
      </c>
      <c r="Y30" s="204"/>
      <c r="Z30" s="204"/>
      <c r="AA30" s="204"/>
      <c r="AB30" s="202" t="str">
        <f t="shared" si="0"/>
        <v/>
      </c>
    </row>
    <row r="31" spans="1:28" s="213" customFormat="1" ht="14.5">
      <c r="A31" s="206">
        <v>43119</v>
      </c>
      <c r="B31" s="4" t="s">
        <v>805</v>
      </c>
      <c r="C31" s="4" t="s">
        <v>1591</v>
      </c>
      <c r="D31" s="4" t="s">
        <v>833</v>
      </c>
      <c r="E31" s="4"/>
      <c r="F31" s="4">
        <v>8</v>
      </c>
      <c r="G31" s="209">
        <v>2</v>
      </c>
      <c r="H31" s="4" t="s">
        <v>780</v>
      </c>
      <c r="I31" s="4" t="s">
        <v>318</v>
      </c>
      <c r="J31" s="205">
        <v>42081</v>
      </c>
      <c r="K31" s="13" t="str">
        <f>IF(DATEDIF($J31,'Inst summary and ER calculation'!$U$6,"y")=2,"2-3 years","3-4 years")</f>
        <v>2-3 years</v>
      </c>
      <c r="L31" s="6" t="s">
        <v>780</v>
      </c>
      <c r="M31" s="4" t="s">
        <v>780</v>
      </c>
      <c r="N31" s="4">
        <v>15</v>
      </c>
      <c r="O31" s="209">
        <v>60</v>
      </c>
      <c r="P31" s="4" t="s">
        <v>780</v>
      </c>
      <c r="Q31" s="4" t="s">
        <v>780</v>
      </c>
      <c r="R31" s="4" t="s">
        <v>780</v>
      </c>
      <c r="S31" s="4" t="s">
        <v>780</v>
      </c>
      <c r="T31" s="4" t="s">
        <v>780</v>
      </c>
      <c r="U31" s="4" t="s">
        <v>780</v>
      </c>
      <c r="V31" s="4" t="s">
        <v>15</v>
      </c>
      <c r="W31" s="4"/>
      <c r="X31" s="4" t="s">
        <v>15</v>
      </c>
      <c r="Y31" s="4"/>
      <c r="Z31" s="4"/>
      <c r="AA31" s="209"/>
      <c r="AB31" s="202" t="str">
        <f t="shared" si="0"/>
        <v/>
      </c>
    </row>
    <row r="32" spans="1:28" s="213" customFormat="1" ht="14.5">
      <c r="A32" s="206">
        <v>43117</v>
      </c>
      <c r="B32" s="204" t="s">
        <v>1020</v>
      </c>
      <c r="C32" s="204" t="s">
        <v>1147</v>
      </c>
      <c r="D32" s="12" t="s">
        <v>1148</v>
      </c>
      <c r="E32" s="12"/>
      <c r="F32" s="204">
        <v>5</v>
      </c>
      <c r="G32" s="204">
        <v>1</v>
      </c>
      <c r="H32" s="204" t="s">
        <v>16</v>
      </c>
      <c r="I32" s="204" t="s">
        <v>476</v>
      </c>
      <c r="J32" s="205">
        <v>42170</v>
      </c>
      <c r="K32" s="13" t="str">
        <f>IF(DATEDIF($J32,'Inst summary and ER calculation'!$U$6,"y")=2,"2-3 years","3-4 years")</f>
        <v>2-3 years</v>
      </c>
      <c r="L32" s="204" t="s">
        <v>16</v>
      </c>
      <c r="M32" s="204" t="s">
        <v>16</v>
      </c>
      <c r="N32" s="204">
        <v>14</v>
      </c>
      <c r="O32" s="204">
        <v>60</v>
      </c>
      <c r="P32" s="204" t="s">
        <v>16</v>
      </c>
      <c r="Q32" s="204" t="s">
        <v>16</v>
      </c>
      <c r="R32" s="204" t="s">
        <v>16</v>
      </c>
      <c r="S32" s="204" t="s">
        <v>16</v>
      </c>
      <c r="T32" s="204" t="s">
        <v>16</v>
      </c>
      <c r="U32" s="204" t="s">
        <v>16</v>
      </c>
      <c r="V32" s="204"/>
      <c r="W32" s="22"/>
      <c r="X32" s="204" t="s">
        <v>15</v>
      </c>
      <c r="Y32" s="204"/>
      <c r="Z32" s="204"/>
      <c r="AA32" s="204"/>
      <c r="AB32" s="202" t="str">
        <f t="shared" si="0"/>
        <v/>
      </c>
    </row>
    <row r="33" spans="1:28" s="213" customFormat="1" ht="14.5">
      <c r="A33" s="206">
        <v>43112</v>
      </c>
      <c r="B33" s="4" t="s">
        <v>165</v>
      </c>
      <c r="C33" s="4" t="s">
        <v>1579</v>
      </c>
      <c r="D33" s="4" t="s">
        <v>887</v>
      </c>
      <c r="E33" s="4"/>
      <c r="F33" s="4">
        <v>3</v>
      </c>
      <c r="G33" s="209">
        <v>1</v>
      </c>
      <c r="H33" s="4" t="s">
        <v>780</v>
      </c>
      <c r="I33" s="4" t="s">
        <v>491</v>
      </c>
      <c r="J33" s="205">
        <v>42176</v>
      </c>
      <c r="K33" s="13" t="str">
        <f>IF(DATEDIF($J33,'Inst summary and ER calculation'!$U$6,"y")=2,"2-3 years","3-4 years")</f>
        <v>2-3 years</v>
      </c>
      <c r="L33" s="6" t="s">
        <v>780</v>
      </c>
      <c r="M33" s="4" t="s">
        <v>780</v>
      </c>
      <c r="N33" s="4">
        <v>21</v>
      </c>
      <c r="O33" s="209">
        <v>85</v>
      </c>
      <c r="P33" s="4" t="s">
        <v>780</v>
      </c>
      <c r="Q33" s="4" t="s">
        <v>780</v>
      </c>
      <c r="R33" s="4" t="s">
        <v>780</v>
      </c>
      <c r="S33" s="4" t="s">
        <v>780</v>
      </c>
      <c r="T33" s="4" t="s">
        <v>780</v>
      </c>
      <c r="U33" s="4" t="s">
        <v>780</v>
      </c>
      <c r="V33" s="4" t="s">
        <v>15</v>
      </c>
      <c r="W33" s="4"/>
      <c r="X33" s="4" t="s">
        <v>15</v>
      </c>
      <c r="Y33" s="4"/>
      <c r="Z33" s="4"/>
      <c r="AA33" s="209"/>
      <c r="AB33" s="202" t="str">
        <f t="shared" si="0"/>
        <v/>
      </c>
    </row>
    <row r="34" spans="1:28" s="213" customFormat="1" ht="14.5">
      <c r="A34" s="206">
        <v>43119</v>
      </c>
      <c r="B34" s="4" t="s">
        <v>165</v>
      </c>
      <c r="C34" s="4" t="s">
        <v>1592</v>
      </c>
      <c r="D34" s="4" t="s">
        <v>829</v>
      </c>
      <c r="E34" s="4"/>
      <c r="F34" s="4">
        <v>5</v>
      </c>
      <c r="G34" s="209">
        <v>0</v>
      </c>
      <c r="H34" s="4" t="s">
        <v>780</v>
      </c>
      <c r="I34" s="4" t="s">
        <v>446</v>
      </c>
      <c r="J34" s="205">
        <v>42150</v>
      </c>
      <c r="K34" s="13" t="str">
        <f>IF(DATEDIF($J34,'Inst summary and ER calculation'!$U$6,"y")=2,"2-3 years","3-4 years")</f>
        <v>2-3 years</v>
      </c>
      <c r="L34" s="6" t="s">
        <v>780</v>
      </c>
      <c r="M34" s="4" t="s">
        <v>780</v>
      </c>
      <c r="N34" s="4">
        <v>21</v>
      </c>
      <c r="O34" s="209">
        <v>88</v>
      </c>
      <c r="P34" s="4" t="s">
        <v>780</v>
      </c>
      <c r="Q34" s="4" t="s">
        <v>780</v>
      </c>
      <c r="R34" s="4" t="s">
        <v>780</v>
      </c>
      <c r="S34" s="4" t="s">
        <v>780</v>
      </c>
      <c r="T34" s="4" t="s">
        <v>780</v>
      </c>
      <c r="U34" s="4" t="s">
        <v>780</v>
      </c>
      <c r="V34" s="4" t="s">
        <v>15</v>
      </c>
      <c r="W34" s="4"/>
      <c r="X34" s="4" t="s">
        <v>15</v>
      </c>
      <c r="Y34" s="4"/>
      <c r="Z34" s="4"/>
      <c r="AA34" s="209"/>
      <c r="AB34" s="202" t="str">
        <f t="shared" si="0"/>
        <v/>
      </c>
    </row>
    <row r="35" spans="1:28" s="213" customFormat="1" ht="14.5">
      <c r="A35" s="206">
        <v>43109</v>
      </c>
      <c r="B35" s="4" t="s">
        <v>531</v>
      </c>
      <c r="C35" s="4" t="s">
        <v>123</v>
      </c>
      <c r="D35" s="4" t="s">
        <v>825</v>
      </c>
      <c r="E35" s="4"/>
      <c r="F35" s="4">
        <v>5</v>
      </c>
      <c r="G35" s="209">
        <v>3</v>
      </c>
      <c r="H35" s="4" t="s">
        <v>780</v>
      </c>
      <c r="I35" s="4" t="s">
        <v>369</v>
      </c>
      <c r="J35" s="205">
        <v>42113</v>
      </c>
      <c r="K35" s="13" t="str">
        <f>IF(DATEDIF($J35,'Inst summary and ER calculation'!$U$6,"y")=2,"2-3 years","3-4 years")</f>
        <v>2-3 years</v>
      </c>
      <c r="L35" s="6" t="s">
        <v>780</v>
      </c>
      <c r="M35" s="4" t="s">
        <v>780</v>
      </c>
      <c r="N35" s="4">
        <v>20</v>
      </c>
      <c r="O35" s="209">
        <v>88</v>
      </c>
      <c r="P35" s="4" t="s">
        <v>780</v>
      </c>
      <c r="Q35" s="4" t="s">
        <v>780</v>
      </c>
      <c r="R35" s="4" t="s">
        <v>780</v>
      </c>
      <c r="S35" s="4" t="s">
        <v>780</v>
      </c>
      <c r="T35" s="4" t="s">
        <v>780</v>
      </c>
      <c r="U35" s="4" t="s">
        <v>780</v>
      </c>
      <c r="V35" s="4" t="s">
        <v>15</v>
      </c>
      <c r="W35" s="4"/>
      <c r="X35" s="4" t="s">
        <v>15</v>
      </c>
      <c r="Y35" s="4"/>
      <c r="Z35" s="4"/>
      <c r="AA35" s="209"/>
      <c r="AB35" s="202" t="str">
        <f t="shared" ref="AB35:AB66" si="1">IF(Y35="yes",MAX(Z35/(Z35+N35),AA35/(AA35+O35)),"")</f>
        <v/>
      </c>
    </row>
    <row r="36" spans="1:28" s="213" customFormat="1" ht="14.5">
      <c r="A36" s="206">
        <v>43111</v>
      </c>
      <c r="B36" s="204" t="s">
        <v>1055</v>
      </c>
      <c r="C36" s="204" t="s">
        <v>1140</v>
      </c>
      <c r="D36" s="12" t="s">
        <v>1141</v>
      </c>
      <c r="E36" s="12"/>
      <c r="F36" s="204">
        <v>4</v>
      </c>
      <c r="G36" s="204">
        <v>3</v>
      </c>
      <c r="H36" s="204" t="s">
        <v>16</v>
      </c>
      <c r="I36" s="204" t="s">
        <v>447</v>
      </c>
      <c r="J36" s="205">
        <v>42150</v>
      </c>
      <c r="K36" s="13" t="str">
        <f>IF(DATEDIF($J36,'Inst summary and ER calculation'!$U$6,"y")=2,"2-3 years","3-4 years")</f>
        <v>2-3 years</v>
      </c>
      <c r="L36" s="204" t="s">
        <v>16</v>
      </c>
      <c r="M36" s="204" t="s">
        <v>16</v>
      </c>
      <c r="N36" s="204">
        <v>16</v>
      </c>
      <c r="O36" s="204">
        <v>80</v>
      </c>
      <c r="P36" s="204" t="s">
        <v>16</v>
      </c>
      <c r="Q36" s="204" t="s">
        <v>16</v>
      </c>
      <c r="R36" s="204" t="s">
        <v>16</v>
      </c>
      <c r="S36" s="204" t="s">
        <v>16</v>
      </c>
      <c r="T36" s="204" t="s">
        <v>16</v>
      </c>
      <c r="U36" s="204" t="s">
        <v>16</v>
      </c>
      <c r="V36" s="204"/>
      <c r="W36" s="22"/>
      <c r="X36" s="204" t="s">
        <v>15</v>
      </c>
      <c r="Y36" s="204"/>
      <c r="Z36" s="204"/>
      <c r="AA36" s="204"/>
      <c r="AB36" s="202" t="str">
        <f t="shared" si="1"/>
        <v/>
      </c>
    </row>
    <row r="37" spans="1:28" s="213" customFormat="1" ht="14.5">
      <c r="A37" s="206">
        <v>43106</v>
      </c>
      <c r="B37" s="204" t="s">
        <v>1055</v>
      </c>
      <c r="C37" s="204" t="s">
        <v>75</v>
      </c>
      <c r="D37" s="12" t="s">
        <v>1089</v>
      </c>
      <c r="E37" s="12"/>
      <c r="F37" s="204">
        <v>3</v>
      </c>
      <c r="G37" s="204">
        <v>2</v>
      </c>
      <c r="H37" s="204" t="s">
        <v>16</v>
      </c>
      <c r="I37" s="204" t="s">
        <v>297</v>
      </c>
      <c r="J37" s="205">
        <v>42064</v>
      </c>
      <c r="K37" s="13" t="str">
        <f>IF(DATEDIF($J37,'Inst summary and ER calculation'!$U$6,"y")=2,"2-3 years","3-4 years")</f>
        <v>2-3 years</v>
      </c>
      <c r="L37" s="204" t="s">
        <v>16</v>
      </c>
      <c r="M37" s="204" t="s">
        <v>16</v>
      </c>
      <c r="N37" s="204">
        <v>14</v>
      </c>
      <c r="O37" s="204">
        <v>60</v>
      </c>
      <c r="P37" s="204" t="s">
        <v>16</v>
      </c>
      <c r="Q37" s="204" t="s">
        <v>16</v>
      </c>
      <c r="R37" s="204" t="s">
        <v>16</v>
      </c>
      <c r="S37" s="204" t="s">
        <v>16</v>
      </c>
      <c r="T37" s="204" t="s">
        <v>16</v>
      </c>
      <c r="U37" s="204" t="s">
        <v>16</v>
      </c>
      <c r="V37" s="204"/>
      <c r="W37" s="22"/>
      <c r="X37" s="204" t="s">
        <v>15</v>
      </c>
      <c r="Y37" s="204"/>
      <c r="Z37" s="204"/>
      <c r="AA37" s="204"/>
      <c r="AB37" s="202" t="str">
        <f t="shared" si="1"/>
        <v/>
      </c>
    </row>
    <row r="38" spans="1:28" s="213" customFormat="1" ht="14.5">
      <c r="A38" s="206">
        <v>43120</v>
      </c>
      <c r="B38" s="4" t="s">
        <v>531</v>
      </c>
      <c r="C38" s="4" t="s">
        <v>337</v>
      </c>
      <c r="D38" s="4" t="s">
        <v>827</v>
      </c>
      <c r="E38" s="4"/>
      <c r="F38" s="4">
        <v>4</v>
      </c>
      <c r="G38" s="209">
        <v>2</v>
      </c>
      <c r="H38" s="4" t="s">
        <v>780</v>
      </c>
      <c r="I38" s="4" t="s">
        <v>336</v>
      </c>
      <c r="J38" s="205">
        <v>42092</v>
      </c>
      <c r="K38" s="13" t="str">
        <f>IF(DATEDIF($J38,'Inst summary and ER calculation'!$U$6,"y")=2,"2-3 years","3-4 years")</f>
        <v>2-3 years</v>
      </c>
      <c r="L38" s="6" t="s">
        <v>780</v>
      </c>
      <c r="M38" s="4" t="s">
        <v>780</v>
      </c>
      <c r="N38" s="4">
        <v>19</v>
      </c>
      <c r="O38" s="209">
        <v>87</v>
      </c>
      <c r="P38" s="4" t="s">
        <v>780</v>
      </c>
      <c r="Q38" s="4" t="s">
        <v>780</v>
      </c>
      <c r="R38" s="4" t="s">
        <v>780</v>
      </c>
      <c r="S38" s="4" t="s">
        <v>780</v>
      </c>
      <c r="T38" s="4" t="s">
        <v>780</v>
      </c>
      <c r="U38" s="4" t="s">
        <v>780</v>
      </c>
      <c r="V38" s="4" t="s">
        <v>15</v>
      </c>
      <c r="W38" s="4"/>
      <c r="X38" s="4" t="s">
        <v>15</v>
      </c>
      <c r="Y38" s="4"/>
      <c r="Z38" s="4"/>
      <c r="AA38" s="209"/>
      <c r="AB38" s="202" t="str">
        <f t="shared" si="1"/>
        <v/>
      </c>
    </row>
    <row r="39" spans="1:28" s="213" customFormat="1" ht="14.5">
      <c r="A39" s="206">
        <v>43112</v>
      </c>
      <c r="B39" s="204" t="s">
        <v>454</v>
      </c>
      <c r="C39" s="204" t="s">
        <v>1151</v>
      </c>
      <c r="D39" s="12" t="s">
        <v>1152</v>
      </c>
      <c r="E39" s="12"/>
      <c r="F39" s="204">
        <v>2</v>
      </c>
      <c r="G39" s="204">
        <v>2</v>
      </c>
      <c r="H39" s="204" t="s">
        <v>16</v>
      </c>
      <c r="I39" s="204" t="s">
        <v>480</v>
      </c>
      <c r="J39" s="205">
        <v>42170</v>
      </c>
      <c r="K39" s="13" t="str">
        <f>IF(DATEDIF($J39,'Inst summary and ER calculation'!$U$6,"y")=2,"2-3 years","3-4 years")</f>
        <v>2-3 years</v>
      </c>
      <c r="L39" s="204" t="s">
        <v>16</v>
      </c>
      <c r="M39" s="204" t="s">
        <v>16</v>
      </c>
      <c r="N39" s="204">
        <v>14</v>
      </c>
      <c r="O39" s="204">
        <v>60</v>
      </c>
      <c r="P39" s="204" t="s">
        <v>16</v>
      </c>
      <c r="Q39" s="204" t="s">
        <v>16</v>
      </c>
      <c r="R39" s="204" t="s">
        <v>16</v>
      </c>
      <c r="S39" s="204" t="s">
        <v>16</v>
      </c>
      <c r="T39" s="204" t="s">
        <v>16</v>
      </c>
      <c r="U39" s="204" t="s">
        <v>16</v>
      </c>
      <c r="V39" s="204"/>
      <c r="W39" s="22"/>
      <c r="X39" s="204" t="s">
        <v>15</v>
      </c>
      <c r="Y39" s="204"/>
      <c r="Z39" s="204"/>
      <c r="AA39" s="204"/>
      <c r="AB39" s="202" t="str">
        <f t="shared" si="1"/>
        <v/>
      </c>
    </row>
    <row r="40" spans="1:28" s="213" customFormat="1" ht="14.5">
      <c r="A40" s="206">
        <v>43114</v>
      </c>
      <c r="B40" s="4" t="s">
        <v>238</v>
      </c>
      <c r="C40" s="4" t="s">
        <v>230</v>
      </c>
      <c r="D40" s="4" t="s">
        <v>895</v>
      </c>
      <c r="E40" s="4"/>
      <c r="F40" s="4">
        <v>2</v>
      </c>
      <c r="G40" s="209">
        <v>2</v>
      </c>
      <c r="H40" s="4" t="s">
        <v>780</v>
      </c>
      <c r="I40" s="4" t="s">
        <v>440</v>
      </c>
      <c r="J40" s="205">
        <v>42145</v>
      </c>
      <c r="K40" s="13" t="str">
        <f>IF(DATEDIF($J40,'Inst summary and ER calculation'!$U$6,"y")=2,"2-3 years","3-4 years")</f>
        <v>2-3 years</v>
      </c>
      <c r="L40" s="6" t="s">
        <v>780</v>
      </c>
      <c r="M40" s="4" t="s">
        <v>780</v>
      </c>
      <c r="N40" s="4">
        <v>20</v>
      </c>
      <c r="O40" s="209">
        <v>85</v>
      </c>
      <c r="P40" s="4" t="s">
        <v>780</v>
      </c>
      <c r="Q40" s="4" t="s">
        <v>780</v>
      </c>
      <c r="R40" s="4" t="s">
        <v>780</v>
      </c>
      <c r="S40" s="4" t="s">
        <v>780</v>
      </c>
      <c r="T40" s="4" t="s">
        <v>780</v>
      </c>
      <c r="U40" s="4" t="s">
        <v>780</v>
      </c>
      <c r="V40" s="4" t="s">
        <v>15</v>
      </c>
      <c r="W40" s="4"/>
      <c r="X40" s="4" t="s">
        <v>15</v>
      </c>
      <c r="Y40" s="4"/>
      <c r="Z40" s="4"/>
      <c r="AA40" s="209"/>
      <c r="AB40" s="202" t="str">
        <f t="shared" si="1"/>
        <v/>
      </c>
    </row>
    <row r="41" spans="1:28" s="213" customFormat="1" ht="14.5">
      <c r="A41" s="206">
        <v>43124</v>
      </c>
      <c r="B41" s="4" t="s">
        <v>875</v>
      </c>
      <c r="C41" s="4" t="s">
        <v>1601</v>
      </c>
      <c r="D41" s="4" t="s">
        <v>876</v>
      </c>
      <c r="E41" s="4"/>
      <c r="F41" s="4">
        <v>3</v>
      </c>
      <c r="G41" s="209">
        <v>2</v>
      </c>
      <c r="H41" s="4" t="s">
        <v>780</v>
      </c>
      <c r="I41" s="4" t="s">
        <v>439</v>
      </c>
      <c r="J41" s="205">
        <v>42144</v>
      </c>
      <c r="K41" s="13" t="str">
        <f>IF(DATEDIF($J41,'Inst summary and ER calculation'!$U$6,"y")=2,"2-3 years","3-4 years")</f>
        <v>2-3 years</v>
      </c>
      <c r="L41" s="6" t="s">
        <v>780</v>
      </c>
      <c r="M41" s="4" t="s">
        <v>780</v>
      </c>
      <c r="N41" s="4">
        <v>18</v>
      </c>
      <c r="O41" s="209">
        <v>85</v>
      </c>
      <c r="P41" s="4" t="s">
        <v>780</v>
      </c>
      <c r="Q41" s="4" t="s">
        <v>780</v>
      </c>
      <c r="R41" s="4" t="s">
        <v>780</v>
      </c>
      <c r="S41" s="4" t="s">
        <v>780</v>
      </c>
      <c r="T41" s="4" t="s">
        <v>780</v>
      </c>
      <c r="U41" s="4" t="s">
        <v>780</v>
      </c>
      <c r="V41" s="4" t="s">
        <v>15</v>
      </c>
      <c r="W41" s="4"/>
      <c r="X41" s="4" t="s">
        <v>15</v>
      </c>
      <c r="Y41" s="4"/>
      <c r="Z41" s="4"/>
      <c r="AA41" s="209"/>
      <c r="AB41" s="202" t="str">
        <f t="shared" si="1"/>
        <v/>
      </c>
    </row>
    <row r="42" spans="1:28" s="213" customFormat="1" ht="14.5">
      <c r="A42" s="206">
        <v>43110</v>
      </c>
      <c r="B42" s="4" t="s">
        <v>875</v>
      </c>
      <c r="C42" s="4" t="s">
        <v>1573</v>
      </c>
      <c r="D42" s="4" t="s">
        <v>878</v>
      </c>
      <c r="E42" s="4"/>
      <c r="F42" s="4">
        <v>3</v>
      </c>
      <c r="G42" s="209">
        <v>0</v>
      </c>
      <c r="H42" s="4" t="s">
        <v>780</v>
      </c>
      <c r="I42" s="4" t="s">
        <v>463</v>
      </c>
      <c r="J42" s="205">
        <v>42162</v>
      </c>
      <c r="K42" s="13" t="str">
        <f>IF(DATEDIF($J42,'Inst summary and ER calculation'!$U$6,"y")=2,"2-3 years","3-4 years")</f>
        <v>2-3 years</v>
      </c>
      <c r="L42" s="6" t="s">
        <v>780</v>
      </c>
      <c r="M42" s="4" t="s">
        <v>780</v>
      </c>
      <c r="N42" s="4">
        <v>21</v>
      </c>
      <c r="O42" s="209">
        <v>88</v>
      </c>
      <c r="P42" s="4" t="s">
        <v>780</v>
      </c>
      <c r="Q42" s="4" t="s">
        <v>780</v>
      </c>
      <c r="R42" s="4" t="s">
        <v>780</v>
      </c>
      <c r="S42" s="4" t="s">
        <v>780</v>
      </c>
      <c r="T42" s="4" t="s">
        <v>780</v>
      </c>
      <c r="U42" s="4" t="s">
        <v>780</v>
      </c>
      <c r="V42" s="4" t="s">
        <v>15</v>
      </c>
      <c r="W42" s="4"/>
      <c r="X42" s="4" t="s">
        <v>15</v>
      </c>
      <c r="Y42" s="4"/>
      <c r="Z42" s="4"/>
      <c r="AA42" s="209"/>
      <c r="AB42" s="202" t="str">
        <f t="shared" si="1"/>
        <v/>
      </c>
    </row>
    <row r="43" spans="1:28" s="213" customFormat="1" ht="14.5">
      <c r="A43" s="206">
        <v>43112</v>
      </c>
      <c r="B43" s="4" t="s">
        <v>789</v>
      </c>
      <c r="C43" s="4" t="s">
        <v>1578</v>
      </c>
      <c r="D43" s="4" t="s">
        <v>832</v>
      </c>
      <c r="E43" s="4"/>
      <c r="F43" s="4">
        <v>3</v>
      </c>
      <c r="G43" s="209">
        <v>1</v>
      </c>
      <c r="H43" s="4" t="s">
        <v>780</v>
      </c>
      <c r="I43" s="4" t="s">
        <v>397</v>
      </c>
      <c r="J43" s="205">
        <v>42124</v>
      </c>
      <c r="K43" s="13" t="str">
        <f>IF(DATEDIF($J43,'Inst summary and ER calculation'!$U$6,"y")=2,"2-3 years","3-4 years")</f>
        <v>2-3 years</v>
      </c>
      <c r="L43" s="6" t="s">
        <v>780</v>
      </c>
      <c r="M43" s="4" t="s">
        <v>780</v>
      </c>
      <c r="N43" s="4">
        <v>21</v>
      </c>
      <c r="O43" s="209">
        <v>70</v>
      </c>
      <c r="P43" s="4" t="s">
        <v>780</v>
      </c>
      <c r="Q43" s="4" t="s">
        <v>780</v>
      </c>
      <c r="R43" s="4" t="s">
        <v>780</v>
      </c>
      <c r="S43" s="4" t="s">
        <v>780</v>
      </c>
      <c r="T43" s="4" t="s">
        <v>780</v>
      </c>
      <c r="U43" s="4" t="s">
        <v>780</v>
      </c>
      <c r="V43" s="4" t="s">
        <v>15</v>
      </c>
      <c r="W43" s="4"/>
      <c r="X43" s="4" t="s">
        <v>15</v>
      </c>
      <c r="Y43" s="4"/>
      <c r="Z43" s="4"/>
      <c r="AA43" s="209"/>
      <c r="AB43" s="202" t="str">
        <f t="shared" si="1"/>
        <v/>
      </c>
    </row>
    <row r="44" spans="1:28" s="213" customFormat="1" ht="14.5">
      <c r="A44" s="206">
        <v>43103</v>
      </c>
      <c r="B44" s="4" t="s">
        <v>789</v>
      </c>
      <c r="C44" s="4" t="s">
        <v>1565</v>
      </c>
      <c r="D44" s="4" t="s">
        <v>843</v>
      </c>
      <c r="E44" s="4"/>
      <c r="F44" s="4">
        <v>5</v>
      </c>
      <c r="G44" s="209">
        <v>1</v>
      </c>
      <c r="H44" s="4" t="s">
        <v>780</v>
      </c>
      <c r="I44" s="4" t="s">
        <v>346</v>
      </c>
      <c r="J44" s="205">
        <v>42103</v>
      </c>
      <c r="K44" s="13" t="str">
        <f>IF(DATEDIF($J44,'Inst summary and ER calculation'!$U$6,"y")=2,"2-3 years","3-4 years")</f>
        <v>2-3 years</v>
      </c>
      <c r="L44" s="6" t="s">
        <v>780</v>
      </c>
      <c r="M44" s="4" t="s">
        <v>780</v>
      </c>
      <c r="N44" s="4">
        <v>8</v>
      </c>
      <c r="O44" s="209">
        <v>35</v>
      </c>
      <c r="P44" s="4" t="s">
        <v>780</v>
      </c>
      <c r="Q44" s="4" t="s">
        <v>780</v>
      </c>
      <c r="R44" s="4" t="s">
        <v>780</v>
      </c>
      <c r="S44" s="4" t="s">
        <v>780</v>
      </c>
      <c r="T44" s="4" t="s">
        <v>780</v>
      </c>
      <c r="U44" s="4" t="s">
        <v>780</v>
      </c>
      <c r="V44" s="4" t="s">
        <v>15</v>
      </c>
      <c r="W44" s="4"/>
      <c r="X44" s="4" t="s">
        <v>16</v>
      </c>
      <c r="Y44" s="4" t="s">
        <v>16</v>
      </c>
      <c r="Z44" s="4">
        <v>8</v>
      </c>
      <c r="AA44" s="209">
        <v>35</v>
      </c>
      <c r="AB44" s="202">
        <f t="shared" si="1"/>
        <v>0.5</v>
      </c>
    </row>
    <row r="45" spans="1:28" s="213" customFormat="1" ht="14.5">
      <c r="A45" s="206">
        <v>43105</v>
      </c>
      <c r="B45" s="4" t="s">
        <v>789</v>
      </c>
      <c r="C45" s="4" t="s">
        <v>173</v>
      </c>
      <c r="D45" s="4" t="s">
        <v>852</v>
      </c>
      <c r="E45" s="4"/>
      <c r="F45" s="4">
        <v>3</v>
      </c>
      <c r="G45" s="209">
        <v>3</v>
      </c>
      <c r="H45" s="4" t="s">
        <v>780</v>
      </c>
      <c r="I45" s="4" t="s">
        <v>405</v>
      </c>
      <c r="J45" s="205">
        <v>42124</v>
      </c>
      <c r="K45" s="13" t="str">
        <f>IF(DATEDIF($J45,'Inst summary and ER calculation'!$U$6,"y")=2,"2-3 years","3-4 years")</f>
        <v>2-3 years</v>
      </c>
      <c r="L45" s="6" t="s">
        <v>780</v>
      </c>
      <c r="M45" s="4" t="s">
        <v>780</v>
      </c>
      <c r="N45" s="4">
        <v>21</v>
      </c>
      <c r="O45" s="209">
        <v>88</v>
      </c>
      <c r="P45" s="4" t="s">
        <v>780</v>
      </c>
      <c r="Q45" s="4" t="s">
        <v>780</v>
      </c>
      <c r="R45" s="4" t="s">
        <v>780</v>
      </c>
      <c r="S45" s="4" t="s">
        <v>780</v>
      </c>
      <c r="T45" s="4" t="s">
        <v>780</v>
      </c>
      <c r="U45" s="4" t="s">
        <v>780</v>
      </c>
      <c r="V45" s="4" t="s">
        <v>15</v>
      </c>
      <c r="W45" s="4"/>
      <c r="X45" s="4" t="s">
        <v>15</v>
      </c>
      <c r="Y45" s="4"/>
      <c r="Z45" s="4"/>
      <c r="AA45" s="209"/>
      <c r="AB45" s="202" t="str">
        <f t="shared" si="1"/>
        <v/>
      </c>
    </row>
    <row r="46" spans="1:28" s="213" customFormat="1" ht="14.5">
      <c r="A46" s="206">
        <v>43109</v>
      </c>
      <c r="B46" s="208" t="s">
        <v>823</v>
      </c>
      <c r="C46" s="208" t="s">
        <v>471</v>
      </c>
      <c r="D46" s="4" t="s">
        <v>824</v>
      </c>
      <c r="E46" s="208"/>
      <c r="F46" s="4">
        <v>3</v>
      </c>
      <c r="G46" s="209">
        <v>2</v>
      </c>
      <c r="H46" s="4" t="s">
        <v>780</v>
      </c>
      <c r="I46" s="4" t="s">
        <v>470</v>
      </c>
      <c r="J46" s="205">
        <v>42167</v>
      </c>
      <c r="K46" s="13" t="str">
        <f>IF(DATEDIF($J46,'Inst summary and ER calculation'!$U$6,"y")=2,"2-3 years","3-4 years")</f>
        <v>2-3 years</v>
      </c>
      <c r="L46" s="6" t="s">
        <v>780</v>
      </c>
      <c r="M46" s="4" t="s">
        <v>780</v>
      </c>
      <c r="N46" s="4">
        <v>18</v>
      </c>
      <c r="O46" s="209">
        <v>84</v>
      </c>
      <c r="P46" s="4" t="s">
        <v>780</v>
      </c>
      <c r="Q46" s="4" t="s">
        <v>780</v>
      </c>
      <c r="R46" s="4" t="s">
        <v>780</v>
      </c>
      <c r="S46" s="4" t="s">
        <v>780</v>
      </c>
      <c r="T46" s="4" t="s">
        <v>780</v>
      </c>
      <c r="U46" s="4" t="s">
        <v>780</v>
      </c>
      <c r="V46" s="4" t="s">
        <v>15</v>
      </c>
      <c r="W46" s="4"/>
      <c r="X46" s="4" t="s">
        <v>15</v>
      </c>
      <c r="Y46" s="4"/>
      <c r="Z46" s="4"/>
      <c r="AA46" s="209"/>
      <c r="AB46" s="202" t="str">
        <f t="shared" si="1"/>
        <v/>
      </c>
    </row>
    <row r="47" spans="1:28" s="213" customFormat="1" ht="14.5">
      <c r="A47" s="206">
        <v>43107</v>
      </c>
      <c r="B47" s="204" t="s">
        <v>905</v>
      </c>
      <c r="C47" s="204" t="s">
        <v>47</v>
      </c>
      <c r="D47" s="206" t="s">
        <v>1242</v>
      </c>
      <c r="E47" s="204"/>
      <c r="F47" s="204">
        <v>3</v>
      </c>
      <c r="G47" s="204"/>
      <c r="H47" s="204" t="s">
        <v>16</v>
      </c>
      <c r="I47" s="204" t="s">
        <v>442</v>
      </c>
      <c r="J47" s="205">
        <v>42147</v>
      </c>
      <c r="K47" s="13" t="str">
        <f>IF(DATEDIF($J47,'Inst summary and ER calculation'!$U$6,"y")=2,"2-3 years","3-4 years")</f>
        <v>2-3 years</v>
      </c>
      <c r="L47" s="204" t="s">
        <v>16</v>
      </c>
      <c r="M47" s="204" t="s">
        <v>16</v>
      </c>
      <c r="N47" s="204">
        <v>20</v>
      </c>
      <c r="O47" s="204">
        <v>80</v>
      </c>
      <c r="P47" s="204" t="s">
        <v>16</v>
      </c>
      <c r="Q47" s="204" t="s">
        <v>16</v>
      </c>
      <c r="R47" s="204" t="s">
        <v>16</v>
      </c>
      <c r="S47" s="204" t="s">
        <v>16</v>
      </c>
      <c r="T47" s="204" t="s">
        <v>16</v>
      </c>
      <c r="U47" s="204" t="s">
        <v>16</v>
      </c>
      <c r="V47" s="204"/>
      <c r="W47" s="22"/>
      <c r="X47" s="204" t="s">
        <v>15</v>
      </c>
      <c r="Y47" s="204"/>
      <c r="Z47" s="204"/>
      <c r="AA47" s="204"/>
      <c r="AB47" s="202" t="str">
        <f t="shared" si="1"/>
        <v/>
      </c>
    </row>
    <row r="48" spans="1:28" s="213" customFormat="1" ht="14.5">
      <c r="A48" s="206">
        <v>43114</v>
      </c>
      <c r="B48" s="204" t="s">
        <v>42</v>
      </c>
      <c r="C48" s="204" t="s">
        <v>1259</v>
      </c>
      <c r="D48" s="206" t="s">
        <v>1260</v>
      </c>
      <c r="E48" s="204"/>
      <c r="F48" s="204">
        <v>4</v>
      </c>
      <c r="G48" s="204"/>
      <c r="H48" s="204" t="s">
        <v>16</v>
      </c>
      <c r="I48" s="204" t="s">
        <v>507</v>
      </c>
      <c r="J48" s="205">
        <v>42184</v>
      </c>
      <c r="K48" s="13" t="str">
        <f>IF(DATEDIF($J48,'Inst summary and ER calculation'!$U$6,"y")=2,"2-3 years","3-4 years")</f>
        <v>2-3 years</v>
      </c>
      <c r="L48" s="204" t="s">
        <v>16</v>
      </c>
      <c r="M48" s="204" t="s">
        <v>16</v>
      </c>
      <c r="N48" s="204">
        <v>14</v>
      </c>
      <c r="O48" s="204">
        <v>60</v>
      </c>
      <c r="P48" s="204" t="s">
        <v>16</v>
      </c>
      <c r="Q48" s="204" t="s">
        <v>16</v>
      </c>
      <c r="R48" s="204" t="s">
        <v>16</v>
      </c>
      <c r="S48" s="204" t="s">
        <v>16</v>
      </c>
      <c r="T48" s="204" t="s">
        <v>16</v>
      </c>
      <c r="U48" s="204" t="s">
        <v>16</v>
      </c>
      <c r="V48" s="204"/>
      <c r="W48" s="22"/>
      <c r="X48" s="204" t="s">
        <v>15</v>
      </c>
      <c r="Y48" s="204"/>
      <c r="Z48" s="204"/>
      <c r="AA48" s="204"/>
      <c r="AB48" s="202" t="str">
        <f t="shared" si="1"/>
        <v/>
      </c>
    </row>
    <row r="49" spans="1:28" s="213" customFormat="1" ht="14.5">
      <c r="A49" s="206">
        <v>43123</v>
      </c>
      <c r="B49" s="204" t="s">
        <v>1276</v>
      </c>
      <c r="C49" s="204" t="s">
        <v>1427</v>
      </c>
      <c r="D49" s="206" t="s">
        <v>1428</v>
      </c>
      <c r="E49" s="204"/>
      <c r="F49" s="204">
        <v>2</v>
      </c>
      <c r="G49" s="204">
        <v>3</v>
      </c>
      <c r="H49" s="204" t="s">
        <v>16</v>
      </c>
      <c r="I49" s="204" t="s">
        <v>503</v>
      </c>
      <c r="J49" s="205">
        <v>42183</v>
      </c>
      <c r="K49" s="13" t="str">
        <f>IF(DATEDIF($J49,'Inst summary and ER calculation'!$U$6,"y")=2,"2-3 years","3-4 years")</f>
        <v>2-3 years</v>
      </c>
      <c r="L49" s="204" t="s">
        <v>16</v>
      </c>
      <c r="M49" s="204" t="s">
        <v>16</v>
      </c>
      <c r="N49" s="204">
        <v>14</v>
      </c>
      <c r="O49" s="204">
        <v>56</v>
      </c>
      <c r="P49" s="204" t="s">
        <v>16</v>
      </c>
      <c r="Q49" s="204" t="s">
        <v>16</v>
      </c>
      <c r="R49" s="204" t="s">
        <v>16</v>
      </c>
      <c r="S49" s="204" t="s">
        <v>16</v>
      </c>
      <c r="T49" s="204" t="s">
        <v>16</v>
      </c>
      <c r="U49" s="204" t="s">
        <v>16</v>
      </c>
      <c r="V49" s="204"/>
      <c r="W49" s="22"/>
      <c r="X49" s="204" t="s">
        <v>15</v>
      </c>
      <c r="Y49" s="204"/>
      <c r="Z49" s="204"/>
      <c r="AA49" s="204"/>
      <c r="AB49" s="202" t="str">
        <f t="shared" si="1"/>
        <v/>
      </c>
    </row>
    <row r="50" spans="1:28" s="213" customFormat="1" ht="14.5">
      <c r="A50" s="206">
        <v>43120</v>
      </c>
      <c r="B50" s="204" t="s">
        <v>1284</v>
      </c>
      <c r="C50" s="204" t="s">
        <v>1370</v>
      </c>
      <c r="D50" s="206" t="s">
        <v>1371</v>
      </c>
      <c r="E50" s="204"/>
      <c r="F50" s="204">
        <v>2</v>
      </c>
      <c r="G50" s="204">
        <v>2</v>
      </c>
      <c r="H50" s="204" t="s">
        <v>16</v>
      </c>
      <c r="I50" s="204" t="s">
        <v>327</v>
      </c>
      <c r="J50" s="205">
        <v>42086</v>
      </c>
      <c r="K50" s="13" t="str">
        <f>IF(DATEDIF($J50,'Inst summary and ER calculation'!$U$6,"y")=2,"2-3 years","3-4 years")</f>
        <v>2-3 years</v>
      </c>
      <c r="L50" s="204" t="s">
        <v>16</v>
      </c>
      <c r="M50" s="204" t="s">
        <v>16</v>
      </c>
      <c r="N50" s="204">
        <v>19</v>
      </c>
      <c r="O50" s="204">
        <v>78</v>
      </c>
      <c r="P50" s="204" t="s">
        <v>16</v>
      </c>
      <c r="Q50" s="204" t="s">
        <v>16</v>
      </c>
      <c r="R50" s="204" t="s">
        <v>16</v>
      </c>
      <c r="S50" s="204" t="s">
        <v>16</v>
      </c>
      <c r="T50" s="204" t="s">
        <v>16</v>
      </c>
      <c r="U50" s="204" t="s">
        <v>16</v>
      </c>
      <c r="V50" s="204"/>
      <c r="W50" s="22"/>
      <c r="X50" s="204" t="s">
        <v>15</v>
      </c>
      <c r="Y50" s="204"/>
      <c r="Z50" s="204"/>
      <c r="AA50" s="204"/>
      <c r="AB50" s="202" t="str">
        <f t="shared" si="1"/>
        <v/>
      </c>
    </row>
    <row r="51" spans="1:28" s="213" customFormat="1" ht="14.5">
      <c r="A51" s="206">
        <v>43116</v>
      </c>
      <c r="B51" s="204" t="s">
        <v>1315</v>
      </c>
      <c r="C51" s="204" t="s">
        <v>1415</v>
      </c>
      <c r="D51" s="206" t="s">
        <v>1416</v>
      </c>
      <c r="E51" s="204"/>
      <c r="F51" s="204">
        <v>4</v>
      </c>
      <c r="G51" s="204">
        <v>3</v>
      </c>
      <c r="H51" s="204" t="s">
        <v>16</v>
      </c>
      <c r="I51" s="204" t="s">
        <v>465</v>
      </c>
      <c r="J51" s="205">
        <v>42164</v>
      </c>
      <c r="K51" s="13" t="str">
        <f>IF(DATEDIF($J51,'Inst summary and ER calculation'!$U$6,"y")=2,"2-3 years","3-4 years")</f>
        <v>2-3 years</v>
      </c>
      <c r="L51" s="204" t="s">
        <v>16</v>
      </c>
      <c r="M51" s="204" t="s">
        <v>16</v>
      </c>
      <c r="N51" s="204">
        <v>14</v>
      </c>
      <c r="O51" s="204">
        <v>60</v>
      </c>
      <c r="P51" s="204" t="s">
        <v>16</v>
      </c>
      <c r="Q51" s="204" t="s">
        <v>16</v>
      </c>
      <c r="R51" s="204" t="s">
        <v>16</v>
      </c>
      <c r="S51" s="204" t="s">
        <v>16</v>
      </c>
      <c r="T51" s="204" t="s">
        <v>16</v>
      </c>
      <c r="U51" s="204" t="s">
        <v>16</v>
      </c>
      <c r="V51" s="204"/>
      <c r="W51" s="22"/>
      <c r="X51" s="204" t="s">
        <v>15</v>
      </c>
      <c r="Y51" s="204"/>
      <c r="Z51" s="204"/>
      <c r="AA51" s="204"/>
      <c r="AB51" s="202" t="str">
        <f t="shared" si="1"/>
        <v/>
      </c>
    </row>
    <row r="52" spans="1:28" s="213" customFormat="1" ht="14.5">
      <c r="A52" s="206">
        <v>43114</v>
      </c>
      <c r="B52" s="204" t="s">
        <v>117</v>
      </c>
      <c r="C52" s="204" t="s">
        <v>52</v>
      </c>
      <c r="D52" s="206" t="s">
        <v>1401</v>
      </c>
      <c r="E52" s="204"/>
      <c r="F52" s="204">
        <v>2</v>
      </c>
      <c r="G52" s="204">
        <v>1</v>
      </c>
      <c r="H52" s="204" t="s">
        <v>16</v>
      </c>
      <c r="I52" s="204" t="s">
        <v>429</v>
      </c>
      <c r="J52" s="205">
        <v>42139</v>
      </c>
      <c r="K52" s="13" t="str">
        <f>IF(DATEDIF($J52,'Inst summary and ER calculation'!$U$6,"y")=2,"2-3 years","3-4 years")</f>
        <v>2-3 years</v>
      </c>
      <c r="L52" s="204" t="s">
        <v>16</v>
      </c>
      <c r="M52" s="204" t="s">
        <v>16</v>
      </c>
      <c r="N52" s="204">
        <v>14</v>
      </c>
      <c r="O52" s="204">
        <v>60</v>
      </c>
      <c r="P52" s="204" t="s">
        <v>16</v>
      </c>
      <c r="Q52" s="204" t="s">
        <v>16</v>
      </c>
      <c r="R52" s="204" t="s">
        <v>16</v>
      </c>
      <c r="S52" s="204" t="s">
        <v>16</v>
      </c>
      <c r="T52" s="204" t="s">
        <v>16</v>
      </c>
      <c r="U52" s="204" t="s">
        <v>16</v>
      </c>
      <c r="V52" s="204"/>
      <c r="W52" s="22"/>
      <c r="X52" s="204" t="s">
        <v>15</v>
      </c>
      <c r="Y52" s="204"/>
      <c r="Z52" s="204"/>
      <c r="AA52" s="204"/>
      <c r="AB52" s="202" t="str">
        <f t="shared" si="1"/>
        <v/>
      </c>
    </row>
    <row r="53" spans="1:28" s="213" customFormat="1" ht="14.5">
      <c r="A53" s="206">
        <v>43117</v>
      </c>
      <c r="B53" s="204" t="s">
        <v>1194</v>
      </c>
      <c r="C53" s="204" t="s">
        <v>404</v>
      </c>
      <c r="D53" s="206" t="s">
        <v>1233</v>
      </c>
      <c r="E53" s="204"/>
      <c r="F53" s="204">
        <v>2</v>
      </c>
      <c r="G53" s="204">
        <v>1</v>
      </c>
      <c r="H53" s="204" t="s">
        <v>16</v>
      </c>
      <c r="I53" s="204" t="s">
        <v>403</v>
      </c>
      <c r="J53" s="205">
        <v>42124</v>
      </c>
      <c r="K53" s="13" t="str">
        <f>IF(DATEDIF($J53,'Inst summary and ER calculation'!$U$6,"y")=2,"2-3 years","3-4 years")</f>
        <v>2-3 years</v>
      </c>
      <c r="L53" s="204" t="s">
        <v>16</v>
      </c>
      <c r="M53" s="204" t="s">
        <v>16</v>
      </c>
      <c r="N53" s="204">
        <v>20</v>
      </c>
      <c r="O53" s="204">
        <v>85</v>
      </c>
      <c r="P53" s="204" t="s">
        <v>16</v>
      </c>
      <c r="Q53" s="204" t="s">
        <v>16</v>
      </c>
      <c r="R53" s="204" t="s">
        <v>16</v>
      </c>
      <c r="S53" s="204" t="s">
        <v>16</v>
      </c>
      <c r="T53" s="204" t="s">
        <v>16</v>
      </c>
      <c r="U53" s="204" t="s">
        <v>16</v>
      </c>
      <c r="V53" s="204"/>
      <c r="W53" s="22"/>
      <c r="X53" s="204" t="s">
        <v>15</v>
      </c>
      <c r="Y53" s="204"/>
      <c r="Z53" s="204"/>
      <c r="AA53" s="204"/>
      <c r="AB53" s="202" t="str">
        <f t="shared" si="1"/>
        <v/>
      </c>
    </row>
    <row r="54" spans="1:28" s="213" customFormat="1" ht="14.5">
      <c r="A54" s="206">
        <v>43107</v>
      </c>
      <c r="B54" s="204" t="s">
        <v>920</v>
      </c>
      <c r="C54" s="204" t="s">
        <v>91</v>
      </c>
      <c r="D54" s="206" t="s">
        <v>1414</v>
      </c>
      <c r="E54" s="204"/>
      <c r="F54" s="204">
        <v>7</v>
      </c>
      <c r="G54" s="204">
        <v>2</v>
      </c>
      <c r="H54" s="204" t="s">
        <v>16</v>
      </c>
      <c r="I54" s="204" t="s">
        <v>460</v>
      </c>
      <c r="J54" s="205">
        <v>42159</v>
      </c>
      <c r="K54" s="13" t="str">
        <f>IF(DATEDIF($J54,'Inst summary and ER calculation'!$U$6,"y")=2,"2-3 years","3-4 years")</f>
        <v>2-3 years</v>
      </c>
      <c r="L54" s="204" t="s">
        <v>16</v>
      </c>
      <c r="M54" s="204" t="s">
        <v>16</v>
      </c>
      <c r="N54" s="204">
        <v>21</v>
      </c>
      <c r="O54" s="204">
        <v>86</v>
      </c>
      <c r="P54" s="204" t="s">
        <v>16</v>
      </c>
      <c r="Q54" s="204" t="s">
        <v>16</v>
      </c>
      <c r="R54" s="204" t="s">
        <v>16</v>
      </c>
      <c r="S54" s="204" t="s">
        <v>16</v>
      </c>
      <c r="T54" s="204" t="s">
        <v>16</v>
      </c>
      <c r="U54" s="204" t="s">
        <v>16</v>
      </c>
      <c r="V54" s="204"/>
      <c r="W54" s="22"/>
      <c r="X54" s="204" t="s">
        <v>15</v>
      </c>
      <c r="Y54" s="204"/>
      <c r="Z54" s="204"/>
      <c r="AA54" s="204"/>
      <c r="AB54" s="202" t="str">
        <f t="shared" si="1"/>
        <v/>
      </c>
    </row>
    <row r="55" spans="1:28" s="213" customFormat="1" ht="14.5">
      <c r="A55" s="206">
        <v>43120</v>
      </c>
      <c r="B55" s="204" t="s">
        <v>39</v>
      </c>
      <c r="C55" s="204" t="s">
        <v>498</v>
      </c>
      <c r="D55" s="206" t="s">
        <v>1250</v>
      </c>
      <c r="E55" s="204"/>
      <c r="F55" s="204">
        <v>2</v>
      </c>
      <c r="G55" s="204">
        <v>2</v>
      </c>
      <c r="H55" s="204" t="s">
        <v>16</v>
      </c>
      <c r="I55" s="204" t="s">
        <v>499</v>
      </c>
      <c r="J55" s="205">
        <v>42179</v>
      </c>
      <c r="K55" s="13" t="str">
        <f>IF(DATEDIF($J55,'Inst summary and ER calculation'!$U$6,"y")=2,"2-3 years","3-4 years")</f>
        <v>2-3 years</v>
      </c>
      <c r="L55" s="204" t="s">
        <v>16</v>
      </c>
      <c r="M55" s="204" t="s">
        <v>16</v>
      </c>
      <c r="N55" s="204">
        <v>14</v>
      </c>
      <c r="O55" s="204">
        <v>60</v>
      </c>
      <c r="P55" s="204" t="s">
        <v>16</v>
      </c>
      <c r="Q55" s="204" t="s">
        <v>16</v>
      </c>
      <c r="R55" s="204" t="s">
        <v>16</v>
      </c>
      <c r="S55" s="204" t="s">
        <v>16</v>
      </c>
      <c r="T55" s="204" t="s">
        <v>16</v>
      </c>
      <c r="U55" s="204" t="s">
        <v>16</v>
      </c>
      <c r="V55" s="204"/>
      <c r="W55" s="22"/>
      <c r="X55" s="204" t="s">
        <v>15</v>
      </c>
      <c r="Y55" s="204"/>
      <c r="Z55" s="204"/>
      <c r="AA55" s="204"/>
      <c r="AB55" s="202" t="str">
        <f t="shared" si="1"/>
        <v/>
      </c>
    </row>
    <row r="56" spans="1:28" s="213" customFormat="1" ht="14.5">
      <c r="A56" s="206">
        <v>43118</v>
      </c>
      <c r="B56" s="208" t="s">
        <v>863</v>
      </c>
      <c r="C56" s="4" t="s">
        <v>1589</v>
      </c>
      <c r="D56" s="4" t="s">
        <v>864</v>
      </c>
      <c r="E56" s="208"/>
      <c r="F56" s="208">
        <v>5</v>
      </c>
      <c r="G56" s="209">
        <v>2</v>
      </c>
      <c r="H56" s="4" t="s">
        <v>780</v>
      </c>
      <c r="I56" s="4" t="s">
        <v>512</v>
      </c>
      <c r="J56" s="205">
        <v>42184</v>
      </c>
      <c r="K56" s="13" t="str">
        <f>IF(DATEDIF($J56,'Inst summary and ER calculation'!$U$6,"y")=2,"2-3 years","3-4 years")</f>
        <v>2-3 years</v>
      </c>
      <c r="L56" s="6" t="s">
        <v>780</v>
      </c>
      <c r="M56" s="4" t="s">
        <v>780</v>
      </c>
      <c r="N56" s="4">
        <v>18</v>
      </c>
      <c r="O56" s="209">
        <v>62</v>
      </c>
      <c r="P56" s="4" t="s">
        <v>780</v>
      </c>
      <c r="Q56" s="4" t="s">
        <v>780</v>
      </c>
      <c r="R56" s="4" t="s">
        <v>780</v>
      </c>
      <c r="S56" s="4" t="s">
        <v>780</v>
      </c>
      <c r="T56" s="4" t="s">
        <v>780</v>
      </c>
      <c r="U56" s="4" t="s">
        <v>780</v>
      </c>
      <c r="V56" s="4" t="s">
        <v>15</v>
      </c>
      <c r="W56" s="4"/>
      <c r="X56" s="4" t="s">
        <v>15</v>
      </c>
      <c r="Y56" s="4"/>
      <c r="Z56" s="4"/>
      <c r="AA56" s="209"/>
      <c r="AB56" s="202" t="str">
        <f t="shared" si="1"/>
        <v/>
      </c>
    </row>
    <row r="57" spans="1:28" s="213" customFormat="1" ht="14.5">
      <c r="A57" s="206">
        <v>43109</v>
      </c>
      <c r="B57" s="204" t="s">
        <v>1224</v>
      </c>
      <c r="C57" s="204" t="s">
        <v>187</v>
      </c>
      <c r="D57" s="206" t="s">
        <v>1225</v>
      </c>
      <c r="E57" s="204"/>
      <c r="F57" s="204">
        <v>4</v>
      </c>
      <c r="G57" s="204">
        <v>1</v>
      </c>
      <c r="H57" s="204" t="s">
        <v>16</v>
      </c>
      <c r="I57" s="204" t="s">
        <v>349</v>
      </c>
      <c r="J57" s="205">
        <v>42105</v>
      </c>
      <c r="K57" s="13" t="str">
        <f>IF(DATEDIF($J57,'Inst summary and ER calculation'!$U$6,"y")=2,"2-3 years","3-4 years")</f>
        <v>2-3 years</v>
      </c>
      <c r="L57" s="204" t="s">
        <v>16</v>
      </c>
      <c r="M57" s="204" t="s">
        <v>16</v>
      </c>
      <c r="N57" s="204">
        <v>18</v>
      </c>
      <c r="O57" s="204">
        <v>72</v>
      </c>
      <c r="P57" s="204" t="s">
        <v>16</v>
      </c>
      <c r="Q57" s="204" t="s">
        <v>16</v>
      </c>
      <c r="R57" s="204" t="s">
        <v>16</v>
      </c>
      <c r="S57" s="204" t="s">
        <v>16</v>
      </c>
      <c r="T57" s="204" t="s">
        <v>16</v>
      </c>
      <c r="U57" s="204" t="s">
        <v>16</v>
      </c>
      <c r="V57" s="204"/>
      <c r="W57" s="22"/>
      <c r="X57" s="204" t="s">
        <v>15</v>
      </c>
      <c r="Y57" s="204"/>
      <c r="Z57" s="204"/>
      <c r="AA57" s="204"/>
      <c r="AB57" s="202" t="str">
        <f t="shared" si="1"/>
        <v/>
      </c>
    </row>
    <row r="58" spans="1:28" s="213" customFormat="1" ht="14.5">
      <c r="A58" s="206">
        <v>43113</v>
      </c>
      <c r="B58" s="204" t="s">
        <v>906</v>
      </c>
      <c r="C58" s="204" t="s">
        <v>1136</v>
      </c>
      <c r="D58" s="12" t="s">
        <v>1137</v>
      </c>
      <c r="E58" s="12"/>
      <c r="F58" s="204">
        <v>5</v>
      </c>
      <c r="G58" s="204">
        <v>3</v>
      </c>
      <c r="H58" s="204" t="s">
        <v>16</v>
      </c>
      <c r="I58" s="204" t="s">
        <v>443</v>
      </c>
      <c r="J58" s="205">
        <v>42148</v>
      </c>
      <c r="K58" s="13" t="str">
        <f>IF(DATEDIF($J58,'Inst summary and ER calculation'!$U$6,"y")=2,"2-3 years","3-4 years")</f>
        <v>2-3 years</v>
      </c>
      <c r="L58" s="204" t="s">
        <v>16</v>
      </c>
      <c r="M58" s="204" t="s">
        <v>16</v>
      </c>
      <c r="N58" s="204">
        <v>18</v>
      </c>
      <c r="O58" s="204">
        <v>72</v>
      </c>
      <c r="P58" s="204" t="s">
        <v>16</v>
      </c>
      <c r="Q58" s="204" t="s">
        <v>16</v>
      </c>
      <c r="R58" s="204" t="s">
        <v>16</v>
      </c>
      <c r="S58" s="204" t="s">
        <v>16</v>
      </c>
      <c r="T58" s="204" t="s">
        <v>16</v>
      </c>
      <c r="U58" s="204" t="s">
        <v>16</v>
      </c>
      <c r="V58" s="204"/>
      <c r="W58" s="22"/>
      <c r="X58" s="204" t="s">
        <v>15</v>
      </c>
      <c r="Y58" s="204"/>
      <c r="Z58" s="204"/>
      <c r="AA58" s="204"/>
      <c r="AB58" s="202" t="str">
        <f t="shared" si="1"/>
        <v/>
      </c>
    </row>
    <row r="59" spans="1:28" s="213" customFormat="1" ht="14.5">
      <c r="A59" s="206">
        <v>43112</v>
      </c>
      <c r="B59" s="204" t="s">
        <v>1164</v>
      </c>
      <c r="C59" s="204" t="s">
        <v>1207</v>
      </c>
      <c r="D59" s="206" t="s">
        <v>1208</v>
      </c>
      <c r="E59" s="204"/>
      <c r="F59" s="204">
        <v>3</v>
      </c>
      <c r="G59" s="204">
        <v>2</v>
      </c>
      <c r="H59" s="204" t="s">
        <v>16</v>
      </c>
      <c r="I59" s="204" t="s">
        <v>300</v>
      </c>
      <c r="J59" s="205">
        <v>42071</v>
      </c>
      <c r="K59" s="13" t="str">
        <f>IF(DATEDIF($J59,'Inst summary and ER calculation'!$U$6,"y")=2,"2-3 years","3-4 years")</f>
        <v>2-3 years</v>
      </c>
      <c r="L59" s="204" t="s">
        <v>16</v>
      </c>
      <c r="M59" s="204" t="s">
        <v>16</v>
      </c>
      <c r="N59" s="204">
        <v>9</v>
      </c>
      <c r="O59" s="204">
        <v>36</v>
      </c>
      <c r="P59" s="204" t="s">
        <v>16</v>
      </c>
      <c r="Q59" s="204" t="s">
        <v>16</v>
      </c>
      <c r="R59" s="204" t="s">
        <v>16</v>
      </c>
      <c r="S59" s="204" t="s">
        <v>16</v>
      </c>
      <c r="T59" s="204" t="s">
        <v>16</v>
      </c>
      <c r="U59" s="204" t="s">
        <v>16</v>
      </c>
      <c r="V59" s="204"/>
      <c r="W59" s="22"/>
      <c r="X59" s="4" t="s">
        <v>16</v>
      </c>
      <c r="Y59" s="4" t="s">
        <v>16</v>
      </c>
      <c r="Z59" s="204">
        <v>10</v>
      </c>
      <c r="AA59" s="204">
        <v>40</v>
      </c>
      <c r="AB59" s="202">
        <f t="shared" si="1"/>
        <v>0.52631578947368418</v>
      </c>
    </row>
    <row r="60" spans="1:28" s="213" customFormat="1" ht="14.5">
      <c r="A60" s="206">
        <v>43104</v>
      </c>
      <c r="B60" s="204" t="s">
        <v>1050</v>
      </c>
      <c r="C60" s="12" t="s">
        <v>562</v>
      </c>
      <c r="D60" s="12" t="s">
        <v>1121</v>
      </c>
      <c r="E60" s="12"/>
      <c r="F60" s="204">
        <v>4</v>
      </c>
      <c r="G60" s="204">
        <v>1</v>
      </c>
      <c r="H60" s="204" t="s">
        <v>16</v>
      </c>
      <c r="I60" s="204" t="s">
        <v>392</v>
      </c>
      <c r="J60" s="205">
        <v>42123</v>
      </c>
      <c r="K60" s="13" t="str">
        <f>IF(DATEDIF($J60,'Inst summary and ER calculation'!$U$6,"y")=2,"2-3 years","3-4 years")</f>
        <v>2-3 years</v>
      </c>
      <c r="L60" s="204" t="s">
        <v>16</v>
      </c>
      <c r="M60" s="204" t="s">
        <v>16</v>
      </c>
      <c r="N60" s="204">
        <v>18</v>
      </c>
      <c r="O60" s="204">
        <v>72</v>
      </c>
      <c r="P60" s="204" t="s">
        <v>16</v>
      </c>
      <c r="Q60" s="204" t="s">
        <v>16</v>
      </c>
      <c r="R60" s="204" t="s">
        <v>16</v>
      </c>
      <c r="S60" s="204" t="s">
        <v>16</v>
      </c>
      <c r="T60" s="204" t="s">
        <v>16</v>
      </c>
      <c r="U60" s="204" t="s">
        <v>16</v>
      </c>
      <c r="V60" s="204"/>
      <c r="W60" s="22"/>
      <c r="X60" s="204" t="s">
        <v>15</v>
      </c>
      <c r="Y60" s="204"/>
      <c r="Z60" s="204"/>
      <c r="AA60" s="204"/>
      <c r="AB60" s="202" t="str">
        <f t="shared" si="1"/>
        <v/>
      </c>
    </row>
    <row r="61" spans="1:28" s="213" customFormat="1" ht="14.5">
      <c r="A61" s="206">
        <v>43116</v>
      </c>
      <c r="B61" s="204" t="s">
        <v>1050</v>
      </c>
      <c r="C61" s="204" t="s">
        <v>71</v>
      </c>
      <c r="D61" s="12" t="s">
        <v>1135</v>
      </c>
      <c r="E61" s="12"/>
      <c r="F61" s="204">
        <v>4</v>
      </c>
      <c r="G61" s="204">
        <v>1</v>
      </c>
      <c r="H61" s="204" t="s">
        <v>16</v>
      </c>
      <c r="I61" s="204" t="s">
        <v>435</v>
      </c>
      <c r="J61" s="205">
        <v>42142</v>
      </c>
      <c r="K61" s="13" t="str">
        <f>IF(DATEDIF($J61,'Inst summary and ER calculation'!$U$6,"y")=2,"2-3 years","3-4 years")</f>
        <v>2-3 years</v>
      </c>
      <c r="L61" s="204" t="s">
        <v>16</v>
      </c>
      <c r="M61" s="204" t="s">
        <v>16</v>
      </c>
      <c r="N61" s="204">
        <v>19</v>
      </c>
      <c r="O61" s="204">
        <v>76</v>
      </c>
      <c r="P61" s="204" t="s">
        <v>16</v>
      </c>
      <c r="Q61" s="204" t="s">
        <v>16</v>
      </c>
      <c r="R61" s="204" t="s">
        <v>16</v>
      </c>
      <c r="S61" s="204" t="s">
        <v>16</v>
      </c>
      <c r="T61" s="204" t="s">
        <v>16</v>
      </c>
      <c r="U61" s="204" t="s">
        <v>16</v>
      </c>
      <c r="V61" s="204"/>
      <c r="W61" s="22"/>
      <c r="X61" s="204" t="s">
        <v>15</v>
      </c>
      <c r="Y61" s="204"/>
      <c r="Z61" s="204"/>
      <c r="AA61" s="204"/>
      <c r="AB61" s="202" t="str">
        <f t="shared" si="1"/>
        <v/>
      </c>
    </row>
    <row r="62" spans="1:28" s="213" customFormat="1" ht="14.5">
      <c r="A62" s="206">
        <v>43122</v>
      </c>
      <c r="B62" s="208" t="s">
        <v>164</v>
      </c>
      <c r="C62" s="4" t="s">
        <v>1597</v>
      </c>
      <c r="D62" s="208" t="s">
        <v>782</v>
      </c>
      <c r="E62" s="208"/>
      <c r="F62" s="4">
        <v>2</v>
      </c>
      <c r="G62" s="209">
        <v>2</v>
      </c>
      <c r="H62" s="4" t="s">
        <v>780</v>
      </c>
      <c r="I62" s="4" t="s">
        <v>352</v>
      </c>
      <c r="J62" s="205">
        <v>42109</v>
      </c>
      <c r="K62" s="13" t="str">
        <f>IF(DATEDIF($J62,'Inst summary and ER calculation'!$U$6,"y")=2,"2-3 years","3-4 years")</f>
        <v>2-3 years</v>
      </c>
      <c r="L62" s="6" t="s">
        <v>780</v>
      </c>
      <c r="M62" s="4" t="s">
        <v>15</v>
      </c>
      <c r="N62" s="4"/>
      <c r="O62" s="209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209"/>
      <c r="AB62" s="202" t="str">
        <f t="shared" si="1"/>
        <v/>
      </c>
    </row>
    <row r="63" spans="1:28" s="213" customFormat="1" ht="14.5">
      <c r="A63" s="206">
        <v>43117</v>
      </c>
      <c r="B63" s="4" t="s">
        <v>855</v>
      </c>
      <c r="C63" s="4" t="s">
        <v>1588</v>
      </c>
      <c r="D63" s="208" t="s">
        <v>856</v>
      </c>
      <c r="E63" s="4"/>
      <c r="F63" s="4">
        <v>3</v>
      </c>
      <c r="G63" s="209">
        <v>2</v>
      </c>
      <c r="H63" s="4" t="s">
        <v>780</v>
      </c>
      <c r="I63" s="4" t="s">
        <v>500</v>
      </c>
      <c r="J63" s="205">
        <v>42183</v>
      </c>
      <c r="K63" s="13" t="str">
        <f>IF(DATEDIF($J63,'Inst summary and ER calculation'!$U$6,"y")=2,"2-3 years","3-4 years")</f>
        <v>2-3 years</v>
      </c>
      <c r="L63" s="6" t="s">
        <v>780</v>
      </c>
      <c r="M63" s="4" t="s">
        <v>780</v>
      </c>
      <c r="N63" s="4">
        <v>21</v>
      </c>
      <c r="O63" s="209">
        <v>90</v>
      </c>
      <c r="P63" s="4" t="s">
        <v>780</v>
      </c>
      <c r="Q63" s="4" t="s">
        <v>780</v>
      </c>
      <c r="R63" s="4" t="s">
        <v>780</v>
      </c>
      <c r="S63" s="4" t="s">
        <v>780</v>
      </c>
      <c r="T63" s="4" t="s">
        <v>780</v>
      </c>
      <c r="U63" s="4" t="s">
        <v>780</v>
      </c>
      <c r="V63" s="4" t="s">
        <v>15</v>
      </c>
      <c r="W63" s="4"/>
      <c r="X63" s="4" t="s">
        <v>15</v>
      </c>
      <c r="Y63" s="4"/>
      <c r="Z63" s="4"/>
      <c r="AA63" s="209"/>
      <c r="AB63" s="202" t="str">
        <f t="shared" si="1"/>
        <v/>
      </c>
    </row>
    <row r="64" spans="1:28" s="213" customFormat="1" ht="14.5">
      <c r="A64" s="206">
        <v>43106</v>
      </c>
      <c r="B64" s="4" t="s">
        <v>785</v>
      </c>
      <c r="C64" s="4" t="s">
        <v>1570</v>
      </c>
      <c r="D64" s="4" t="s">
        <v>847</v>
      </c>
      <c r="E64" s="4"/>
      <c r="F64" s="4">
        <v>2</v>
      </c>
      <c r="G64" s="209">
        <v>4</v>
      </c>
      <c r="H64" s="4" t="s">
        <v>780</v>
      </c>
      <c r="I64" s="4" t="s">
        <v>489</v>
      </c>
      <c r="J64" s="205">
        <v>42175</v>
      </c>
      <c r="K64" s="13" t="str">
        <f>IF(DATEDIF($J64,'Inst summary and ER calculation'!$U$6,"y")=2,"2-3 years","3-4 years")</f>
        <v>2-3 years</v>
      </c>
      <c r="L64" s="6" t="s">
        <v>780</v>
      </c>
      <c r="M64" s="4" t="s">
        <v>780</v>
      </c>
      <c r="N64" s="4">
        <v>14</v>
      </c>
      <c r="O64" s="209">
        <v>65</v>
      </c>
      <c r="P64" s="4" t="s">
        <v>780</v>
      </c>
      <c r="Q64" s="4" t="s">
        <v>780</v>
      </c>
      <c r="R64" s="4" t="s">
        <v>780</v>
      </c>
      <c r="S64" s="4" t="s">
        <v>780</v>
      </c>
      <c r="T64" s="4" t="s">
        <v>780</v>
      </c>
      <c r="U64" s="4" t="s">
        <v>780</v>
      </c>
      <c r="V64" s="4" t="s">
        <v>15</v>
      </c>
      <c r="W64" s="4"/>
      <c r="X64" s="4" t="s">
        <v>15</v>
      </c>
      <c r="Y64" s="4"/>
      <c r="Z64" s="4"/>
      <c r="AA64" s="209"/>
      <c r="AB64" s="202" t="str">
        <f t="shared" si="1"/>
        <v/>
      </c>
    </row>
    <row r="65" spans="1:28" s="213" customFormat="1" ht="14.5">
      <c r="A65" s="206">
        <v>43122</v>
      </c>
      <c r="B65" s="4" t="s">
        <v>866</v>
      </c>
      <c r="C65" s="4" t="s">
        <v>1598</v>
      </c>
      <c r="D65" s="4" t="s">
        <v>867</v>
      </c>
      <c r="E65" s="4"/>
      <c r="F65" s="4">
        <v>3</v>
      </c>
      <c r="G65" s="209">
        <v>2</v>
      </c>
      <c r="H65" s="4" t="s">
        <v>780</v>
      </c>
      <c r="I65" s="4" t="s">
        <v>378</v>
      </c>
      <c r="J65" s="205">
        <v>42118</v>
      </c>
      <c r="K65" s="13" t="str">
        <f>IF(DATEDIF($J65,'Inst summary and ER calculation'!$U$6,"y")=2,"2-3 years","3-4 years")</f>
        <v>2-3 years</v>
      </c>
      <c r="L65" s="6" t="s">
        <v>780</v>
      </c>
      <c r="M65" s="4" t="s">
        <v>780</v>
      </c>
      <c r="N65" s="4">
        <v>15</v>
      </c>
      <c r="O65" s="209">
        <v>62</v>
      </c>
      <c r="P65" s="4" t="s">
        <v>780</v>
      </c>
      <c r="Q65" s="4" t="s">
        <v>780</v>
      </c>
      <c r="R65" s="4" t="s">
        <v>780</v>
      </c>
      <c r="S65" s="4" t="s">
        <v>780</v>
      </c>
      <c r="T65" s="4" t="s">
        <v>780</v>
      </c>
      <c r="U65" s="4" t="s">
        <v>780</v>
      </c>
      <c r="V65" s="4" t="s">
        <v>15</v>
      </c>
      <c r="W65" s="4"/>
      <c r="X65" s="4" t="s">
        <v>15</v>
      </c>
      <c r="Y65" s="4"/>
      <c r="Z65" s="4"/>
      <c r="AA65" s="209"/>
      <c r="AB65" s="202" t="str">
        <f t="shared" si="1"/>
        <v/>
      </c>
    </row>
    <row r="66" spans="1:28" s="213" customFormat="1" ht="14.5">
      <c r="A66" s="206">
        <v>43109</v>
      </c>
      <c r="B66" s="4" t="s">
        <v>156</v>
      </c>
      <c r="C66" s="4" t="s">
        <v>1571</v>
      </c>
      <c r="D66" s="4" t="s">
        <v>784</v>
      </c>
      <c r="E66" s="4"/>
      <c r="F66" s="4">
        <v>3</v>
      </c>
      <c r="G66" s="209">
        <v>1</v>
      </c>
      <c r="H66" s="4" t="s">
        <v>780</v>
      </c>
      <c r="I66" s="4" t="s">
        <v>402</v>
      </c>
      <c r="J66" s="205">
        <v>42124</v>
      </c>
      <c r="K66" s="13" t="str">
        <f>IF(DATEDIF($J66,'Inst summary and ER calculation'!$U$6,"y")=2,"2-3 years","3-4 years")</f>
        <v>2-3 years</v>
      </c>
      <c r="L66" s="6" t="s">
        <v>780</v>
      </c>
      <c r="M66" s="4" t="s">
        <v>780</v>
      </c>
      <c r="N66" s="4">
        <v>22</v>
      </c>
      <c r="O66" s="209">
        <v>90</v>
      </c>
      <c r="P66" s="4" t="s">
        <v>780</v>
      </c>
      <c r="Q66" s="4" t="s">
        <v>780</v>
      </c>
      <c r="R66" s="4" t="s">
        <v>780</v>
      </c>
      <c r="S66" s="4" t="s">
        <v>780</v>
      </c>
      <c r="T66" s="4" t="s">
        <v>780</v>
      </c>
      <c r="U66" s="4" t="s">
        <v>780</v>
      </c>
      <c r="V66" s="4" t="s">
        <v>15</v>
      </c>
      <c r="W66" s="4"/>
      <c r="X66" s="4" t="s">
        <v>15</v>
      </c>
      <c r="Y66" s="4"/>
      <c r="Z66" s="4"/>
      <c r="AA66" s="209"/>
      <c r="AB66" s="202" t="str">
        <f t="shared" si="1"/>
        <v/>
      </c>
    </row>
    <row r="67" spans="1:28" s="213" customFormat="1" ht="14.5">
      <c r="A67" s="206">
        <v>43125</v>
      </c>
      <c r="B67" s="208" t="s">
        <v>207</v>
      </c>
      <c r="C67" s="4" t="s">
        <v>1605</v>
      </c>
      <c r="D67" s="208" t="s">
        <v>812</v>
      </c>
      <c r="E67" s="208"/>
      <c r="F67" s="4">
        <v>5</v>
      </c>
      <c r="G67" s="209">
        <v>1</v>
      </c>
      <c r="H67" s="4" t="s">
        <v>780</v>
      </c>
      <c r="I67" s="4" t="s">
        <v>416</v>
      </c>
      <c r="J67" s="205">
        <v>42137</v>
      </c>
      <c r="K67" s="13" t="str">
        <f>IF(DATEDIF($J67,'Inst summary and ER calculation'!$U$6,"y")=2,"2-3 years","3-4 years")</f>
        <v>2-3 years</v>
      </c>
      <c r="L67" s="6" t="s">
        <v>780</v>
      </c>
      <c r="M67" s="4" t="s">
        <v>780</v>
      </c>
      <c r="N67" s="4">
        <v>20</v>
      </c>
      <c r="O67" s="209">
        <v>84</v>
      </c>
      <c r="P67" s="4" t="s">
        <v>780</v>
      </c>
      <c r="Q67" s="4" t="s">
        <v>780</v>
      </c>
      <c r="R67" s="4" t="s">
        <v>780</v>
      </c>
      <c r="S67" s="4" t="s">
        <v>780</v>
      </c>
      <c r="T67" s="4" t="s">
        <v>780</v>
      </c>
      <c r="U67" s="4" t="s">
        <v>780</v>
      </c>
      <c r="V67" s="4" t="s">
        <v>15</v>
      </c>
      <c r="W67" s="4"/>
      <c r="X67" s="4" t="s">
        <v>15</v>
      </c>
      <c r="Y67" s="4"/>
      <c r="Z67" s="4"/>
      <c r="AA67" s="209"/>
      <c r="AB67" s="202" t="str">
        <f t="shared" ref="AB67:AB98" si="2">IF(Y67="yes",MAX(Z67/(Z67+N67),AA67/(AA67+O67)),"")</f>
        <v/>
      </c>
    </row>
    <row r="68" spans="1:28" s="213" customFormat="1" ht="14.5">
      <c r="A68" s="206">
        <v>43113</v>
      </c>
      <c r="B68" s="4" t="s">
        <v>164</v>
      </c>
      <c r="C68" s="4" t="s">
        <v>1581</v>
      </c>
      <c r="D68" s="4" t="s">
        <v>781</v>
      </c>
      <c r="E68" s="4"/>
      <c r="F68" s="4">
        <v>3</v>
      </c>
      <c r="G68" s="209">
        <v>1</v>
      </c>
      <c r="H68" s="4" t="s">
        <v>780</v>
      </c>
      <c r="I68" s="4" t="s">
        <v>362</v>
      </c>
      <c r="J68" s="205">
        <v>42109</v>
      </c>
      <c r="K68" s="13" t="str">
        <f>IF(DATEDIF($J68,'Inst summary and ER calculation'!$U$6,"y")=2,"2-3 years","3-4 years")</f>
        <v>2-3 years</v>
      </c>
      <c r="L68" s="6" t="s">
        <v>780</v>
      </c>
      <c r="M68" s="4" t="s">
        <v>780</v>
      </c>
      <c r="N68" s="4">
        <v>19</v>
      </c>
      <c r="O68" s="209">
        <v>86</v>
      </c>
      <c r="P68" s="4" t="s">
        <v>780</v>
      </c>
      <c r="Q68" s="4" t="s">
        <v>780</v>
      </c>
      <c r="R68" s="4" t="s">
        <v>780</v>
      </c>
      <c r="S68" s="4" t="s">
        <v>780</v>
      </c>
      <c r="T68" s="4" t="s">
        <v>780</v>
      </c>
      <c r="U68" s="4" t="s">
        <v>780</v>
      </c>
      <c r="V68" s="4" t="s">
        <v>15</v>
      </c>
      <c r="W68" s="4"/>
      <c r="X68" s="4" t="s">
        <v>15</v>
      </c>
      <c r="Y68" s="4"/>
      <c r="Z68" s="4"/>
      <c r="AA68" s="209"/>
      <c r="AB68" s="202" t="str">
        <f t="shared" si="2"/>
        <v/>
      </c>
    </row>
    <row r="69" spans="1:28" s="213" customFormat="1" ht="14.5">
      <c r="A69" s="206">
        <v>43113</v>
      </c>
      <c r="B69" s="4" t="s">
        <v>785</v>
      </c>
      <c r="C69" s="4" t="s">
        <v>1580</v>
      </c>
      <c r="D69" s="4" t="s">
        <v>786</v>
      </c>
      <c r="E69" s="4"/>
      <c r="F69" s="4">
        <v>3</v>
      </c>
      <c r="G69" s="209">
        <v>2</v>
      </c>
      <c r="H69" s="4" t="s">
        <v>780</v>
      </c>
      <c r="I69" s="4" t="s">
        <v>332</v>
      </c>
      <c r="J69" s="205">
        <v>42090</v>
      </c>
      <c r="K69" s="13" t="str">
        <f>IF(DATEDIF($J69,'Inst summary and ER calculation'!$U$6,"y")=2,"2-3 years","3-4 years")</f>
        <v>2-3 years</v>
      </c>
      <c r="L69" s="6" t="s">
        <v>780</v>
      </c>
      <c r="M69" s="4" t="s">
        <v>780</v>
      </c>
      <c r="N69" s="4">
        <v>14</v>
      </c>
      <c r="O69" s="209">
        <v>68</v>
      </c>
      <c r="P69" s="4" t="s">
        <v>780</v>
      </c>
      <c r="Q69" s="4" t="s">
        <v>780</v>
      </c>
      <c r="R69" s="4" t="s">
        <v>780</v>
      </c>
      <c r="S69" s="4" t="s">
        <v>780</v>
      </c>
      <c r="T69" s="4" t="s">
        <v>780</v>
      </c>
      <c r="U69" s="4" t="s">
        <v>780</v>
      </c>
      <c r="V69" s="4" t="s">
        <v>15</v>
      </c>
      <c r="W69" s="4"/>
      <c r="X69" s="4" t="s">
        <v>15</v>
      </c>
      <c r="Y69" s="4"/>
      <c r="Z69" s="4"/>
      <c r="AA69" s="209"/>
      <c r="AB69" s="202" t="str">
        <f t="shared" si="2"/>
        <v/>
      </c>
    </row>
    <row r="70" spans="1:28" s="213" customFormat="1" ht="14.5">
      <c r="A70" s="206">
        <v>43112</v>
      </c>
      <c r="B70" s="204" t="s">
        <v>1057</v>
      </c>
      <c r="C70" s="204" t="s">
        <v>105</v>
      </c>
      <c r="D70" s="206" t="s">
        <v>1258</v>
      </c>
      <c r="E70" s="204"/>
      <c r="F70" s="204">
        <v>2</v>
      </c>
      <c r="G70" s="204">
        <v>2</v>
      </c>
      <c r="H70" s="204" t="s">
        <v>16</v>
      </c>
      <c r="I70" s="204" t="s">
        <v>518</v>
      </c>
      <c r="J70" s="205">
        <v>42184</v>
      </c>
      <c r="K70" s="13" t="str">
        <f>IF(DATEDIF($J70,'Inst summary and ER calculation'!$U$6,"y")=2,"2-3 years","3-4 years")</f>
        <v>2-3 years</v>
      </c>
      <c r="L70" s="204" t="s">
        <v>16</v>
      </c>
      <c r="M70" s="204" t="s">
        <v>16</v>
      </c>
      <c r="N70" s="204">
        <v>21</v>
      </c>
      <c r="O70" s="204">
        <v>90</v>
      </c>
      <c r="P70" s="204" t="s">
        <v>16</v>
      </c>
      <c r="Q70" s="204" t="s">
        <v>16</v>
      </c>
      <c r="R70" s="204" t="s">
        <v>16</v>
      </c>
      <c r="S70" s="204" t="s">
        <v>16</v>
      </c>
      <c r="T70" s="204" t="s">
        <v>16</v>
      </c>
      <c r="U70" s="204" t="s">
        <v>16</v>
      </c>
      <c r="V70" s="204"/>
      <c r="W70" s="22"/>
      <c r="X70" s="204" t="s">
        <v>15</v>
      </c>
      <c r="Y70" s="204"/>
      <c r="Z70" s="204"/>
      <c r="AA70" s="204"/>
      <c r="AB70" s="202" t="str">
        <f t="shared" si="2"/>
        <v/>
      </c>
    </row>
    <row r="71" spans="1:28" s="213" customFormat="1" ht="14.5">
      <c r="A71" s="206">
        <v>43105</v>
      </c>
      <c r="B71" s="208" t="s">
        <v>810</v>
      </c>
      <c r="C71" s="208" t="s">
        <v>194</v>
      </c>
      <c r="D71" s="208" t="s">
        <v>811</v>
      </c>
      <c r="E71" s="208"/>
      <c r="F71" s="4">
        <v>4</v>
      </c>
      <c r="G71" s="209">
        <v>2</v>
      </c>
      <c r="H71" s="4" t="s">
        <v>780</v>
      </c>
      <c r="I71" s="4" t="s">
        <v>323</v>
      </c>
      <c r="J71" s="205">
        <v>42082</v>
      </c>
      <c r="K71" s="13" t="str">
        <f>IF(DATEDIF($J71,'Inst summary and ER calculation'!$U$6,"y")=2,"2-3 years","3-4 years")</f>
        <v>2-3 years</v>
      </c>
      <c r="L71" s="6" t="s">
        <v>780</v>
      </c>
      <c r="M71" s="4" t="s">
        <v>780</v>
      </c>
      <c r="N71" s="4">
        <v>21</v>
      </c>
      <c r="O71" s="209">
        <v>90</v>
      </c>
      <c r="P71" s="4" t="s">
        <v>780</v>
      </c>
      <c r="Q71" s="4" t="s">
        <v>780</v>
      </c>
      <c r="R71" s="4" t="s">
        <v>780</v>
      </c>
      <c r="S71" s="4" t="s">
        <v>780</v>
      </c>
      <c r="T71" s="4" t="s">
        <v>780</v>
      </c>
      <c r="U71" s="4" t="s">
        <v>780</v>
      </c>
      <c r="V71" s="4" t="s">
        <v>15</v>
      </c>
      <c r="W71" s="4"/>
      <c r="X71" s="4" t="s">
        <v>15</v>
      </c>
      <c r="Y71" s="4"/>
      <c r="Z71" s="4"/>
      <c r="AA71" s="209"/>
      <c r="AB71" s="202" t="str">
        <f t="shared" si="2"/>
        <v/>
      </c>
    </row>
    <row r="72" spans="1:28" s="213" customFormat="1" ht="14.5">
      <c r="A72" s="206">
        <v>43111</v>
      </c>
      <c r="B72" s="204" t="s">
        <v>1092</v>
      </c>
      <c r="C72" s="11" t="s">
        <v>1093</v>
      </c>
      <c r="D72" s="12" t="s">
        <v>1094</v>
      </c>
      <c r="E72" s="12"/>
      <c r="F72" s="204">
        <v>4</v>
      </c>
      <c r="G72" s="204">
        <v>2</v>
      </c>
      <c r="H72" s="204" t="s">
        <v>16</v>
      </c>
      <c r="I72" s="204" t="s">
        <v>305</v>
      </c>
      <c r="J72" s="205">
        <v>42075</v>
      </c>
      <c r="K72" s="13" t="str">
        <f>IF(DATEDIF($J72,'Inst summary and ER calculation'!$U$6,"y")=2,"2-3 years","3-4 years")</f>
        <v>2-3 years</v>
      </c>
      <c r="L72" s="204" t="s">
        <v>16</v>
      </c>
      <c r="M72" s="204" t="s">
        <v>16</v>
      </c>
      <c r="N72" s="204">
        <v>14</v>
      </c>
      <c r="O72" s="204">
        <v>60</v>
      </c>
      <c r="P72" s="204" t="s">
        <v>16</v>
      </c>
      <c r="Q72" s="204" t="s">
        <v>16</v>
      </c>
      <c r="R72" s="204" t="s">
        <v>16</v>
      </c>
      <c r="S72" s="204" t="s">
        <v>16</v>
      </c>
      <c r="T72" s="204" t="s">
        <v>16</v>
      </c>
      <c r="U72" s="204" t="s">
        <v>16</v>
      </c>
      <c r="V72" s="204"/>
      <c r="W72" s="22"/>
      <c r="X72" s="204" t="s">
        <v>15</v>
      </c>
      <c r="Y72" s="204"/>
      <c r="Z72" s="204"/>
      <c r="AA72" s="204"/>
      <c r="AB72" s="202" t="str">
        <f t="shared" si="2"/>
        <v/>
      </c>
    </row>
    <row r="73" spans="1:28" s="213" customFormat="1" ht="14.5">
      <c r="A73" s="206">
        <v>43104</v>
      </c>
      <c r="B73" s="204" t="s">
        <v>1044</v>
      </c>
      <c r="C73" s="204" t="s">
        <v>1142</v>
      </c>
      <c r="D73" s="12" t="s">
        <v>1143</v>
      </c>
      <c r="E73" s="12"/>
      <c r="F73" s="204">
        <v>2</v>
      </c>
      <c r="G73" s="204">
        <v>1</v>
      </c>
      <c r="H73" s="204" t="s">
        <v>16</v>
      </c>
      <c r="I73" s="204" t="s">
        <v>458</v>
      </c>
      <c r="J73" s="205">
        <v>42156</v>
      </c>
      <c r="K73" s="13" t="str">
        <f>IF(DATEDIF($J73,'Inst summary and ER calculation'!$U$6,"y")=2,"2-3 years","3-4 years")</f>
        <v>2-3 years</v>
      </c>
      <c r="L73" s="204" t="s">
        <v>16</v>
      </c>
      <c r="M73" s="204" t="s">
        <v>16</v>
      </c>
      <c r="N73" s="204">
        <v>8</v>
      </c>
      <c r="O73" s="204">
        <v>45</v>
      </c>
      <c r="P73" s="204" t="s">
        <v>16</v>
      </c>
      <c r="Q73" s="204" t="s">
        <v>16</v>
      </c>
      <c r="R73" s="204" t="s">
        <v>16</v>
      </c>
      <c r="S73" s="204" t="s">
        <v>16</v>
      </c>
      <c r="T73" s="204" t="s">
        <v>16</v>
      </c>
      <c r="U73" s="204" t="s">
        <v>16</v>
      </c>
      <c r="V73" s="204"/>
      <c r="W73" s="22"/>
      <c r="X73" s="4" t="s">
        <v>16</v>
      </c>
      <c r="Y73" s="4" t="s">
        <v>16</v>
      </c>
      <c r="Z73" s="204">
        <v>10</v>
      </c>
      <c r="AA73" s="204">
        <v>45</v>
      </c>
      <c r="AB73" s="202">
        <f t="shared" si="2"/>
        <v>0.55555555555555558</v>
      </c>
    </row>
    <row r="74" spans="1:28" s="213" customFormat="1" ht="14.5">
      <c r="A74" s="206">
        <v>43112</v>
      </c>
      <c r="B74" s="204" t="s">
        <v>1016</v>
      </c>
      <c r="C74" s="11" t="s">
        <v>18</v>
      </c>
      <c r="D74" s="12" t="s">
        <v>1129</v>
      </c>
      <c r="E74" s="12"/>
      <c r="F74" s="204">
        <v>2</v>
      </c>
      <c r="G74" s="204">
        <v>3</v>
      </c>
      <c r="H74" s="204" t="s">
        <v>16</v>
      </c>
      <c r="I74" s="204" t="s">
        <v>420</v>
      </c>
      <c r="J74" s="205">
        <v>42138</v>
      </c>
      <c r="K74" s="13" t="str">
        <f>IF(DATEDIF($J74,'Inst summary and ER calculation'!$U$6,"y")=2,"2-3 years","3-4 years")</f>
        <v>2-3 years</v>
      </c>
      <c r="L74" s="204" t="s">
        <v>16</v>
      </c>
      <c r="M74" s="204" t="s">
        <v>16</v>
      </c>
      <c r="N74" s="204">
        <v>14</v>
      </c>
      <c r="O74" s="204">
        <v>60</v>
      </c>
      <c r="P74" s="204" t="s">
        <v>16</v>
      </c>
      <c r="Q74" s="204" t="s">
        <v>16</v>
      </c>
      <c r="R74" s="204" t="s">
        <v>16</v>
      </c>
      <c r="S74" s="204" t="s">
        <v>16</v>
      </c>
      <c r="T74" s="204" t="s">
        <v>16</v>
      </c>
      <c r="U74" s="204" t="s">
        <v>16</v>
      </c>
      <c r="V74" s="204"/>
      <c r="W74" s="22"/>
      <c r="X74" s="204" t="s">
        <v>15</v>
      </c>
      <c r="Y74" s="204"/>
      <c r="Z74" s="204"/>
      <c r="AA74" s="204"/>
      <c r="AB74" s="202" t="str">
        <f t="shared" si="2"/>
        <v/>
      </c>
    </row>
    <row r="75" spans="1:28" s="213" customFormat="1" ht="14.5">
      <c r="A75" s="206">
        <v>43105</v>
      </c>
      <c r="B75" s="4" t="s">
        <v>799</v>
      </c>
      <c r="C75" s="4" t="s">
        <v>119</v>
      </c>
      <c r="D75" s="4" t="s">
        <v>800</v>
      </c>
      <c r="E75" s="4"/>
      <c r="F75" s="4">
        <v>2</v>
      </c>
      <c r="G75" s="209"/>
      <c r="H75" s="4" t="s">
        <v>780</v>
      </c>
      <c r="I75" s="4" t="s">
        <v>461</v>
      </c>
      <c r="J75" s="205">
        <v>42159</v>
      </c>
      <c r="K75" s="13" t="str">
        <f>IF(DATEDIF($J75,'Inst summary and ER calculation'!$U$6,"y")=2,"2-3 years","3-4 years")</f>
        <v>2-3 years</v>
      </c>
      <c r="L75" s="6" t="s">
        <v>780</v>
      </c>
      <c r="M75" s="4" t="s">
        <v>780</v>
      </c>
      <c r="N75" s="4">
        <v>18</v>
      </c>
      <c r="O75" s="209">
        <v>76</v>
      </c>
      <c r="P75" s="4" t="s">
        <v>780</v>
      </c>
      <c r="Q75" s="4" t="s">
        <v>780</v>
      </c>
      <c r="R75" s="4" t="s">
        <v>780</v>
      </c>
      <c r="S75" s="4" t="s">
        <v>780</v>
      </c>
      <c r="T75" s="4" t="s">
        <v>780</v>
      </c>
      <c r="U75" s="4" t="s">
        <v>780</v>
      </c>
      <c r="V75" s="4" t="s">
        <v>15</v>
      </c>
      <c r="W75" s="4"/>
      <c r="X75" s="4" t="s">
        <v>15</v>
      </c>
      <c r="Y75" s="4"/>
      <c r="Z75" s="4"/>
      <c r="AA75" s="209"/>
      <c r="AB75" s="202" t="str">
        <f t="shared" si="2"/>
        <v/>
      </c>
    </row>
    <row r="76" spans="1:28" s="213" customFormat="1" ht="14.5">
      <c r="A76" s="206">
        <v>43118</v>
      </c>
      <c r="B76" s="204" t="s">
        <v>1068</v>
      </c>
      <c r="C76" s="204" t="s">
        <v>167</v>
      </c>
      <c r="D76" s="206" t="s">
        <v>1237</v>
      </c>
      <c r="E76" s="204"/>
      <c r="F76" s="204">
        <v>4</v>
      </c>
      <c r="G76" s="204">
        <v>2</v>
      </c>
      <c r="H76" s="204" t="s">
        <v>16</v>
      </c>
      <c r="I76" s="204" t="s">
        <v>432</v>
      </c>
      <c r="J76" s="205">
        <v>42139</v>
      </c>
      <c r="K76" s="13" t="str">
        <f>IF(DATEDIF($J76,'Inst summary and ER calculation'!$U$6,"y")=2,"2-3 years","3-4 years")</f>
        <v>2-3 years</v>
      </c>
      <c r="L76" s="204" t="s">
        <v>16</v>
      </c>
      <c r="M76" s="204" t="s">
        <v>16</v>
      </c>
      <c r="N76" s="204">
        <v>14</v>
      </c>
      <c r="O76" s="204">
        <v>60</v>
      </c>
      <c r="P76" s="204" t="s">
        <v>16</v>
      </c>
      <c r="Q76" s="204" t="s">
        <v>16</v>
      </c>
      <c r="R76" s="204" t="s">
        <v>16</v>
      </c>
      <c r="S76" s="204" t="s">
        <v>16</v>
      </c>
      <c r="T76" s="204" t="s">
        <v>16</v>
      </c>
      <c r="U76" s="204" t="s">
        <v>16</v>
      </c>
      <c r="V76" s="204"/>
      <c r="W76" s="22"/>
      <c r="X76" s="204" t="s">
        <v>15</v>
      </c>
      <c r="Y76" s="204"/>
      <c r="Z76" s="204"/>
      <c r="AA76" s="204"/>
      <c r="AB76" s="202" t="str">
        <f t="shared" si="2"/>
        <v/>
      </c>
    </row>
    <row r="77" spans="1:28" s="213" customFormat="1" ht="14.5">
      <c r="A77" s="206">
        <v>43121</v>
      </c>
      <c r="B77" s="204" t="s">
        <v>1318</v>
      </c>
      <c r="C77" s="204" t="s">
        <v>56</v>
      </c>
      <c r="D77" s="206" t="s">
        <v>1398</v>
      </c>
      <c r="E77" s="204"/>
      <c r="F77" s="204">
        <v>2</v>
      </c>
      <c r="G77" s="204">
        <v>1</v>
      </c>
      <c r="H77" s="204" t="s">
        <v>16</v>
      </c>
      <c r="I77" s="204" t="s">
        <v>413</v>
      </c>
      <c r="J77" s="205">
        <v>42135</v>
      </c>
      <c r="K77" s="13" t="str">
        <f>IF(DATEDIF($J77,'Inst summary and ER calculation'!$U$6,"y")=2,"2-3 years","3-4 years")</f>
        <v>2-3 years</v>
      </c>
      <c r="L77" s="204" t="s">
        <v>16</v>
      </c>
      <c r="M77" s="204" t="s">
        <v>16</v>
      </c>
      <c r="N77" s="204">
        <v>21</v>
      </c>
      <c r="O77" s="204">
        <v>90</v>
      </c>
      <c r="P77" s="204" t="s">
        <v>16</v>
      </c>
      <c r="Q77" s="204" t="s">
        <v>16</v>
      </c>
      <c r="R77" s="204" t="s">
        <v>16</v>
      </c>
      <c r="S77" s="204" t="s">
        <v>16</v>
      </c>
      <c r="T77" s="204" t="s">
        <v>16</v>
      </c>
      <c r="U77" s="204" t="s">
        <v>16</v>
      </c>
      <c r="V77" s="204"/>
      <c r="W77" s="22"/>
      <c r="X77" s="204" t="s">
        <v>15</v>
      </c>
      <c r="Y77" s="204"/>
      <c r="Z77" s="204"/>
      <c r="AA77" s="204"/>
      <c r="AB77" s="202" t="str">
        <f t="shared" si="2"/>
        <v/>
      </c>
    </row>
    <row r="78" spans="1:28" s="213" customFormat="1" ht="14.5">
      <c r="A78" s="206">
        <v>43120</v>
      </c>
      <c r="B78" s="204" t="s">
        <v>1405</v>
      </c>
      <c r="C78" s="204" t="s">
        <v>1406</v>
      </c>
      <c r="D78" s="206" t="s">
        <v>1407</v>
      </c>
      <c r="E78" s="204"/>
      <c r="F78" s="204">
        <v>1</v>
      </c>
      <c r="G78" s="204">
        <v>2</v>
      </c>
      <c r="H78" s="204" t="s">
        <v>16</v>
      </c>
      <c r="I78" s="204" t="s">
        <v>426</v>
      </c>
      <c r="J78" s="205">
        <v>42139</v>
      </c>
      <c r="K78" s="13" t="str">
        <f>IF(DATEDIF($J78,'Inst summary and ER calculation'!$U$6,"y")=2,"2-3 years","3-4 years")</f>
        <v>2-3 years</v>
      </c>
      <c r="L78" s="204" t="s">
        <v>16</v>
      </c>
      <c r="M78" s="204" t="s">
        <v>16</v>
      </c>
      <c r="N78" s="204">
        <v>14</v>
      </c>
      <c r="O78" s="204">
        <v>60</v>
      </c>
      <c r="P78" s="204" t="s">
        <v>16</v>
      </c>
      <c r="Q78" s="204" t="s">
        <v>16</v>
      </c>
      <c r="R78" s="204" t="s">
        <v>16</v>
      </c>
      <c r="S78" s="204" t="s">
        <v>16</v>
      </c>
      <c r="T78" s="204" t="s">
        <v>16</v>
      </c>
      <c r="U78" s="204" t="s">
        <v>16</v>
      </c>
      <c r="V78" s="204"/>
      <c r="W78" s="22"/>
      <c r="X78" s="204" t="s">
        <v>15</v>
      </c>
      <c r="Y78" s="204"/>
      <c r="Z78" s="204"/>
      <c r="AA78" s="204"/>
      <c r="AB78" s="202" t="str">
        <f t="shared" si="2"/>
        <v/>
      </c>
    </row>
    <row r="79" spans="1:28" s="213" customFormat="1" ht="14.5">
      <c r="A79" s="206">
        <v>43123</v>
      </c>
      <c r="B79" s="204" t="s">
        <v>1092</v>
      </c>
      <c r="C79" s="204" t="s">
        <v>226</v>
      </c>
      <c r="D79" s="206" t="s">
        <v>1211</v>
      </c>
      <c r="E79" s="204"/>
      <c r="F79" s="204">
        <v>3</v>
      </c>
      <c r="G79" s="204">
        <v>2</v>
      </c>
      <c r="H79" s="204" t="s">
        <v>16</v>
      </c>
      <c r="I79" s="204" t="s">
        <v>302</v>
      </c>
      <c r="J79" s="205">
        <v>42072</v>
      </c>
      <c r="K79" s="13" t="str">
        <f>IF(DATEDIF($J79,'Inst summary and ER calculation'!$U$6,"y")=2,"2-3 years","3-4 years")</f>
        <v>2-3 years</v>
      </c>
      <c r="L79" s="204" t="s">
        <v>16</v>
      </c>
      <c r="M79" s="204" t="s">
        <v>16</v>
      </c>
      <c r="N79" s="204">
        <v>14</v>
      </c>
      <c r="O79" s="204">
        <v>60</v>
      </c>
      <c r="P79" s="204" t="s">
        <v>16</v>
      </c>
      <c r="Q79" s="204" t="s">
        <v>16</v>
      </c>
      <c r="R79" s="204" t="s">
        <v>16</v>
      </c>
      <c r="S79" s="204" t="s">
        <v>16</v>
      </c>
      <c r="T79" s="204" t="s">
        <v>16</v>
      </c>
      <c r="U79" s="204" t="s">
        <v>16</v>
      </c>
      <c r="V79" s="204"/>
      <c r="W79" s="22"/>
      <c r="X79" s="204" t="s">
        <v>15</v>
      </c>
      <c r="Y79" s="204"/>
      <c r="Z79" s="204"/>
      <c r="AA79" s="204"/>
      <c r="AB79" s="202" t="str">
        <f t="shared" si="2"/>
        <v/>
      </c>
    </row>
    <row r="80" spans="1:28" s="213" customFormat="1" ht="14.5">
      <c r="A80" s="206">
        <v>43105</v>
      </c>
      <c r="B80" s="204" t="s">
        <v>1018</v>
      </c>
      <c r="C80" s="204" t="s">
        <v>1117</v>
      </c>
      <c r="D80" s="12" t="s">
        <v>1118</v>
      </c>
      <c r="E80" s="12"/>
      <c r="F80" s="204">
        <v>2</v>
      </c>
      <c r="G80" s="204">
        <v>2</v>
      </c>
      <c r="H80" s="204" t="s">
        <v>16</v>
      </c>
      <c r="I80" s="204" t="s">
        <v>376</v>
      </c>
      <c r="J80" s="205">
        <v>42116</v>
      </c>
      <c r="K80" s="13" t="str">
        <f>IF(DATEDIF($J80,'Inst summary and ER calculation'!$U$6,"y")=2,"2-3 years","3-4 years")</f>
        <v>2-3 years</v>
      </c>
      <c r="L80" s="204" t="s">
        <v>16</v>
      </c>
      <c r="M80" s="204" t="s">
        <v>16</v>
      </c>
      <c r="N80" s="204">
        <v>20</v>
      </c>
      <c r="O80" s="204">
        <v>80</v>
      </c>
      <c r="P80" s="204" t="s">
        <v>16</v>
      </c>
      <c r="Q80" s="204" t="s">
        <v>16</v>
      </c>
      <c r="R80" s="204" t="s">
        <v>16</v>
      </c>
      <c r="S80" s="204" t="s">
        <v>16</v>
      </c>
      <c r="T80" s="204" t="s">
        <v>16</v>
      </c>
      <c r="U80" s="204" t="s">
        <v>16</v>
      </c>
      <c r="V80" s="204"/>
      <c r="W80" s="22"/>
      <c r="X80" s="204" t="s">
        <v>15</v>
      </c>
      <c r="Y80" s="204"/>
      <c r="Z80" s="204"/>
      <c r="AA80" s="204"/>
      <c r="AB80" s="202" t="str">
        <f t="shared" si="2"/>
        <v/>
      </c>
    </row>
    <row r="81" spans="1:28" s="213" customFormat="1" ht="14.5">
      <c r="A81" s="206">
        <v>43112</v>
      </c>
      <c r="B81" s="204" t="s">
        <v>1100</v>
      </c>
      <c r="C81" s="204" t="s">
        <v>83</v>
      </c>
      <c r="D81" s="12" t="s">
        <v>1101</v>
      </c>
      <c r="E81" s="12"/>
      <c r="F81" s="204">
        <v>4</v>
      </c>
      <c r="G81" s="204">
        <v>2</v>
      </c>
      <c r="H81" s="204" t="s">
        <v>16</v>
      </c>
      <c r="I81" s="204" t="s">
        <v>324</v>
      </c>
      <c r="J81" s="205">
        <v>42083</v>
      </c>
      <c r="K81" s="13" t="str">
        <f>IF(DATEDIF($J81,'Inst summary and ER calculation'!$U$6,"y")=2,"2-3 years","3-4 years")</f>
        <v>2-3 years</v>
      </c>
      <c r="L81" s="204" t="s">
        <v>16</v>
      </c>
      <c r="M81" s="204" t="s">
        <v>16</v>
      </c>
      <c r="N81" s="204">
        <v>21</v>
      </c>
      <c r="O81" s="204">
        <v>90</v>
      </c>
      <c r="P81" s="204" t="s">
        <v>16</v>
      </c>
      <c r="Q81" s="204" t="s">
        <v>16</v>
      </c>
      <c r="R81" s="204" t="s">
        <v>16</v>
      </c>
      <c r="S81" s="204" t="s">
        <v>16</v>
      </c>
      <c r="T81" s="204" t="s">
        <v>16</v>
      </c>
      <c r="U81" s="204" t="s">
        <v>16</v>
      </c>
      <c r="V81" s="204"/>
      <c r="W81" s="22"/>
      <c r="X81" s="204" t="s">
        <v>15</v>
      </c>
      <c r="Y81" s="204"/>
      <c r="Z81" s="204"/>
      <c r="AA81" s="204"/>
      <c r="AB81" s="202" t="str">
        <f t="shared" si="2"/>
        <v/>
      </c>
    </row>
    <row r="82" spans="1:28" s="213" customFormat="1" ht="14.5">
      <c r="A82" s="206">
        <v>43112</v>
      </c>
      <c r="B82" s="204" t="s">
        <v>65</v>
      </c>
      <c r="C82" s="204" t="s">
        <v>759</v>
      </c>
      <c r="D82" s="12" t="s">
        <v>1099</v>
      </c>
      <c r="E82" s="12"/>
      <c r="F82" s="204">
        <v>6</v>
      </c>
      <c r="G82" s="204">
        <v>2</v>
      </c>
      <c r="H82" s="204" t="s">
        <v>16</v>
      </c>
      <c r="I82" s="204" t="s">
        <v>321</v>
      </c>
      <c r="J82" s="205">
        <v>42082</v>
      </c>
      <c r="K82" s="13" t="str">
        <f>IF(DATEDIF($J82,'Inst summary and ER calculation'!$U$6,"y")=2,"2-3 years","3-4 years")</f>
        <v>2-3 years</v>
      </c>
      <c r="L82" s="204" t="s">
        <v>16</v>
      </c>
      <c r="M82" s="204" t="s">
        <v>16</v>
      </c>
      <c r="N82" s="204">
        <v>16</v>
      </c>
      <c r="O82" s="204">
        <v>72</v>
      </c>
      <c r="P82" s="204" t="s">
        <v>16</v>
      </c>
      <c r="Q82" s="204" t="s">
        <v>16</v>
      </c>
      <c r="R82" s="204" t="s">
        <v>16</v>
      </c>
      <c r="S82" s="204" t="s">
        <v>16</v>
      </c>
      <c r="T82" s="204" t="s">
        <v>16</v>
      </c>
      <c r="U82" s="204" t="s">
        <v>16</v>
      </c>
      <c r="V82" s="204"/>
      <c r="W82" s="22"/>
      <c r="X82" s="204" t="s">
        <v>15</v>
      </c>
      <c r="Y82" s="204"/>
      <c r="Z82" s="204"/>
      <c r="AA82" s="204"/>
      <c r="AB82" s="202" t="str">
        <f t="shared" si="2"/>
        <v/>
      </c>
    </row>
    <row r="83" spans="1:28" s="213" customFormat="1" ht="14.5">
      <c r="A83" s="206">
        <v>43105</v>
      </c>
      <c r="B83" s="204" t="s">
        <v>193</v>
      </c>
      <c r="C83" s="204" t="s">
        <v>166</v>
      </c>
      <c r="D83" s="206" t="s">
        <v>1236</v>
      </c>
      <c r="E83" s="204"/>
      <c r="F83" s="204">
        <v>5</v>
      </c>
      <c r="G83" s="204">
        <v>2</v>
      </c>
      <c r="H83" s="204" t="s">
        <v>16</v>
      </c>
      <c r="I83" s="204" t="s">
        <v>419</v>
      </c>
      <c r="J83" s="205">
        <v>42138</v>
      </c>
      <c r="K83" s="13" t="str">
        <f>IF(DATEDIF($J83,'Inst summary and ER calculation'!$U$6,"y")=2,"2-3 years","3-4 years")</f>
        <v>2-3 years</v>
      </c>
      <c r="L83" s="204" t="s">
        <v>16</v>
      </c>
      <c r="M83" s="204" t="s">
        <v>16</v>
      </c>
      <c r="N83" s="204">
        <v>14</v>
      </c>
      <c r="O83" s="204">
        <v>60</v>
      </c>
      <c r="P83" s="204" t="s">
        <v>16</v>
      </c>
      <c r="Q83" s="204" t="s">
        <v>16</v>
      </c>
      <c r="R83" s="204" t="s">
        <v>16</v>
      </c>
      <c r="S83" s="204" t="s">
        <v>16</v>
      </c>
      <c r="T83" s="204" t="s">
        <v>16</v>
      </c>
      <c r="U83" s="204" t="s">
        <v>16</v>
      </c>
      <c r="V83" s="204"/>
      <c r="W83" s="22"/>
      <c r="X83" s="204" t="s">
        <v>15</v>
      </c>
      <c r="Y83" s="204"/>
      <c r="Z83" s="204"/>
      <c r="AA83" s="204"/>
      <c r="AB83" s="202" t="str">
        <f t="shared" si="2"/>
        <v/>
      </c>
    </row>
    <row r="84" spans="1:28" s="213" customFormat="1" ht="14.5">
      <c r="A84" s="206">
        <v>43106</v>
      </c>
      <c r="B84" s="4" t="s">
        <v>801</v>
      </c>
      <c r="C84" s="4" t="s">
        <v>181</v>
      </c>
      <c r="D84" s="4" t="s">
        <v>802</v>
      </c>
      <c r="E84" s="4"/>
      <c r="F84" s="4">
        <v>4</v>
      </c>
      <c r="G84" s="209">
        <v>3</v>
      </c>
      <c r="H84" s="4" t="s">
        <v>780</v>
      </c>
      <c r="I84" s="4" t="s">
        <v>459</v>
      </c>
      <c r="J84" s="205">
        <v>42159</v>
      </c>
      <c r="K84" s="13" t="str">
        <f>IF(DATEDIF($J84,'Inst summary and ER calculation'!$U$6,"y")=2,"2-3 years","3-4 years")</f>
        <v>2-3 years</v>
      </c>
      <c r="L84" s="6" t="s">
        <v>780</v>
      </c>
      <c r="M84" s="4" t="s">
        <v>780</v>
      </c>
      <c r="N84" s="4">
        <v>14</v>
      </c>
      <c r="O84" s="209">
        <v>58</v>
      </c>
      <c r="P84" s="4" t="s">
        <v>780</v>
      </c>
      <c r="Q84" s="4" t="s">
        <v>780</v>
      </c>
      <c r="R84" s="4" t="s">
        <v>780</v>
      </c>
      <c r="S84" s="4" t="s">
        <v>780</v>
      </c>
      <c r="T84" s="4" t="s">
        <v>780</v>
      </c>
      <c r="U84" s="4" t="s">
        <v>780</v>
      </c>
      <c r="V84" s="4" t="s">
        <v>15</v>
      </c>
      <c r="W84" s="4"/>
      <c r="X84" s="4" t="s">
        <v>15</v>
      </c>
      <c r="Y84" s="4"/>
      <c r="Z84" s="4"/>
      <c r="AA84" s="209"/>
      <c r="AB84" s="202" t="str">
        <f t="shared" si="2"/>
        <v/>
      </c>
    </row>
    <row r="85" spans="1:28" s="213" customFormat="1" ht="14.5">
      <c r="A85" s="206">
        <v>43111</v>
      </c>
      <c r="B85" s="4" t="s">
        <v>879</v>
      </c>
      <c r="C85" s="4" t="s">
        <v>184</v>
      </c>
      <c r="D85" s="208" t="s">
        <v>880</v>
      </c>
      <c r="E85" s="4"/>
      <c r="F85" s="4">
        <v>6</v>
      </c>
      <c r="G85" s="209">
        <v>2</v>
      </c>
      <c r="H85" s="4" t="s">
        <v>780</v>
      </c>
      <c r="I85" s="4" t="s">
        <v>469</v>
      </c>
      <c r="J85" s="205">
        <v>42167</v>
      </c>
      <c r="K85" s="13" t="str">
        <f>IF(DATEDIF($J85,'Inst summary and ER calculation'!$U$6,"y")=2,"2-3 years","3-4 years")</f>
        <v>2-3 years</v>
      </c>
      <c r="L85" s="6" t="s">
        <v>780</v>
      </c>
      <c r="M85" s="4" t="s">
        <v>780</v>
      </c>
      <c r="N85" s="4">
        <v>14</v>
      </c>
      <c r="O85" s="209">
        <v>72</v>
      </c>
      <c r="P85" s="4" t="s">
        <v>780</v>
      </c>
      <c r="Q85" s="4" t="s">
        <v>780</v>
      </c>
      <c r="R85" s="4" t="s">
        <v>780</v>
      </c>
      <c r="S85" s="4" t="s">
        <v>780</v>
      </c>
      <c r="T85" s="4" t="s">
        <v>780</v>
      </c>
      <c r="U85" s="4" t="s">
        <v>780</v>
      </c>
      <c r="V85" s="4" t="s">
        <v>15</v>
      </c>
      <c r="W85" s="4"/>
      <c r="X85" s="4" t="s">
        <v>15</v>
      </c>
      <c r="Y85" s="4"/>
      <c r="Z85" s="4"/>
      <c r="AA85" s="209"/>
      <c r="AB85" s="202" t="str">
        <f t="shared" si="2"/>
        <v/>
      </c>
    </row>
    <row r="86" spans="1:28" s="213" customFormat="1" ht="14.5">
      <c r="A86" s="206">
        <v>43107</v>
      </c>
      <c r="B86" s="4" t="s">
        <v>236</v>
      </c>
      <c r="C86" s="4" t="s">
        <v>310</v>
      </c>
      <c r="D86" s="4" t="s">
        <v>868</v>
      </c>
      <c r="E86" s="4"/>
      <c r="F86" s="4">
        <v>2</v>
      </c>
      <c r="G86" s="209">
        <v>3</v>
      </c>
      <c r="H86" s="4" t="s">
        <v>780</v>
      </c>
      <c r="I86" s="4" t="s">
        <v>309</v>
      </c>
      <c r="J86" s="205">
        <v>42078</v>
      </c>
      <c r="K86" s="13" t="str">
        <f>IF(DATEDIF($J86,'Inst summary and ER calculation'!$U$6,"y")=2,"2-3 years","3-4 years")</f>
        <v>2-3 years</v>
      </c>
      <c r="L86" s="6" t="s">
        <v>780</v>
      </c>
      <c r="M86" s="4" t="s">
        <v>780</v>
      </c>
      <c r="N86" s="4">
        <v>21</v>
      </c>
      <c r="O86" s="209">
        <v>88</v>
      </c>
      <c r="P86" s="4" t="s">
        <v>780</v>
      </c>
      <c r="Q86" s="4" t="s">
        <v>780</v>
      </c>
      <c r="R86" s="4" t="s">
        <v>780</v>
      </c>
      <c r="S86" s="4" t="s">
        <v>780</v>
      </c>
      <c r="T86" s="4" t="s">
        <v>780</v>
      </c>
      <c r="U86" s="4" t="s">
        <v>780</v>
      </c>
      <c r="V86" s="4" t="s">
        <v>15</v>
      </c>
      <c r="W86" s="4"/>
      <c r="X86" s="4" t="s">
        <v>15</v>
      </c>
      <c r="Y86" s="4"/>
      <c r="Z86" s="4"/>
      <c r="AA86" s="209"/>
      <c r="AB86" s="202" t="str">
        <f t="shared" si="2"/>
        <v/>
      </c>
    </row>
    <row r="87" spans="1:28" s="213" customFormat="1" ht="14.5">
      <c r="A87" s="206">
        <v>43123</v>
      </c>
      <c r="B87" s="204" t="s">
        <v>1363</v>
      </c>
      <c r="C87" s="204" t="s">
        <v>1378</v>
      </c>
      <c r="D87" s="206" t="s">
        <v>1379</v>
      </c>
      <c r="E87" s="204"/>
      <c r="F87" s="204">
        <v>5</v>
      </c>
      <c r="G87" s="204">
        <v>2</v>
      </c>
      <c r="H87" s="204" t="s">
        <v>16</v>
      </c>
      <c r="I87" s="204" t="s">
        <v>365</v>
      </c>
      <c r="J87" s="205">
        <v>42109</v>
      </c>
      <c r="K87" s="13" t="str">
        <f>IF(DATEDIF($J87,'Inst summary and ER calculation'!$U$6,"y")=2,"2-3 years","3-4 years")</f>
        <v>2-3 years</v>
      </c>
      <c r="L87" s="204" t="s">
        <v>16</v>
      </c>
      <c r="M87" s="204" t="s">
        <v>16</v>
      </c>
      <c r="N87" s="204">
        <v>21</v>
      </c>
      <c r="O87" s="204">
        <v>90</v>
      </c>
      <c r="P87" s="204" t="s">
        <v>16</v>
      </c>
      <c r="Q87" s="204" t="s">
        <v>16</v>
      </c>
      <c r="R87" s="204" t="s">
        <v>16</v>
      </c>
      <c r="S87" s="204" t="s">
        <v>16</v>
      </c>
      <c r="T87" s="204" t="s">
        <v>16</v>
      </c>
      <c r="U87" s="204" t="s">
        <v>16</v>
      </c>
      <c r="V87" s="204"/>
      <c r="W87" s="22"/>
      <c r="X87" s="204" t="s">
        <v>15</v>
      </c>
      <c r="Y87" s="204"/>
      <c r="Z87" s="204"/>
      <c r="AA87" s="204"/>
      <c r="AB87" s="202" t="str">
        <f t="shared" si="2"/>
        <v/>
      </c>
    </row>
    <row r="88" spans="1:28" s="213" customFormat="1" ht="14.5">
      <c r="A88" s="206">
        <v>43114</v>
      </c>
      <c r="B88" s="204" t="s">
        <v>607</v>
      </c>
      <c r="C88" s="204" t="s">
        <v>1357</v>
      </c>
      <c r="D88" s="206" t="s">
        <v>1358</v>
      </c>
      <c r="E88" s="204"/>
      <c r="F88" s="204">
        <v>2</v>
      </c>
      <c r="G88" s="204">
        <v>1</v>
      </c>
      <c r="H88" s="204" t="s">
        <v>16</v>
      </c>
      <c r="I88" s="204" t="s">
        <v>299</v>
      </c>
      <c r="J88" s="205">
        <v>42066</v>
      </c>
      <c r="K88" s="13" t="str">
        <f>IF(DATEDIF($J88,'Inst summary and ER calculation'!$U$6,"y")=2,"2-3 years","3-4 years")</f>
        <v>2-3 years</v>
      </c>
      <c r="L88" s="204" t="s">
        <v>16</v>
      </c>
      <c r="M88" s="204" t="s">
        <v>16</v>
      </c>
      <c r="N88" s="204">
        <v>18</v>
      </c>
      <c r="O88" s="204">
        <v>78</v>
      </c>
      <c r="P88" s="204" t="s">
        <v>16</v>
      </c>
      <c r="Q88" s="204" t="s">
        <v>16</v>
      </c>
      <c r="R88" s="204" t="s">
        <v>16</v>
      </c>
      <c r="S88" s="204" t="s">
        <v>16</v>
      </c>
      <c r="T88" s="204" t="s">
        <v>16</v>
      </c>
      <c r="U88" s="204" t="s">
        <v>16</v>
      </c>
      <c r="V88" s="204"/>
      <c r="W88" s="22"/>
      <c r="X88" s="204" t="s">
        <v>15</v>
      </c>
      <c r="Y88" s="204"/>
      <c r="Z88" s="204"/>
      <c r="AA88" s="204"/>
      <c r="AB88" s="202" t="str">
        <f t="shared" si="2"/>
        <v/>
      </c>
    </row>
    <row r="89" spans="1:28" s="213" customFormat="1" ht="14.5">
      <c r="A89" s="206">
        <v>43106</v>
      </c>
      <c r="B89" s="204" t="s">
        <v>798</v>
      </c>
      <c r="C89" s="204" t="s">
        <v>1212</v>
      </c>
      <c r="D89" s="206" t="s">
        <v>1213</v>
      </c>
      <c r="E89" s="204"/>
      <c r="F89" s="204">
        <v>3</v>
      </c>
      <c r="G89" s="204">
        <v>1</v>
      </c>
      <c r="H89" s="204" t="s">
        <v>16</v>
      </c>
      <c r="I89" s="204" t="s">
        <v>313</v>
      </c>
      <c r="J89" s="205">
        <v>42078</v>
      </c>
      <c r="K89" s="13" t="str">
        <f>IF(DATEDIF($J89,'Inst summary and ER calculation'!$U$6,"y")=2,"2-3 years","3-4 years")</f>
        <v>2-3 years</v>
      </c>
      <c r="L89" s="204" t="s">
        <v>16</v>
      </c>
      <c r="M89" s="204" t="s">
        <v>16</v>
      </c>
      <c r="N89" s="204">
        <v>14</v>
      </c>
      <c r="O89" s="204">
        <v>60</v>
      </c>
      <c r="P89" s="204" t="s">
        <v>16</v>
      </c>
      <c r="Q89" s="204" t="s">
        <v>16</v>
      </c>
      <c r="R89" s="204" t="s">
        <v>16</v>
      </c>
      <c r="S89" s="204" t="s">
        <v>16</v>
      </c>
      <c r="T89" s="204" t="s">
        <v>16</v>
      </c>
      <c r="U89" s="204" t="s">
        <v>16</v>
      </c>
      <c r="V89" s="204"/>
      <c r="W89" s="22"/>
      <c r="X89" s="204" t="s">
        <v>15</v>
      </c>
      <c r="Y89" s="204"/>
      <c r="Z89" s="204"/>
      <c r="AA89" s="204"/>
      <c r="AB89" s="202" t="str">
        <f t="shared" si="2"/>
        <v/>
      </c>
    </row>
    <row r="90" spans="1:28" s="213" customFormat="1" ht="14.5">
      <c r="A90" s="206">
        <v>43114</v>
      </c>
      <c r="B90" s="204" t="s">
        <v>100</v>
      </c>
      <c r="C90" s="204" t="s">
        <v>315</v>
      </c>
      <c r="D90" s="206" t="s">
        <v>1095</v>
      </c>
      <c r="E90" s="204"/>
      <c r="F90" s="204">
        <v>5</v>
      </c>
      <c r="G90" s="204">
        <v>2</v>
      </c>
      <c r="H90" s="204" t="s">
        <v>16</v>
      </c>
      <c r="I90" s="204" t="s">
        <v>314</v>
      </c>
      <c r="J90" s="205">
        <v>42078</v>
      </c>
      <c r="K90" s="13" t="str">
        <f>IF(DATEDIF($J90,'Inst summary and ER calculation'!$U$6,"y")=2,"2-3 years","3-4 years")</f>
        <v>2-3 years</v>
      </c>
      <c r="L90" s="204" t="s">
        <v>16</v>
      </c>
      <c r="M90" s="204" t="s">
        <v>16</v>
      </c>
      <c r="N90" s="204">
        <v>18</v>
      </c>
      <c r="O90" s="204">
        <v>76</v>
      </c>
      <c r="P90" s="204" t="s">
        <v>16</v>
      </c>
      <c r="Q90" s="204" t="s">
        <v>16</v>
      </c>
      <c r="R90" s="204" t="s">
        <v>16</v>
      </c>
      <c r="S90" s="204" t="s">
        <v>16</v>
      </c>
      <c r="T90" s="204" t="s">
        <v>16</v>
      </c>
      <c r="U90" s="204" t="s">
        <v>16</v>
      </c>
      <c r="V90" s="204"/>
      <c r="W90" s="22"/>
      <c r="X90" s="204" t="s">
        <v>15</v>
      </c>
      <c r="Y90" s="204"/>
      <c r="Z90" s="204"/>
      <c r="AA90" s="204"/>
      <c r="AB90" s="202" t="str">
        <f t="shared" si="2"/>
        <v/>
      </c>
    </row>
    <row r="91" spans="1:28" s="213" customFormat="1" ht="14.5">
      <c r="A91" s="206">
        <v>43116</v>
      </c>
      <c r="B91" s="204" t="s">
        <v>1361</v>
      </c>
      <c r="C91" s="204" t="s">
        <v>59</v>
      </c>
      <c r="D91" s="206" t="s">
        <v>1362</v>
      </c>
      <c r="E91" s="204"/>
      <c r="F91" s="204">
        <v>3</v>
      </c>
      <c r="G91" s="204">
        <v>4</v>
      </c>
      <c r="H91" s="204" t="s">
        <v>16</v>
      </c>
      <c r="I91" s="204" t="s">
        <v>307</v>
      </c>
      <c r="J91" s="205">
        <v>42075</v>
      </c>
      <c r="K91" s="13" t="str">
        <f>IF(DATEDIF($J91,'Inst summary and ER calculation'!$U$6,"y")=2,"2-3 years","3-4 years")</f>
        <v>2-3 years</v>
      </c>
      <c r="L91" s="204" t="s">
        <v>16</v>
      </c>
      <c r="M91" s="204" t="s">
        <v>16</v>
      </c>
      <c r="N91" s="204">
        <v>20</v>
      </c>
      <c r="O91" s="204">
        <v>90</v>
      </c>
      <c r="P91" s="204" t="s">
        <v>16</v>
      </c>
      <c r="Q91" s="204" t="s">
        <v>16</v>
      </c>
      <c r="R91" s="204" t="s">
        <v>16</v>
      </c>
      <c r="S91" s="204" t="s">
        <v>16</v>
      </c>
      <c r="T91" s="204" t="s">
        <v>16</v>
      </c>
      <c r="U91" s="204" t="s">
        <v>16</v>
      </c>
      <c r="V91" s="204"/>
      <c r="W91" s="22"/>
      <c r="X91" s="204" t="s">
        <v>15</v>
      </c>
      <c r="Y91" s="204"/>
      <c r="Z91" s="204"/>
      <c r="AA91" s="204"/>
      <c r="AB91" s="202" t="str">
        <f t="shared" si="2"/>
        <v/>
      </c>
    </row>
    <row r="92" spans="1:28" s="213" customFormat="1" ht="14.5">
      <c r="A92" s="206">
        <v>43124</v>
      </c>
      <c r="B92" s="204" t="s">
        <v>1385</v>
      </c>
      <c r="C92" s="204" t="s">
        <v>1386</v>
      </c>
      <c r="D92" s="206" t="s">
        <v>1387</v>
      </c>
      <c r="E92" s="204"/>
      <c r="F92" s="204">
        <v>4</v>
      </c>
      <c r="G92" s="204">
        <v>3</v>
      </c>
      <c r="H92" s="204" t="s">
        <v>16</v>
      </c>
      <c r="I92" s="204" t="s">
        <v>380</v>
      </c>
      <c r="J92" s="205">
        <v>42120</v>
      </c>
      <c r="K92" s="13" t="str">
        <f>IF(DATEDIF($J92,'Inst summary and ER calculation'!$U$6,"y")=2,"2-3 years","3-4 years")</f>
        <v>2-3 years</v>
      </c>
      <c r="L92" s="204" t="s">
        <v>16</v>
      </c>
      <c r="M92" s="204" t="s">
        <v>16</v>
      </c>
      <c r="N92" s="204">
        <v>21</v>
      </c>
      <c r="O92" s="204">
        <v>90</v>
      </c>
      <c r="P92" s="204" t="s">
        <v>16</v>
      </c>
      <c r="Q92" s="204" t="s">
        <v>16</v>
      </c>
      <c r="R92" s="204" t="s">
        <v>16</v>
      </c>
      <c r="S92" s="204" t="s">
        <v>16</v>
      </c>
      <c r="T92" s="204" t="s">
        <v>16</v>
      </c>
      <c r="U92" s="204" t="s">
        <v>16</v>
      </c>
      <c r="V92" s="204"/>
      <c r="W92" s="22"/>
      <c r="X92" s="204" t="s">
        <v>15</v>
      </c>
      <c r="Y92" s="204"/>
      <c r="Z92" s="204"/>
      <c r="AA92" s="204"/>
      <c r="AB92" s="202" t="str">
        <f t="shared" si="2"/>
        <v/>
      </c>
    </row>
    <row r="93" spans="1:28" s="213" customFormat="1" ht="14.5">
      <c r="A93" s="206">
        <v>43115</v>
      </c>
      <c r="B93" s="204" t="s">
        <v>1111</v>
      </c>
      <c r="C93" s="204" t="s">
        <v>611</v>
      </c>
      <c r="D93" s="12" t="s">
        <v>1155</v>
      </c>
      <c r="E93" s="12"/>
      <c r="F93" s="204">
        <v>2</v>
      </c>
      <c r="G93" s="204">
        <v>1</v>
      </c>
      <c r="H93" s="204" t="s">
        <v>16</v>
      </c>
      <c r="I93" s="12" t="s">
        <v>517</v>
      </c>
      <c r="J93" s="205">
        <v>42184</v>
      </c>
      <c r="K93" s="13" t="str">
        <f>IF(DATEDIF($J93,'Inst summary and ER calculation'!$U$6,"y")=2,"2-3 years","3-4 years")</f>
        <v>2-3 years</v>
      </c>
      <c r="L93" s="204" t="s">
        <v>16</v>
      </c>
      <c r="M93" s="204" t="s">
        <v>16</v>
      </c>
      <c r="N93" s="204">
        <v>15</v>
      </c>
      <c r="O93" s="204">
        <v>60</v>
      </c>
      <c r="P93" s="204" t="s">
        <v>16</v>
      </c>
      <c r="Q93" s="204" t="s">
        <v>16</v>
      </c>
      <c r="R93" s="204" t="s">
        <v>16</v>
      </c>
      <c r="S93" s="204" t="s">
        <v>16</v>
      </c>
      <c r="T93" s="204" t="s">
        <v>16</v>
      </c>
      <c r="U93" s="204" t="s">
        <v>16</v>
      </c>
      <c r="V93" s="204"/>
      <c r="W93" s="22"/>
      <c r="X93" s="204" t="s">
        <v>15</v>
      </c>
      <c r="Y93" s="204"/>
      <c r="Z93" s="204"/>
      <c r="AA93" s="204"/>
      <c r="AB93" s="202" t="str">
        <f t="shared" si="2"/>
        <v/>
      </c>
    </row>
    <row r="94" spans="1:28" s="213" customFormat="1" ht="14.5">
      <c r="A94" s="206">
        <v>43104</v>
      </c>
      <c r="B94" s="204" t="s">
        <v>1429</v>
      </c>
      <c r="C94" s="204" t="s">
        <v>79</v>
      </c>
      <c r="D94" s="206" t="s">
        <v>1430</v>
      </c>
      <c r="E94" s="204"/>
      <c r="F94" s="204">
        <v>2</v>
      </c>
      <c r="G94" s="204">
        <v>2</v>
      </c>
      <c r="H94" s="204" t="s">
        <v>16</v>
      </c>
      <c r="I94" s="23" t="s">
        <v>515</v>
      </c>
      <c r="J94" s="205">
        <v>42184</v>
      </c>
      <c r="K94" s="13" t="str">
        <f>IF(DATEDIF($J94,'Inst summary and ER calculation'!$U$6,"y")=2,"2-3 years","3-4 years")</f>
        <v>2-3 years</v>
      </c>
      <c r="L94" s="204" t="s">
        <v>16</v>
      </c>
      <c r="M94" s="204" t="s">
        <v>16</v>
      </c>
      <c r="N94" s="204">
        <v>14</v>
      </c>
      <c r="O94" s="204">
        <v>60</v>
      </c>
      <c r="P94" s="204" t="s">
        <v>16</v>
      </c>
      <c r="Q94" s="204" t="s">
        <v>16</v>
      </c>
      <c r="R94" s="204" t="s">
        <v>16</v>
      </c>
      <c r="S94" s="204" t="s">
        <v>16</v>
      </c>
      <c r="T94" s="204" t="s">
        <v>16</v>
      </c>
      <c r="U94" s="204" t="s">
        <v>16</v>
      </c>
      <c r="V94" s="204"/>
      <c r="W94" s="22"/>
      <c r="X94" s="204" t="s">
        <v>15</v>
      </c>
      <c r="Y94" s="204"/>
      <c r="Z94" s="204"/>
      <c r="AA94" s="204"/>
      <c r="AB94" s="202" t="str">
        <f t="shared" si="2"/>
        <v/>
      </c>
    </row>
    <row r="95" spans="1:28" s="213" customFormat="1" ht="14.5">
      <c r="A95" s="206">
        <v>43123</v>
      </c>
      <c r="B95" s="204" t="s">
        <v>1209</v>
      </c>
      <c r="C95" s="204" t="s">
        <v>78</v>
      </c>
      <c r="D95" s="206" t="s">
        <v>1210</v>
      </c>
      <c r="E95" s="204"/>
      <c r="F95" s="204">
        <v>4</v>
      </c>
      <c r="G95" s="204">
        <v>1</v>
      </c>
      <c r="H95" s="204" t="s">
        <v>16</v>
      </c>
      <c r="I95" s="204" t="s">
        <v>301</v>
      </c>
      <c r="J95" s="205">
        <v>42071</v>
      </c>
      <c r="K95" s="13" t="str">
        <f>IF(DATEDIF($J95,'Inst summary and ER calculation'!$U$6,"y")=2,"2-3 years","3-4 years")</f>
        <v>2-3 years</v>
      </c>
      <c r="L95" s="204" t="s">
        <v>16</v>
      </c>
      <c r="M95" s="204" t="s">
        <v>16</v>
      </c>
      <c r="N95" s="204">
        <v>20</v>
      </c>
      <c r="O95" s="204">
        <v>80</v>
      </c>
      <c r="P95" s="204" t="s">
        <v>16</v>
      </c>
      <c r="Q95" s="204" t="s">
        <v>16</v>
      </c>
      <c r="R95" s="204" t="s">
        <v>16</v>
      </c>
      <c r="S95" s="204" t="s">
        <v>16</v>
      </c>
      <c r="T95" s="204" t="s">
        <v>16</v>
      </c>
      <c r="U95" s="204" t="s">
        <v>16</v>
      </c>
      <c r="V95" s="204"/>
      <c r="W95" s="22"/>
      <c r="X95" s="204" t="s">
        <v>15</v>
      </c>
      <c r="Y95" s="204"/>
      <c r="Z95" s="204"/>
      <c r="AA95" s="204"/>
      <c r="AB95" s="202" t="str">
        <f t="shared" si="2"/>
        <v/>
      </c>
    </row>
    <row r="96" spans="1:28" s="213" customFormat="1" ht="14.5">
      <c r="A96" s="206">
        <v>43122</v>
      </c>
      <c r="B96" s="4" t="s">
        <v>155</v>
      </c>
      <c r="C96" s="4" t="s">
        <v>197</v>
      </c>
      <c r="D96" s="4" t="s">
        <v>839</v>
      </c>
      <c r="E96" s="4"/>
      <c r="F96" s="4">
        <v>6</v>
      </c>
      <c r="G96" s="209">
        <v>2</v>
      </c>
      <c r="H96" s="4" t="s">
        <v>780</v>
      </c>
      <c r="I96" s="4" t="s">
        <v>343</v>
      </c>
      <c r="J96" s="205">
        <v>42097</v>
      </c>
      <c r="K96" s="13" t="str">
        <f>IF(DATEDIF($J96,'Inst summary and ER calculation'!$U$6,"y")=2,"2-3 years","3-4 years")</f>
        <v>2-3 years</v>
      </c>
      <c r="L96" s="6" t="s">
        <v>780</v>
      </c>
      <c r="M96" s="4" t="s">
        <v>16</v>
      </c>
      <c r="N96" s="4">
        <v>19</v>
      </c>
      <c r="O96" s="209">
        <v>87</v>
      </c>
      <c r="P96" s="4" t="s">
        <v>780</v>
      </c>
      <c r="Q96" s="4" t="s">
        <v>780</v>
      </c>
      <c r="R96" s="4" t="s">
        <v>780</v>
      </c>
      <c r="S96" s="4" t="s">
        <v>780</v>
      </c>
      <c r="T96" s="4" t="s">
        <v>780</v>
      </c>
      <c r="U96" s="4" t="s">
        <v>780</v>
      </c>
      <c r="V96" s="4" t="s">
        <v>15</v>
      </c>
      <c r="W96" s="4"/>
      <c r="X96" s="4" t="s">
        <v>15</v>
      </c>
      <c r="Y96" s="4"/>
      <c r="Z96" s="4"/>
      <c r="AA96" s="209"/>
      <c r="AB96" s="202" t="str">
        <f t="shared" si="2"/>
        <v/>
      </c>
    </row>
    <row r="97" spans="1:28" s="213" customFormat="1" ht="14.5">
      <c r="A97" s="206">
        <v>43114</v>
      </c>
      <c r="B97" s="204" t="s">
        <v>1282</v>
      </c>
      <c r="C97" s="204" t="s">
        <v>110</v>
      </c>
      <c r="D97" s="206" t="s">
        <v>1384</v>
      </c>
      <c r="E97" s="204"/>
      <c r="F97" s="204">
        <v>2</v>
      </c>
      <c r="G97" s="204">
        <v>2</v>
      </c>
      <c r="H97" s="204" t="s">
        <v>16</v>
      </c>
      <c r="I97" s="204" t="s">
        <v>373</v>
      </c>
      <c r="J97" s="205">
        <v>42115</v>
      </c>
      <c r="K97" s="13" t="str">
        <f>IF(DATEDIF($J97,'Inst summary and ER calculation'!$U$6,"y")=2,"2-3 years","3-4 years")</f>
        <v>2-3 years</v>
      </c>
      <c r="L97" s="204" t="s">
        <v>16</v>
      </c>
      <c r="M97" s="204" t="s">
        <v>16</v>
      </c>
      <c r="N97" s="204">
        <v>21</v>
      </c>
      <c r="O97" s="204">
        <v>90</v>
      </c>
      <c r="P97" s="204" t="s">
        <v>16</v>
      </c>
      <c r="Q97" s="204" t="s">
        <v>16</v>
      </c>
      <c r="R97" s="204" t="s">
        <v>16</v>
      </c>
      <c r="S97" s="204" t="s">
        <v>16</v>
      </c>
      <c r="T97" s="204" t="s">
        <v>16</v>
      </c>
      <c r="U97" s="204" t="s">
        <v>16</v>
      </c>
      <c r="V97" s="204"/>
      <c r="W97" s="22"/>
      <c r="X97" s="204" t="s">
        <v>15</v>
      </c>
      <c r="Y97" s="204"/>
      <c r="Z97" s="204"/>
      <c r="AA97" s="204"/>
      <c r="AB97" s="202" t="str">
        <f t="shared" si="2"/>
        <v/>
      </c>
    </row>
    <row r="98" spans="1:28" s="213" customFormat="1" ht="14.5">
      <c r="A98" s="206">
        <v>43108</v>
      </c>
      <c r="B98" s="204" t="s">
        <v>912</v>
      </c>
      <c r="C98" s="204" t="s">
        <v>354</v>
      </c>
      <c r="D98" s="206" t="s">
        <v>1228</v>
      </c>
      <c r="E98" s="204"/>
      <c r="F98" s="204">
        <v>2</v>
      </c>
      <c r="G98" s="204">
        <v>2</v>
      </c>
      <c r="H98" s="204" t="s">
        <v>16</v>
      </c>
      <c r="I98" s="204" t="s">
        <v>353</v>
      </c>
      <c r="J98" s="205">
        <v>42109</v>
      </c>
      <c r="K98" s="13" t="str">
        <f>IF(DATEDIF($J98,'Inst summary and ER calculation'!$U$6,"y")=2,"2-3 years","3-4 years")</f>
        <v>2-3 years</v>
      </c>
      <c r="L98" s="204" t="s">
        <v>16</v>
      </c>
      <c r="M98" s="204" t="s">
        <v>16</v>
      </c>
      <c r="N98" s="204">
        <v>14</v>
      </c>
      <c r="O98" s="204">
        <v>60</v>
      </c>
      <c r="P98" s="204" t="s">
        <v>16</v>
      </c>
      <c r="Q98" s="204" t="s">
        <v>16</v>
      </c>
      <c r="R98" s="204" t="s">
        <v>16</v>
      </c>
      <c r="S98" s="204" t="s">
        <v>16</v>
      </c>
      <c r="T98" s="204" t="s">
        <v>16</v>
      </c>
      <c r="U98" s="204" t="s">
        <v>16</v>
      </c>
      <c r="V98" s="204"/>
      <c r="W98" s="22"/>
      <c r="X98" s="204" t="s">
        <v>15</v>
      </c>
      <c r="Y98" s="204"/>
      <c r="Z98" s="204"/>
      <c r="AA98" s="204"/>
      <c r="AB98" s="202" t="str">
        <f t="shared" si="2"/>
        <v/>
      </c>
    </row>
    <row r="99" spans="1:28" s="213" customFormat="1" ht="14.5">
      <c r="A99" s="206">
        <v>43106</v>
      </c>
      <c r="B99" s="4" t="s">
        <v>851</v>
      </c>
      <c r="C99" s="4" t="s">
        <v>44</v>
      </c>
      <c r="D99" s="4" t="s">
        <v>860</v>
      </c>
      <c r="E99" s="4"/>
      <c r="F99" s="4">
        <v>2</v>
      </c>
      <c r="G99" s="209">
        <v>2</v>
      </c>
      <c r="H99" s="4" t="s">
        <v>780</v>
      </c>
      <c r="I99" s="4" t="s">
        <v>522</v>
      </c>
      <c r="J99" s="205">
        <v>42184</v>
      </c>
      <c r="K99" s="13" t="str">
        <f>IF(DATEDIF($J99,'Inst summary and ER calculation'!$U$6,"y")=2,"2-3 years","3-4 years")</f>
        <v>2-3 years</v>
      </c>
      <c r="L99" s="6" t="s">
        <v>780</v>
      </c>
      <c r="M99" s="4" t="s">
        <v>780</v>
      </c>
      <c r="N99" s="4">
        <v>19</v>
      </c>
      <c r="O99" s="209">
        <v>87</v>
      </c>
      <c r="P99" s="4" t="s">
        <v>780</v>
      </c>
      <c r="Q99" s="4" t="s">
        <v>780</v>
      </c>
      <c r="R99" s="4" t="s">
        <v>780</v>
      </c>
      <c r="S99" s="4" t="s">
        <v>780</v>
      </c>
      <c r="T99" s="4" t="s">
        <v>780</v>
      </c>
      <c r="U99" s="4" t="s">
        <v>780</v>
      </c>
      <c r="V99" s="4" t="s">
        <v>15</v>
      </c>
      <c r="W99" s="4"/>
      <c r="X99" s="4" t="s">
        <v>15</v>
      </c>
      <c r="Y99" s="4"/>
      <c r="Z99" s="4"/>
      <c r="AA99" s="209"/>
      <c r="AB99" s="202" t="str">
        <f t="shared" ref="AB99:AB103" si="3">IF(Y99="yes",MAX(Z99/(Z99+N99),AA99/(AA99+O99)),"")</f>
        <v/>
      </c>
    </row>
    <row r="100" spans="1:28" s="213" customFormat="1" ht="14.5">
      <c r="A100" s="206">
        <v>43112</v>
      </c>
      <c r="B100" s="4" t="s">
        <v>159</v>
      </c>
      <c r="C100" s="4" t="s">
        <v>425</v>
      </c>
      <c r="D100" s="4" t="s">
        <v>862</v>
      </c>
      <c r="E100" s="4"/>
      <c r="F100" s="4">
        <v>2</v>
      </c>
      <c r="G100" s="209">
        <v>1</v>
      </c>
      <c r="H100" s="4" t="s">
        <v>780</v>
      </c>
      <c r="I100" s="4" t="s">
        <v>424</v>
      </c>
      <c r="J100" s="205">
        <v>42139</v>
      </c>
      <c r="K100" s="13" t="str">
        <f>IF(DATEDIF($J100,'Inst summary and ER calculation'!$U$6,"y")=2,"2-3 years","3-4 years")</f>
        <v>2-3 years</v>
      </c>
      <c r="L100" s="6" t="s">
        <v>780</v>
      </c>
      <c r="M100" s="4" t="s">
        <v>780</v>
      </c>
      <c r="N100" s="4">
        <v>14</v>
      </c>
      <c r="O100" s="209">
        <v>60</v>
      </c>
      <c r="P100" s="4" t="s">
        <v>780</v>
      </c>
      <c r="Q100" s="4" t="s">
        <v>780</v>
      </c>
      <c r="R100" s="4" t="s">
        <v>780</v>
      </c>
      <c r="S100" s="4" t="s">
        <v>780</v>
      </c>
      <c r="T100" s="4" t="s">
        <v>780</v>
      </c>
      <c r="U100" s="4" t="s">
        <v>780</v>
      </c>
      <c r="V100" s="4" t="s">
        <v>15</v>
      </c>
      <c r="W100" s="4"/>
      <c r="X100" s="4" t="s">
        <v>16</v>
      </c>
      <c r="Y100" s="4" t="s">
        <v>16</v>
      </c>
      <c r="Z100" s="4">
        <v>7</v>
      </c>
      <c r="AA100" s="209">
        <v>30</v>
      </c>
      <c r="AB100" s="202">
        <f t="shared" si="3"/>
        <v>0.33333333333333331</v>
      </c>
    </row>
    <row r="101" spans="1:28" s="213" customFormat="1" ht="14.5">
      <c r="A101" s="206">
        <v>43104</v>
      </c>
      <c r="B101" s="204" t="s">
        <v>1282</v>
      </c>
      <c r="C101" s="204" t="s">
        <v>1403</v>
      </c>
      <c r="D101" s="206" t="s">
        <v>1404</v>
      </c>
      <c r="E101" s="204"/>
      <c r="F101" s="204">
        <v>3</v>
      </c>
      <c r="G101" s="204">
        <v>2</v>
      </c>
      <c r="H101" s="204" t="s">
        <v>16</v>
      </c>
      <c r="I101" s="204" t="s">
        <v>421</v>
      </c>
      <c r="J101" s="205">
        <v>42139</v>
      </c>
      <c r="K101" s="13" t="str">
        <f>IF(DATEDIF($J101,'Inst summary and ER calculation'!$U$6,"y")=2,"2-3 years","3-4 years")</f>
        <v>2-3 years</v>
      </c>
      <c r="L101" s="204" t="s">
        <v>16</v>
      </c>
      <c r="M101" s="204" t="s">
        <v>16</v>
      </c>
      <c r="N101" s="204">
        <v>14</v>
      </c>
      <c r="O101" s="204">
        <v>60</v>
      </c>
      <c r="P101" s="204" t="s">
        <v>16</v>
      </c>
      <c r="Q101" s="204" t="s">
        <v>16</v>
      </c>
      <c r="R101" s="204" t="s">
        <v>16</v>
      </c>
      <c r="S101" s="204" t="s">
        <v>16</v>
      </c>
      <c r="T101" s="204" t="s">
        <v>16</v>
      </c>
      <c r="U101" s="204" t="s">
        <v>16</v>
      </c>
      <c r="V101" s="204"/>
      <c r="W101" s="22"/>
      <c r="X101" s="204" t="s">
        <v>15</v>
      </c>
      <c r="Y101" s="204"/>
      <c r="Z101" s="204"/>
      <c r="AA101" s="204"/>
      <c r="AB101" s="202" t="str">
        <f t="shared" si="3"/>
        <v/>
      </c>
    </row>
    <row r="102" spans="1:28" s="213" customFormat="1" ht="14.5">
      <c r="A102" s="206">
        <v>43107</v>
      </c>
      <c r="B102" s="204" t="s">
        <v>1057</v>
      </c>
      <c r="C102" s="204" t="s">
        <v>457</v>
      </c>
      <c r="D102" s="206" t="s">
        <v>1436</v>
      </c>
      <c r="E102" s="204"/>
      <c r="F102" s="204">
        <v>2</v>
      </c>
      <c r="G102" s="204">
        <v>2</v>
      </c>
      <c r="H102" s="204" t="s">
        <v>16</v>
      </c>
      <c r="I102" s="204" t="s">
        <v>511</v>
      </c>
      <c r="J102" s="205">
        <v>42184</v>
      </c>
      <c r="K102" s="13" t="str">
        <f>IF(DATEDIF($J102,'Inst summary and ER calculation'!$U$6,"y")=2,"2-3 years","3-4 years")</f>
        <v>2-3 years</v>
      </c>
      <c r="L102" s="204" t="s">
        <v>16</v>
      </c>
      <c r="M102" s="204" t="s">
        <v>16</v>
      </c>
      <c r="N102" s="204">
        <v>14</v>
      </c>
      <c r="O102" s="204">
        <v>60</v>
      </c>
      <c r="P102" s="204" t="s">
        <v>16</v>
      </c>
      <c r="Q102" s="204" t="s">
        <v>16</v>
      </c>
      <c r="R102" s="204" t="s">
        <v>16</v>
      </c>
      <c r="S102" s="204" t="s">
        <v>16</v>
      </c>
      <c r="T102" s="204" t="s">
        <v>16</v>
      </c>
      <c r="U102" s="204" t="s">
        <v>16</v>
      </c>
      <c r="V102" s="204"/>
      <c r="W102" s="22"/>
      <c r="X102" s="204" t="s">
        <v>15</v>
      </c>
      <c r="Y102" s="204"/>
      <c r="Z102" s="204"/>
      <c r="AA102" s="204"/>
      <c r="AB102" s="202" t="str">
        <f t="shared" si="3"/>
        <v/>
      </c>
    </row>
    <row r="103" spans="1:28" s="213" customFormat="1" ht="14.5">
      <c r="A103" s="206">
        <v>43116</v>
      </c>
      <c r="B103" s="204" t="s">
        <v>1161</v>
      </c>
      <c r="C103" s="204" t="s">
        <v>116</v>
      </c>
      <c r="D103" s="206" t="s">
        <v>1216</v>
      </c>
      <c r="E103" s="204"/>
      <c r="F103" s="204">
        <v>3</v>
      </c>
      <c r="G103" s="204">
        <v>4</v>
      </c>
      <c r="H103" s="204" t="s">
        <v>16</v>
      </c>
      <c r="I103" s="204" t="s">
        <v>326</v>
      </c>
      <c r="J103" s="205">
        <v>42084</v>
      </c>
      <c r="K103" s="13" t="str">
        <f>IF(DATEDIF($J103,'Inst summary and ER calculation'!$U$6,"y")=2,"2-3 years","3-4 years")</f>
        <v>2-3 years</v>
      </c>
      <c r="L103" s="204" t="s">
        <v>16</v>
      </c>
      <c r="M103" s="204" t="s">
        <v>16</v>
      </c>
      <c r="N103" s="204">
        <v>21</v>
      </c>
      <c r="O103" s="204">
        <v>90</v>
      </c>
      <c r="P103" s="204" t="s">
        <v>16</v>
      </c>
      <c r="Q103" s="204" t="s">
        <v>16</v>
      </c>
      <c r="R103" s="204" t="s">
        <v>16</v>
      </c>
      <c r="S103" s="204" t="s">
        <v>16</v>
      </c>
      <c r="T103" s="204" t="s">
        <v>16</v>
      </c>
      <c r="U103" s="204" t="s">
        <v>16</v>
      </c>
      <c r="V103" s="204"/>
      <c r="W103" s="22"/>
      <c r="X103" s="204" t="s">
        <v>15</v>
      </c>
      <c r="Y103" s="204"/>
      <c r="Z103" s="204"/>
      <c r="AA103" s="204"/>
      <c r="AB103" s="202" t="str">
        <f t="shared" si="3"/>
        <v/>
      </c>
    </row>
    <row r="104" spans="1:28" s="213" customFormat="1" ht="14.5">
      <c r="A104" s="206">
        <v>43116</v>
      </c>
      <c r="B104" s="4" t="s">
        <v>857</v>
      </c>
      <c r="C104" s="4" t="s">
        <v>57</v>
      </c>
      <c r="D104" s="4" t="s">
        <v>858</v>
      </c>
      <c r="E104" s="4"/>
      <c r="F104" s="4">
        <v>4</v>
      </c>
      <c r="G104" s="209">
        <v>2</v>
      </c>
      <c r="H104" s="4" t="s">
        <v>780</v>
      </c>
      <c r="I104" s="4" t="s">
        <v>753</v>
      </c>
      <c r="J104" s="205">
        <v>42010</v>
      </c>
      <c r="K104" s="13" t="str">
        <f>IF(DATEDIF($J104,'Inst summary and ER calculation'!$U$6,"y")=2,"2-3 years","3-4 years")</f>
        <v>3-4 years</v>
      </c>
      <c r="L104" s="6" t="s">
        <v>780</v>
      </c>
      <c r="M104" s="4" t="s">
        <v>780</v>
      </c>
      <c r="N104" s="4">
        <v>20</v>
      </c>
      <c r="O104" s="209">
        <v>84</v>
      </c>
      <c r="P104" s="4" t="s">
        <v>780</v>
      </c>
      <c r="Q104" s="4" t="s">
        <v>780</v>
      </c>
      <c r="R104" s="4" t="s">
        <v>780</v>
      </c>
      <c r="S104" s="4" t="s">
        <v>780</v>
      </c>
      <c r="T104" s="4" t="s">
        <v>780</v>
      </c>
      <c r="U104" s="4" t="s">
        <v>780</v>
      </c>
      <c r="V104" s="4" t="s">
        <v>15</v>
      </c>
      <c r="W104" s="4"/>
      <c r="X104" s="4" t="s">
        <v>15</v>
      </c>
      <c r="Y104" s="4"/>
      <c r="Z104" s="4"/>
      <c r="AA104" s="209"/>
      <c r="AB104" s="202"/>
    </row>
    <row r="105" spans="1:28" s="213" customFormat="1" ht="14.5">
      <c r="A105" s="206">
        <v>43103</v>
      </c>
      <c r="B105" s="4" t="s">
        <v>881</v>
      </c>
      <c r="C105" s="4" t="s">
        <v>99</v>
      </c>
      <c r="D105" s="4" t="s">
        <v>882</v>
      </c>
      <c r="E105" s="4"/>
      <c r="F105" s="4">
        <v>3</v>
      </c>
      <c r="G105" s="209">
        <v>4</v>
      </c>
      <c r="H105" s="4" t="s">
        <v>780</v>
      </c>
      <c r="I105" s="4" t="s">
        <v>686</v>
      </c>
      <c r="J105" s="205">
        <v>41941</v>
      </c>
      <c r="K105" s="13" t="str">
        <f>IF(DATEDIF($J105,'Inst summary and ER calculation'!$U$6,"y")=2,"2-3 years","3-4 years")</f>
        <v>3-4 years</v>
      </c>
      <c r="L105" s="6" t="s">
        <v>780</v>
      </c>
      <c r="M105" s="4" t="s">
        <v>780</v>
      </c>
      <c r="N105" s="4">
        <v>18</v>
      </c>
      <c r="O105" s="209">
        <v>86</v>
      </c>
      <c r="P105" s="4" t="s">
        <v>780</v>
      </c>
      <c r="Q105" s="4" t="s">
        <v>780</v>
      </c>
      <c r="R105" s="4" t="s">
        <v>780</v>
      </c>
      <c r="S105" s="4" t="s">
        <v>780</v>
      </c>
      <c r="T105" s="4" t="s">
        <v>780</v>
      </c>
      <c r="U105" s="4" t="s">
        <v>780</v>
      </c>
      <c r="V105" s="4" t="s">
        <v>15</v>
      </c>
      <c r="W105" s="4"/>
      <c r="X105" s="4" t="s">
        <v>15</v>
      </c>
      <c r="Y105" s="4"/>
      <c r="Z105" s="4"/>
      <c r="AA105" s="209"/>
      <c r="AB105" s="202"/>
    </row>
    <row r="106" spans="1:28" s="213" customFormat="1" ht="14.5">
      <c r="A106" s="206">
        <v>43104</v>
      </c>
      <c r="B106" s="4" t="s">
        <v>807</v>
      </c>
      <c r="C106" s="4" t="s">
        <v>688</v>
      </c>
      <c r="D106" s="4" t="s">
        <v>808</v>
      </c>
      <c r="E106" s="4"/>
      <c r="F106" s="4">
        <v>4</v>
      </c>
      <c r="G106" s="209">
        <v>0</v>
      </c>
      <c r="H106" s="4" t="s">
        <v>780</v>
      </c>
      <c r="I106" s="4" t="s">
        <v>687</v>
      </c>
      <c r="J106" s="205">
        <v>41941</v>
      </c>
      <c r="K106" s="13" t="str">
        <f>IF(DATEDIF($J106,'Inst summary and ER calculation'!$U$6,"y")=2,"2-3 years","3-4 years")</f>
        <v>3-4 years</v>
      </c>
      <c r="L106" s="6" t="s">
        <v>780</v>
      </c>
      <c r="M106" s="4" t="s">
        <v>780</v>
      </c>
      <c r="N106" s="4">
        <v>21</v>
      </c>
      <c r="O106" s="209">
        <v>90</v>
      </c>
      <c r="P106" s="4" t="s">
        <v>780</v>
      </c>
      <c r="Q106" s="4" t="s">
        <v>780</v>
      </c>
      <c r="R106" s="4" t="s">
        <v>780</v>
      </c>
      <c r="S106" s="4" t="s">
        <v>780</v>
      </c>
      <c r="T106" s="4" t="s">
        <v>780</v>
      </c>
      <c r="U106" s="4" t="s">
        <v>780</v>
      </c>
      <c r="V106" s="4" t="s">
        <v>15</v>
      </c>
      <c r="W106" s="4"/>
      <c r="X106" s="4" t="s">
        <v>15</v>
      </c>
      <c r="Y106" s="4"/>
      <c r="Z106" s="4"/>
      <c r="AA106" s="209"/>
      <c r="AB106" s="202"/>
    </row>
    <row r="107" spans="1:28" s="213" customFormat="1" ht="14.5">
      <c r="A107" s="206">
        <v>43107</v>
      </c>
      <c r="B107" s="4" t="s">
        <v>41</v>
      </c>
      <c r="C107" s="4" t="s">
        <v>221</v>
      </c>
      <c r="D107" s="4" t="s">
        <v>870</v>
      </c>
      <c r="E107" s="4"/>
      <c r="F107" s="4">
        <v>2</v>
      </c>
      <c r="G107" s="209">
        <v>2</v>
      </c>
      <c r="H107" s="4" t="s">
        <v>780</v>
      </c>
      <c r="I107" s="4" t="s">
        <v>696</v>
      </c>
      <c r="J107" s="205">
        <v>41951</v>
      </c>
      <c r="K107" s="13" t="str">
        <f>IF(DATEDIF($J107,'Inst summary and ER calculation'!$U$6,"y")=2,"2-3 years","3-4 years")</f>
        <v>3-4 years</v>
      </c>
      <c r="L107" s="6" t="s">
        <v>780</v>
      </c>
      <c r="M107" s="4" t="s">
        <v>780</v>
      </c>
      <c r="N107" s="4">
        <v>14</v>
      </c>
      <c r="O107" s="209">
        <v>60</v>
      </c>
      <c r="P107" s="4" t="s">
        <v>780</v>
      </c>
      <c r="Q107" s="4" t="s">
        <v>780</v>
      </c>
      <c r="R107" s="4" t="s">
        <v>780</v>
      </c>
      <c r="S107" s="4" t="s">
        <v>780</v>
      </c>
      <c r="T107" s="4" t="s">
        <v>780</v>
      </c>
      <c r="U107" s="4" t="s">
        <v>780</v>
      </c>
      <c r="V107" s="4" t="s">
        <v>15</v>
      </c>
      <c r="W107" s="4"/>
      <c r="X107" s="4" t="s">
        <v>15</v>
      </c>
      <c r="Y107" s="4"/>
      <c r="Z107" s="4"/>
      <c r="AA107" s="209"/>
      <c r="AB107" s="202"/>
    </row>
    <row r="108" spans="1:28" s="213" customFormat="1" ht="14.5">
      <c r="A108" s="206">
        <v>43115</v>
      </c>
      <c r="B108" s="204" t="s">
        <v>109</v>
      </c>
      <c r="C108" s="204" t="s">
        <v>61</v>
      </c>
      <c r="D108" s="12" t="s">
        <v>1036</v>
      </c>
      <c r="E108" s="12"/>
      <c r="F108" s="204">
        <v>3</v>
      </c>
      <c r="G108" s="204">
        <v>2</v>
      </c>
      <c r="H108" s="204" t="s">
        <v>16</v>
      </c>
      <c r="I108" s="204" t="s">
        <v>647</v>
      </c>
      <c r="J108" s="205">
        <v>41928</v>
      </c>
      <c r="K108" s="13" t="str">
        <f>IF(DATEDIF($J108,'Inst summary and ER calculation'!$U$6,"y")=2,"2-3 years","3-4 years")</f>
        <v>3-4 years</v>
      </c>
      <c r="L108" s="204" t="s">
        <v>16</v>
      </c>
      <c r="M108" s="204" t="s">
        <v>16</v>
      </c>
      <c r="N108" s="204">
        <v>14</v>
      </c>
      <c r="O108" s="204">
        <v>60</v>
      </c>
      <c r="P108" s="204" t="s">
        <v>16</v>
      </c>
      <c r="Q108" s="204" t="s">
        <v>16</v>
      </c>
      <c r="R108" s="204" t="s">
        <v>16</v>
      </c>
      <c r="S108" s="204" t="s">
        <v>16</v>
      </c>
      <c r="T108" s="204" t="s">
        <v>16</v>
      </c>
      <c r="U108" s="204" t="s">
        <v>16</v>
      </c>
      <c r="V108" s="204"/>
      <c r="W108" s="22"/>
      <c r="X108" s="204" t="s">
        <v>15</v>
      </c>
      <c r="Y108" s="4"/>
      <c r="Z108" s="204"/>
      <c r="AA108" s="204"/>
      <c r="AB108" s="202"/>
    </row>
    <row r="109" spans="1:28" s="213" customFormat="1" ht="14.5">
      <c r="A109" s="206">
        <v>43121</v>
      </c>
      <c r="B109" s="204" t="s">
        <v>96</v>
      </c>
      <c r="C109" s="12" t="s">
        <v>68</v>
      </c>
      <c r="D109" s="206" t="s">
        <v>1203</v>
      </c>
      <c r="E109" s="204"/>
      <c r="F109" s="204">
        <v>3</v>
      </c>
      <c r="G109" s="204">
        <v>1</v>
      </c>
      <c r="H109" s="204" t="s">
        <v>16</v>
      </c>
      <c r="I109" s="204" t="s">
        <v>253</v>
      </c>
      <c r="J109" s="205">
        <v>42019</v>
      </c>
      <c r="K109" s="13" t="str">
        <f>IF(DATEDIF($J109,'Inst summary and ER calculation'!$U$6,"y")=2,"2-3 years","3-4 years")</f>
        <v>3-4 years</v>
      </c>
      <c r="L109" s="204" t="s">
        <v>16</v>
      </c>
      <c r="M109" s="204" t="s">
        <v>16</v>
      </c>
      <c r="N109" s="204">
        <v>17</v>
      </c>
      <c r="O109" s="204">
        <v>75</v>
      </c>
      <c r="P109" s="204" t="s">
        <v>16</v>
      </c>
      <c r="Q109" s="204" t="s">
        <v>16</v>
      </c>
      <c r="R109" s="204" t="s">
        <v>16</v>
      </c>
      <c r="S109" s="204" t="s">
        <v>16</v>
      </c>
      <c r="T109" s="204" t="s">
        <v>16</v>
      </c>
      <c r="U109" s="204" t="s">
        <v>16</v>
      </c>
      <c r="V109" s="204"/>
      <c r="W109" s="22"/>
      <c r="X109" s="204" t="s">
        <v>15</v>
      </c>
      <c r="Y109" s="204"/>
      <c r="Z109" s="204"/>
      <c r="AA109" s="204"/>
      <c r="AB109" s="202"/>
    </row>
    <row r="110" spans="1:28" s="213" customFormat="1" ht="14.5">
      <c r="A110" s="206">
        <v>43103</v>
      </c>
      <c r="B110" s="4" t="s">
        <v>531</v>
      </c>
      <c r="C110" s="4" t="s">
        <v>623</v>
      </c>
      <c r="D110" s="4" t="s">
        <v>821</v>
      </c>
      <c r="E110" s="4"/>
      <c r="F110" s="4">
        <v>4</v>
      </c>
      <c r="G110" s="209">
        <v>1</v>
      </c>
      <c r="H110" s="4" t="s">
        <v>780</v>
      </c>
      <c r="I110" s="4" t="s">
        <v>625</v>
      </c>
      <c r="J110" s="205">
        <v>41918</v>
      </c>
      <c r="K110" s="13" t="str">
        <f>IF(DATEDIF($J110,'Inst summary and ER calculation'!$U$6,"y")=2,"2-3 years","3-4 years")</f>
        <v>3-4 years</v>
      </c>
      <c r="L110" s="6" t="s">
        <v>780</v>
      </c>
      <c r="M110" s="4" t="s">
        <v>780</v>
      </c>
      <c r="N110" s="4">
        <v>19</v>
      </c>
      <c r="O110" s="209">
        <v>88</v>
      </c>
      <c r="P110" s="4" t="s">
        <v>780</v>
      </c>
      <c r="Q110" s="4" t="s">
        <v>780</v>
      </c>
      <c r="R110" s="4" t="s">
        <v>780</v>
      </c>
      <c r="S110" s="4" t="s">
        <v>780</v>
      </c>
      <c r="T110" s="4" t="s">
        <v>780</v>
      </c>
      <c r="U110" s="4" t="s">
        <v>780</v>
      </c>
      <c r="V110" s="4" t="s">
        <v>15</v>
      </c>
      <c r="W110" s="4"/>
      <c r="X110" s="4" t="s">
        <v>15</v>
      </c>
      <c r="Y110" s="4"/>
      <c r="Z110" s="4"/>
      <c r="AA110" s="209"/>
      <c r="AB110" s="202"/>
    </row>
    <row r="111" spans="1:28" s="213" customFormat="1" ht="14.5">
      <c r="A111" s="206">
        <v>43124</v>
      </c>
      <c r="B111" s="4" t="s">
        <v>238</v>
      </c>
      <c r="C111" s="4" t="s">
        <v>272</v>
      </c>
      <c r="D111" s="4" t="s">
        <v>894</v>
      </c>
      <c r="E111" s="4"/>
      <c r="F111" s="4">
        <v>3</v>
      </c>
      <c r="G111" s="209">
        <v>0</v>
      </c>
      <c r="H111" s="4" t="s">
        <v>780</v>
      </c>
      <c r="I111" s="4" t="s">
        <v>271</v>
      </c>
      <c r="J111" s="205">
        <v>42042</v>
      </c>
      <c r="K111" s="13" t="str">
        <f>IF(DATEDIF($J111,'Inst summary and ER calculation'!$U$6,"y")=2,"2-3 years","3-4 years")</f>
        <v>3-4 years</v>
      </c>
      <c r="L111" s="6" t="s">
        <v>780</v>
      </c>
      <c r="M111" s="4" t="s">
        <v>780</v>
      </c>
      <c r="N111" s="4">
        <v>18</v>
      </c>
      <c r="O111" s="209">
        <v>64</v>
      </c>
      <c r="P111" s="4" t="s">
        <v>780</v>
      </c>
      <c r="Q111" s="4" t="s">
        <v>780</v>
      </c>
      <c r="R111" s="4" t="s">
        <v>780</v>
      </c>
      <c r="S111" s="4" t="s">
        <v>780</v>
      </c>
      <c r="T111" s="4" t="s">
        <v>780</v>
      </c>
      <c r="U111" s="4" t="s">
        <v>780</v>
      </c>
      <c r="V111" s="4" t="s">
        <v>15</v>
      </c>
      <c r="W111" s="4"/>
      <c r="X111" s="4" t="s">
        <v>15</v>
      </c>
      <c r="Y111" s="4"/>
      <c r="Z111" s="4"/>
      <c r="AA111" s="209"/>
      <c r="AB111" s="202"/>
    </row>
    <row r="112" spans="1:28" s="213" customFormat="1" ht="14.5">
      <c r="A112" s="206">
        <v>43124</v>
      </c>
      <c r="B112" s="204" t="s">
        <v>920</v>
      </c>
      <c r="C112" s="204" t="s">
        <v>168</v>
      </c>
      <c r="D112" s="206" t="s">
        <v>1172</v>
      </c>
      <c r="E112" s="204"/>
      <c r="F112" s="204">
        <v>3</v>
      </c>
      <c r="G112" s="204"/>
      <c r="H112" s="204" t="s">
        <v>16</v>
      </c>
      <c r="I112" s="204" t="s">
        <v>657</v>
      </c>
      <c r="J112" s="205">
        <v>41933</v>
      </c>
      <c r="K112" s="13" t="str">
        <f>IF(DATEDIF($J112,'Inst summary and ER calculation'!$U$6,"y")=2,"2-3 years","3-4 years")</f>
        <v>3-4 years</v>
      </c>
      <c r="L112" s="204" t="s">
        <v>16</v>
      </c>
      <c r="M112" s="204" t="s">
        <v>16</v>
      </c>
      <c r="N112" s="204">
        <v>18</v>
      </c>
      <c r="O112" s="204">
        <v>75</v>
      </c>
      <c r="P112" s="204" t="s">
        <v>16</v>
      </c>
      <c r="Q112" s="204" t="s">
        <v>16</v>
      </c>
      <c r="R112" s="204" t="s">
        <v>16</v>
      </c>
      <c r="S112" s="204" t="s">
        <v>16</v>
      </c>
      <c r="T112" s="204" t="s">
        <v>16</v>
      </c>
      <c r="U112" s="204" t="s">
        <v>16</v>
      </c>
      <c r="V112" s="204"/>
      <c r="W112" s="22"/>
      <c r="X112" s="204" t="s">
        <v>15</v>
      </c>
      <c r="Y112" s="204"/>
      <c r="Z112" s="204"/>
      <c r="AA112" s="204"/>
      <c r="AB112" s="202"/>
    </row>
    <row r="113" spans="1:28" s="213" customFormat="1" ht="14.5">
      <c r="A113" s="206">
        <v>43105</v>
      </c>
      <c r="B113" s="208" t="s">
        <v>535</v>
      </c>
      <c r="C113" s="208" t="s">
        <v>749</v>
      </c>
      <c r="D113" s="208" t="s">
        <v>793</v>
      </c>
      <c r="E113" s="208"/>
      <c r="F113" s="4">
        <v>4</v>
      </c>
      <c r="G113" s="209">
        <v>2</v>
      </c>
      <c r="H113" s="4" t="s">
        <v>780</v>
      </c>
      <c r="I113" s="4" t="s">
        <v>748</v>
      </c>
      <c r="J113" s="205">
        <v>42003</v>
      </c>
      <c r="K113" s="13" t="str">
        <f>IF(DATEDIF($J113,'Inst summary and ER calculation'!$U$6,"y")=2,"2-3 years","3-4 years")</f>
        <v>3-4 years</v>
      </c>
      <c r="L113" s="6" t="s">
        <v>780</v>
      </c>
      <c r="M113" s="4" t="s">
        <v>780</v>
      </c>
      <c r="N113" s="4">
        <v>21</v>
      </c>
      <c r="O113" s="209">
        <v>85</v>
      </c>
      <c r="P113" s="4" t="s">
        <v>780</v>
      </c>
      <c r="Q113" s="4" t="s">
        <v>780</v>
      </c>
      <c r="R113" s="4" t="s">
        <v>780</v>
      </c>
      <c r="S113" s="4" t="s">
        <v>780</v>
      </c>
      <c r="T113" s="4" t="s">
        <v>780</v>
      </c>
      <c r="U113" s="4" t="s">
        <v>780</v>
      </c>
      <c r="V113" s="4" t="s">
        <v>15</v>
      </c>
      <c r="W113" s="4"/>
      <c r="X113" s="4" t="s">
        <v>15</v>
      </c>
      <c r="Y113" s="4"/>
      <c r="Z113" s="4"/>
      <c r="AA113" s="209"/>
      <c r="AB113" s="202"/>
    </row>
    <row r="114" spans="1:28" s="213" customFormat="1" ht="14.5">
      <c r="A114" s="206">
        <v>43124</v>
      </c>
      <c r="B114" s="4" t="s">
        <v>795</v>
      </c>
      <c r="C114" s="4" t="s">
        <v>1603</v>
      </c>
      <c r="D114" s="4" t="s">
        <v>796</v>
      </c>
      <c r="E114" s="4"/>
      <c r="F114" s="4">
        <v>3</v>
      </c>
      <c r="G114" s="209">
        <v>0</v>
      </c>
      <c r="H114" s="4" t="s">
        <v>780</v>
      </c>
      <c r="I114" s="4" t="s">
        <v>736</v>
      </c>
      <c r="J114" s="205">
        <v>41991</v>
      </c>
      <c r="K114" s="13" t="str">
        <f>IF(DATEDIF($J114,'Inst summary and ER calculation'!$U$6,"y")=2,"2-3 years","3-4 years")</f>
        <v>3-4 years</v>
      </c>
      <c r="L114" s="6" t="s">
        <v>780</v>
      </c>
      <c r="M114" s="4" t="s">
        <v>780</v>
      </c>
      <c r="N114" s="4">
        <v>21</v>
      </c>
      <c r="O114" s="209">
        <v>88</v>
      </c>
      <c r="P114" s="4" t="s">
        <v>780</v>
      </c>
      <c r="Q114" s="4" t="s">
        <v>780</v>
      </c>
      <c r="R114" s="4" t="s">
        <v>780</v>
      </c>
      <c r="S114" s="4" t="s">
        <v>780</v>
      </c>
      <c r="T114" s="4" t="s">
        <v>780</v>
      </c>
      <c r="U114" s="4" t="s">
        <v>780</v>
      </c>
      <c r="V114" s="4" t="s">
        <v>15</v>
      </c>
      <c r="W114" s="4"/>
      <c r="X114" s="4" t="s">
        <v>15</v>
      </c>
      <c r="Y114" s="4"/>
      <c r="Z114" s="4"/>
      <c r="AA114" s="209"/>
      <c r="AB114" s="202"/>
    </row>
    <row r="115" spans="1:28" s="213" customFormat="1" ht="14.5">
      <c r="A115" s="206">
        <v>43125</v>
      </c>
      <c r="B115" s="4" t="s">
        <v>162</v>
      </c>
      <c r="C115" s="4" t="s">
        <v>228</v>
      </c>
      <c r="D115" s="4" t="s">
        <v>809</v>
      </c>
      <c r="E115" s="4"/>
      <c r="F115" s="4">
        <v>2</v>
      </c>
      <c r="G115" s="209">
        <v>0</v>
      </c>
      <c r="H115" s="4" t="s">
        <v>780</v>
      </c>
      <c r="I115" s="4" t="s">
        <v>293</v>
      </c>
      <c r="J115" s="205">
        <v>42062</v>
      </c>
      <c r="K115" s="13" t="str">
        <f>IF(DATEDIF($J115,'Inst summary and ER calculation'!$U$6,"y")=2,"2-3 years","3-4 years")</f>
        <v>3-4 years</v>
      </c>
      <c r="L115" s="6" t="s">
        <v>780</v>
      </c>
      <c r="M115" s="4" t="s">
        <v>780</v>
      </c>
      <c r="N115" s="4">
        <v>20</v>
      </c>
      <c r="O115" s="209">
        <v>90</v>
      </c>
      <c r="P115" s="4" t="s">
        <v>780</v>
      </c>
      <c r="Q115" s="4" t="s">
        <v>780</v>
      </c>
      <c r="R115" s="4" t="s">
        <v>780</v>
      </c>
      <c r="S115" s="4" t="s">
        <v>780</v>
      </c>
      <c r="T115" s="4" t="s">
        <v>780</v>
      </c>
      <c r="U115" s="4" t="s">
        <v>780</v>
      </c>
      <c r="V115" s="4" t="s">
        <v>15</v>
      </c>
      <c r="W115" s="4"/>
      <c r="X115" s="4" t="s">
        <v>15</v>
      </c>
      <c r="Y115" s="4"/>
      <c r="Z115" s="4"/>
      <c r="AA115" s="209"/>
      <c r="AB115" s="202"/>
    </row>
    <row r="116" spans="1:28" s="213" customFormat="1" ht="14.5">
      <c r="A116" s="206">
        <v>43113</v>
      </c>
      <c r="B116" s="204" t="s">
        <v>637</v>
      </c>
      <c r="C116" s="204" t="s">
        <v>1337</v>
      </c>
      <c r="D116" s="206" t="s">
        <v>1338</v>
      </c>
      <c r="E116" s="204"/>
      <c r="F116" s="204">
        <v>7</v>
      </c>
      <c r="G116" s="204"/>
      <c r="H116" s="204" t="s">
        <v>16</v>
      </c>
      <c r="I116" s="204" t="s">
        <v>263</v>
      </c>
      <c r="J116" s="205">
        <v>42027</v>
      </c>
      <c r="K116" s="13" t="str">
        <f>IF(DATEDIF($J116,'Inst summary and ER calculation'!$U$6,"y")=2,"2-3 years","3-4 years")</f>
        <v>3-4 years</v>
      </c>
      <c r="L116" s="204" t="s">
        <v>16</v>
      </c>
      <c r="M116" s="204" t="s">
        <v>16</v>
      </c>
      <c r="N116" s="204">
        <v>21</v>
      </c>
      <c r="O116" s="204">
        <v>84</v>
      </c>
      <c r="P116" s="204" t="s">
        <v>16</v>
      </c>
      <c r="Q116" s="204" t="s">
        <v>16</v>
      </c>
      <c r="R116" s="204" t="s">
        <v>16</v>
      </c>
      <c r="S116" s="204" t="s">
        <v>16</v>
      </c>
      <c r="T116" s="204" t="s">
        <v>16</v>
      </c>
      <c r="U116" s="204" t="s">
        <v>16</v>
      </c>
      <c r="V116" s="204"/>
      <c r="W116" s="22"/>
      <c r="X116" s="204" t="s">
        <v>15</v>
      </c>
      <c r="Y116" s="204"/>
      <c r="Z116" s="204"/>
      <c r="AA116" s="204"/>
      <c r="AB116" s="202"/>
    </row>
    <row r="117" spans="1:28" s="213" customFormat="1" ht="14.5">
      <c r="A117" s="206">
        <v>43114</v>
      </c>
      <c r="B117" s="4" t="s">
        <v>41</v>
      </c>
      <c r="C117" s="4" t="s">
        <v>1583</v>
      </c>
      <c r="D117" s="4" t="s">
        <v>788</v>
      </c>
      <c r="E117" s="4"/>
      <c r="F117" s="4">
        <v>4</v>
      </c>
      <c r="G117" s="209">
        <v>1</v>
      </c>
      <c r="H117" s="4" t="s">
        <v>780</v>
      </c>
      <c r="I117" s="4" t="s">
        <v>608</v>
      </c>
      <c r="J117" s="205">
        <v>41897</v>
      </c>
      <c r="K117" s="13" t="str">
        <f>IF(DATEDIF($J117,'Inst summary and ER calculation'!$U$6,"y")=2,"2-3 years","3-4 years")</f>
        <v>3-4 years</v>
      </c>
      <c r="L117" s="6" t="s">
        <v>780</v>
      </c>
      <c r="M117" s="4" t="s">
        <v>780</v>
      </c>
      <c r="N117" s="4">
        <v>14</v>
      </c>
      <c r="O117" s="209">
        <v>60</v>
      </c>
      <c r="P117" s="4" t="s">
        <v>780</v>
      </c>
      <c r="Q117" s="4" t="s">
        <v>780</v>
      </c>
      <c r="R117" s="4" t="s">
        <v>780</v>
      </c>
      <c r="S117" s="4" t="s">
        <v>780</v>
      </c>
      <c r="T117" s="4" t="s">
        <v>780</v>
      </c>
      <c r="U117" s="4" t="s">
        <v>780</v>
      </c>
      <c r="V117" s="4" t="s">
        <v>15</v>
      </c>
      <c r="W117" s="4"/>
      <c r="X117" s="4" t="s">
        <v>15</v>
      </c>
      <c r="Y117" s="4"/>
      <c r="Z117" s="4"/>
      <c r="AA117" s="209"/>
      <c r="AB117" s="202"/>
    </row>
    <row r="118" spans="1:28" s="213" customFormat="1" ht="14.5">
      <c r="A118" s="206">
        <v>43110</v>
      </c>
      <c r="B118" s="4" t="s">
        <v>41</v>
      </c>
      <c r="C118" s="4" t="s">
        <v>1574</v>
      </c>
      <c r="D118" s="4" t="s">
        <v>814</v>
      </c>
      <c r="E118" s="4"/>
      <c r="F118" s="4">
        <v>4</v>
      </c>
      <c r="G118" s="209">
        <v>1</v>
      </c>
      <c r="H118" s="4" t="s">
        <v>780</v>
      </c>
      <c r="I118" s="4" t="s">
        <v>697</v>
      </c>
      <c r="J118" s="205">
        <v>41951</v>
      </c>
      <c r="K118" s="13" t="str">
        <f>IF(DATEDIF($J118,'Inst summary and ER calculation'!$U$6,"y")=2,"2-3 years","3-4 years")</f>
        <v>3-4 years</v>
      </c>
      <c r="L118" s="6" t="s">
        <v>780</v>
      </c>
      <c r="M118" s="4" t="s">
        <v>780</v>
      </c>
      <c r="N118" s="4">
        <v>14</v>
      </c>
      <c r="O118" s="209">
        <v>60</v>
      </c>
      <c r="P118" s="4" t="s">
        <v>780</v>
      </c>
      <c r="Q118" s="4" t="s">
        <v>780</v>
      </c>
      <c r="R118" s="4" t="s">
        <v>780</v>
      </c>
      <c r="S118" s="4" t="s">
        <v>780</v>
      </c>
      <c r="T118" s="4" t="s">
        <v>780</v>
      </c>
      <c r="U118" s="4" t="s">
        <v>780</v>
      </c>
      <c r="V118" s="4" t="s">
        <v>15</v>
      </c>
      <c r="W118" s="4"/>
      <c r="X118" s="4" t="s">
        <v>15</v>
      </c>
      <c r="Y118" s="4"/>
      <c r="Z118" s="4"/>
      <c r="AA118" s="209"/>
      <c r="AB118" s="202"/>
    </row>
    <row r="119" spans="1:28" s="213" customFormat="1" ht="14.5">
      <c r="A119" s="206">
        <v>43118</v>
      </c>
      <c r="B119" s="204" t="s">
        <v>1031</v>
      </c>
      <c r="C119" s="11" t="s">
        <v>50</v>
      </c>
      <c r="D119" s="12" t="s">
        <v>1088</v>
      </c>
      <c r="E119" s="12"/>
      <c r="F119" s="204">
        <v>3</v>
      </c>
      <c r="G119" s="204">
        <v>3</v>
      </c>
      <c r="H119" s="204" t="s">
        <v>16</v>
      </c>
      <c r="I119" s="204" t="s">
        <v>288</v>
      </c>
      <c r="J119" s="205">
        <v>42056</v>
      </c>
      <c r="K119" s="13" t="str">
        <f>IF(DATEDIF($J119,'Inst summary and ER calculation'!$U$6,"y")=2,"2-3 years","3-4 years")</f>
        <v>3-4 years</v>
      </c>
      <c r="L119" s="204" t="s">
        <v>16</v>
      </c>
      <c r="M119" s="204" t="s">
        <v>16</v>
      </c>
      <c r="N119" s="204">
        <v>14</v>
      </c>
      <c r="O119" s="204">
        <v>60</v>
      </c>
      <c r="P119" s="204" t="s">
        <v>16</v>
      </c>
      <c r="Q119" s="204" t="s">
        <v>16</v>
      </c>
      <c r="R119" s="204" t="s">
        <v>16</v>
      </c>
      <c r="S119" s="204" t="s">
        <v>16</v>
      </c>
      <c r="T119" s="204" t="s">
        <v>16</v>
      </c>
      <c r="U119" s="204" t="s">
        <v>16</v>
      </c>
      <c r="V119" s="204"/>
      <c r="W119" s="22"/>
      <c r="X119" s="204" t="s">
        <v>15</v>
      </c>
      <c r="Y119" s="204"/>
      <c r="Z119" s="204"/>
      <c r="AA119" s="204"/>
      <c r="AB119" s="202"/>
    </row>
    <row r="120" spans="1:28" s="213" customFormat="1" ht="14.5">
      <c r="A120" s="206">
        <v>43103</v>
      </c>
      <c r="B120" s="204" t="s">
        <v>622</v>
      </c>
      <c r="C120" s="204" t="s">
        <v>1353</v>
      </c>
      <c r="D120" s="206" t="s">
        <v>1354</v>
      </c>
      <c r="E120" s="204"/>
      <c r="F120" s="204">
        <v>3</v>
      </c>
      <c r="G120" s="204">
        <v>2</v>
      </c>
      <c r="H120" s="204" t="s">
        <v>16</v>
      </c>
      <c r="I120" s="204" t="s">
        <v>287</v>
      </c>
      <c r="J120" s="205">
        <v>42056</v>
      </c>
      <c r="K120" s="13" t="str">
        <f>IF(DATEDIF($J120,'Inst summary and ER calculation'!$U$6,"y")=2,"2-3 years","3-4 years")</f>
        <v>3-4 years</v>
      </c>
      <c r="L120" s="204" t="s">
        <v>16</v>
      </c>
      <c r="M120" s="204" t="s">
        <v>16</v>
      </c>
      <c r="N120" s="204">
        <v>17</v>
      </c>
      <c r="O120" s="204">
        <v>77</v>
      </c>
      <c r="P120" s="204" t="s">
        <v>16</v>
      </c>
      <c r="Q120" s="204" t="s">
        <v>16</v>
      </c>
      <c r="R120" s="204" t="s">
        <v>16</v>
      </c>
      <c r="S120" s="204" t="s">
        <v>16</v>
      </c>
      <c r="T120" s="204" t="s">
        <v>16</v>
      </c>
      <c r="U120" s="204" t="s">
        <v>16</v>
      </c>
      <c r="V120" s="204"/>
      <c r="W120" s="22"/>
      <c r="X120" s="204" t="s">
        <v>15</v>
      </c>
      <c r="Y120" s="204"/>
      <c r="Z120" s="204"/>
      <c r="AA120" s="204"/>
      <c r="AB120" s="202"/>
    </row>
    <row r="121" spans="1:28" s="213" customFormat="1" ht="14.5">
      <c r="A121" s="206">
        <v>43104</v>
      </c>
      <c r="B121" s="204" t="s">
        <v>1031</v>
      </c>
      <c r="C121" s="204" t="s">
        <v>1046</v>
      </c>
      <c r="D121" s="12" t="s">
        <v>1047</v>
      </c>
      <c r="E121" s="12"/>
      <c r="F121" s="204">
        <v>4</v>
      </c>
      <c r="G121" s="204">
        <v>1</v>
      </c>
      <c r="H121" s="204" t="s">
        <v>16</v>
      </c>
      <c r="I121" s="17" t="s">
        <v>685</v>
      </c>
      <c r="J121" s="205">
        <v>41941</v>
      </c>
      <c r="K121" s="13" t="str">
        <f>IF(DATEDIF($J121,'Inst summary and ER calculation'!$U$6,"y")=2,"2-3 years","3-4 years")</f>
        <v>3-4 years</v>
      </c>
      <c r="L121" s="204" t="s">
        <v>16</v>
      </c>
      <c r="M121" s="204" t="s">
        <v>16</v>
      </c>
      <c r="N121" s="204">
        <v>16</v>
      </c>
      <c r="O121" s="204">
        <v>72</v>
      </c>
      <c r="P121" s="204" t="s">
        <v>16</v>
      </c>
      <c r="Q121" s="204" t="s">
        <v>16</v>
      </c>
      <c r="R121" s="204" t="s">
        <v>16</v>
      </c>
      <c r="S121" s="204" t="s">
        <v>16</v>
      </c>
      <c r="T121" s="204" t="s">
        <v>16</v>
      </c>
      <c r="U121" s="204" t="s">
        <v>16</v>
      </c>
      <c r="V121" s="204"/>
      <c r="W121" s="22"/>
      <c r="X121" s="204" t="s">
        <v>15</v>
      </c>
      <c r="Y121" s="204"/>
      <c r="Z121" s="204"/>
      <c r="AA121" s="204"/>
      <c r="AB121" s="202"/>
    </row>
    <row r="122" spans="1:28" s="213" customFormat="1" ht="14.5">
      <c r="A122" s="206">
        <v>43112</v>
      </c>
      <c r="B122" s="204" t="s">
        <v>1018</v>
      </c>
      <c r="C122" s="204" t="s">
        <v>1071</v>
      </c>
      <c r="D122" s="12" t="s">
        <v>1072</v>
      </c>
      <c r="E122" s="12"/>
      <c r="F122" s="204">
        <v>8</v>
      </c>
      <c r="G122" s="204">
        <v>3</v>
      </c>
      <c r="H122" s="204" t="s">
        <v>16</v>
      </c>
      <c r="I122" s="204" t="s">
        <v>241</v>
      </c>
      <c r="J122" s="205">
        <v>42017</v>
      </c>
      <c r="K122" s="13" t="str">
        <f>IF(DATEDIF($J122,'Inst summary and ER calculation'!$U$6,"y")=2,"2-3 years","3-4 years")</f>
        <v>3-4 years</v>
      </c>
      <c r="L122" s="204" t="s">
        <v>16</v>
      </c>
      <c r="M122" s="204" t="s">
        <v>16</v>
      </c>
      <c r="N122" s="204">
        <v>20</v>
      </c>
      <c r="O122" s="204">
        <v>80</v>
      </c>
      <c r="P122" s="204" t="s">
        <v>16</v>
      </c>
      <c r="Q122" s="204" t="s">
        <v>16</v>
      </c>
      <c r="R122" s="204" t="s">
        <v>16</v>
      </c>
      <c r="S122" s="204" t="s">
        <v>16</v>
      </c>
      <c r="T122" s="204" t="s">
        <v>16</v>
      </c>
      <c r="U122" s="204" t="s">
        <v>16</v>
      </c>
      <c r="V122" s="204"/>
      <c r="W122" s="22"/>
      <c r="X122" s="204" t="s">
        <v>15</v>
      </c>
      <c r="Y122" s="204"/>
      <c r="Z122" s="204"/>
      <c r="AA122" s="204"/>
      <c r="AB122" s="202"/>
    </row>
    <row r="123" spans="1:28" s="213" customFormat="1" ht="14.5">
      <c r="A123" s="206">
        <v>43118</v>
      </c>
      <c r="B123" s="204" t="s">
        <v>1279</v>
      </c>
      <c r="C123" s="11" t="s">
        <v>1280</v>
      </c>
      <c r="D123" s="206" t="s">
        <v>1281</v>
      </c>
      <c r="E123" s="204"/>
      <c r="F123" s="204">
        <v>3</v>
      </c>
      <c r="G123" s="204">
        <v>1</v>
      </c>
      <c r="H123" s="204" t="s">
        <v>16</v>
      </c>
      <c r="I123" s="204" t="s">
        <v>603</v>
      </c>
      <c r="J123" s="205">
        <v>41883</v>
      </c>
      <c r="K123" s="13" t="str">
        <f>IF(DATEDIF($J123,'Inst summary and ER calculation'!$U$6,"y")=2,"2-3 years","3-4 years")</f>
        <v>3-4 years</v>
      </c>
      <c r="L123" s="204" t="s">
        <v>16</v>
      </c>
      <c r="M123" s="204" t="s">
        <v>16</v>
      </c>
      <c r="N123" s="204">
        <v>20</v>
      </c>
      <c r="O123" s="204">
        <v>80</v>
      </c>
      <c r="P123" s="204" t="s">
        <v>16</v>
      </c>
      <c r="Q123" s="204" t="s">
        <v>16</v>
      </c>
      <c r="R123" s="204" t="s">
        <v>16</v>
      </c>
      <c r="S123" s="204" t="s">
        <v>16</v>
      </c>
      <c r="T123" s="204" t="s">
        <v>16</v>
      </c>
      <c r="U123" s="204" t="s">
        <v>16</v>
      </c>
      <c r="V123" s="204"/>
      <c r="W123" s="22"/>
      <c r="X123" s="204" t="s">
        <v>15</v>
      </c>
      <c r="Y123" s="204"/>
      <c r="Z123" s="204"/>
      <c r="AA123" s="204"/>
      <c r="AB123" s="202"/>
    </row>
    <row r="124" spans="1:28" s="213" customFormat="1" ht="14.5">
      <c r="A124" s="206">
        <v>43103</v>
      </c>
      <c r="B124" s="208" t="s">
        <v>165</v>
      </c>
      <c r="C124" s="4" t="s">
        <v>1566</v>
      </c>
      <c r="D124" s="209" t="s">
        <v>836</v>
      </c>
      <c r="E124" s="209"/>
      <c r="F124" s="4">
        <v>2</v>
      </c>
      <c r="G124" s="209">
        <v>0</v>
      </c>
      <c r="H124" s="4" t="s">
        <v>780</v>
      </c>
      <c r="I124" s="4" t="s">
        <v>675</v>
      </c>
      <c r="J124" s="205">
        <v>41937</v>
      </c>
      <c r="K124" s="13" t="str">
        <f>IF(DATEDIF($J124,'Inst summary and ER calculation'!$U$6,"y")=2,"2-3 years","3-4 years")</f>
        <v>3-4 years</v>
      </c>
      <c r="L124" s="6" t="s">
        <v>780</v>
      </c>
      <c r="M124" s="4" t="s">
        <v>780</v>
      </c>
      <c r="N124" s="4">
        <v>21</v>
      </c>
      <c r="O124" s="209">
        <v>88</v>
      </c>
      <c r="P124" s="4" t="s">
        <v>780</v>
      </c>
      <c r="Q124" s="4" t="s">
        <v>780</v>
      </c>
      <c r="R124" s="4" t="s">
        <v>780</v>
      </c>
      <c r="S124" s="4" t="s">
        <v>780</v>
      </c>
      <c r="T124" s="4" t="s">
        <v>780</v>
      </c>
      <c r="U124" s="4" t="s">
        <v>780</v>
      </c>
      <c r="V124" s="4" t="s">
        <v>15</v>
      </c>
      <c r="W124" s="4"/>
      <c r="X124" s="4" t="s">
        <v>15</v>
      </c>
      <c r="Y124" s="4"/>
      <c r="Z124" s="4"/>
      <c r="AA124" s="209"/>
      <c r="AB124" s="202"/>
    </row>
    <row r="125" spans="1:28" s="213" customFormat="1" ht="14.5">
      <c r="A125" s="206">
        <v>43113</v>
      </c>
      <c r="B125" s="204" t="s">
        <v>1021</v>
      </c>
      <c r="C125" s="204" t="s">
        <v>1022</v>
      </c>
      <c r="D125" s="12" t="s">
        <v>1023</v>
      </c>
      <c r="E125" s="12"/>
      <c r="F125" s="204">
        <v>2</v>
      </c>
      <c r="G125" s="204">
        <v>1</v>
      </c>
      <c r="H125" s="204" t="s">
        <v>16</v>
      </c>
      <c r="I125" s="204" t="s">
        <v>597</v>
      </c>
      <c r="J125" s="205">
        <v>41874</v>
      </c>
      <c r="K125" s="13" t="str">
        <f>IF(DATEDIF($J125,'Inst summary and ER calculation'!$U$6,"y")=2,"2-3 years","3-4 years")</f>
        <v>3-4 years</v>
      </c>
      <c r="L125" s="204" t="s">
        <v>16</v>
      </c>
      <c r="M125" s="204" t="s">
        <v>16</v>
      </c>
      <c r="N125" s="204">
        <v>20</v>
      </c>
      <c r="O125" s="204">
        <v>80</v>
      </c>
      <c r="P125" s="204" t="s">
        <v>16</v>
      </c>
      <c r="Q125" s="204" t="s">
        <v>16</v>
      </c>
      <c r="R125" s="204" t="s">
        <v>16</v>
      </c>
      <c r="S125" s="204" t="s">
        <v>16</v>
      </c>
      <c r="T125" s="204" t="s">
        <v>16</v>
      </c>
      <c r="U125" s="204" t="s">
        <v>16</v>
      </c>
      <c r="V125" s="204"/>
      <c r="W125" s="22"/>
      <c r="X125" s="204" t="s">
        <v>15</v>
      </c>
      <c r="Y125" s="204"/>
      <c r="Z125" s="204"/>
      <c r="AA125" s="204"/>
      <c r="AB125" s="202"/>
    </row>
    <row r="126" spans="1:28" s="213" customFormat="1" ht="14.5">
      <c r="A126" s="206">
        <v>43111</v>
      </c>
      <c r="B126" s="8" t="s">
        <v>358</v>
      </c>
      <c r="C126" s="4" t="s">
        <v>1576</v>
      </c>
      <c r="D126" s="208" t="s">
        <v>874</v>
      </c>
      <c r="E126" s="208"/>
      <c r="F126" s="4">
        <v>2</v>
      </c>
      <c r="G126" s="209">
        <v>2</v>
      </c>
      <c r="H126" s="4" t="s">
        <v>780</v>
      </c>
      <c r="I126" s="4" t="s">
        <v>606</v>
      </c>
      <c r="J126" s="205">
        <v>41897</v>
      </c>
      <c r="K126" s="13" t="str">
        <f>IF(DATEDIF($J126,'Inst summary and ER calculation'!$U$6,"y")=2,"2-3 years","3-4 years")</f>
        <v>3-4 years</v>
      </c>
      <c r="L126" s="6" t="s">
        <v>780</v>
      </c>
      <c r="M126" s="4" t="s">
        <v>16</v>
      </c>
      <c r="N126" s="4">
        <v>18</v>
      </c>
      <c r="O126" s="209">
        <v>76</v>
      </c>
      <c r="P126" s="4" t="s">
        <v>780</v>
      </c>
      <c r="Q126" s="4" t="s">
        <v>780</v>
      </c>
      <c r="R126" s="4" t="s">
        <v>780</v>
      </c>
      <c r="S126" s="4" t="s">
        <v>780</v>
      </c>
      <c r="T126" s="4" t="s">
        <v>780</v>
      </c>
      <c r="U126" s="4" t="s">
        <v>780</v>
      </c>
      <c r="V126" s="4" t="s">
        <v>15</v>
      </c>
      <c r="W126" s="4"/>
      <c r="X126" s="4" t="s">
        <v>15</v>
      </c>
      <c r="Y126" s="4"/>
      <c r="Z126" s="4"/>
      <c r="AA126" s="209"/>
      <c r="AB126" s="202"/>
    </row>
    <row r="127" spans="1:28" s="213" customFormat="1" ht="14.5">
      <c r="A127" s="206">
        <v>43114</v>
      </c>
      <c r="B127" s="4" t="s">
        <v>537</v>
      </c>
      <c r="C127" s="208" t="s">
        <v>280</v>
      </c>
      <c r="D127" s="4" t="s">
        <v>790</v>
      </c>
      <c r="E127" s="4"/>
      <c r="F127" s="4">
        <v>3</v>
      </c>
      <c r="G127" s="209">
        <v>2</v>
      </c>
      <c r="H127" s="4" t="s">
        <v>780</v>
      </c>
      <c r="I127" s="4" t="s">
        <v>279</v>
      </c>
      <c r="J127" s="205">
        <v>42050</v>
      </c>
      <c r="K127" s="13" t="str">
        <f>IF(DATEDIF($J127,'Inst summary and ER calculation'!$U$6,"y")=2,"2-3 years","3-4 years")</f>
        <v>3-4 years</v>
      </c>
      <c r="L127" s="6" t="s">
        <v>780</v>
      </c>
      <c r="M127" s="4" t="s">
        <v>780</v>
      </c>
      <c r="N127" s="4">
        <v>20</v>
      </c>
      <c r="O127" s="209">
        <v>82</v>
      </c>
      <c r="P127" s="4" t="s">
        <v>780</v>
      </c>
      <c r="Q127" s="4" t="s">
        <v>780</v>
      </c>
      <c r="R127" s="4" t="s">
        <v>780</v>
      </c>
      <c r="S127" s="4" t="s">
        <v>780</v>
      </c>
      <c r="T127" s="4" t="s">
        <v>780</v>
      </c>
      <c r="U127" s="4" t="s">
        <v>780</v>
      </c>
      <c r="V127" s="4" t="s">
        <v>15</v>
      </c>
      <c r="W127" s="4"/>
      <c r="X127" s="4" t="s">
        <v>15</v>
      </c>
      <c r="Y127" s="4"/>
      <c r="Z127" s="4"/>
      <c r="AA127" s="209"/>
      <c r="AB127" s="202"/>
    </row>
    <row r="128" spans="1:28" s="213" customFormat="1" ht="14.5">
      <c r="A128" s="206">
        <v>43115</v>
      </c>
      <c r="B128" s="4" t="s">
        <v>532</v>
      </c>
      <c r="C128" s="4" t="s">
        <v>1585</v>
      </c>
      <c r="D128" s="4" t="s">
        <v>896</v>
      </c>
      <c r="E128" s="4"/>
      <c r="F128" s="4">
        <v>3</v>
      </c>
      <c r="G128" s="209">
        <v>2</v>
      </c>
      <c r="H128" s="4" t="s">
        <v>780</v>
      </c>
      <c r="I128" s="4" t="s">
        <v>732</v>
      </c>
      <c r="J128" s="205">
        <v>41988</v>
      </c>
      <c r="K128" s="13" t="str">
        <f>IF(DATEDIF($J128,'Inst summary and ER calculation'!$U$6,"y")=2,"2-3 years","3-4 years")</f>
        <v>3-4 years</v>
      </c>
      <c r="L128" s="6" t="s">
        <v>780</v>
      </c>
      <c r="M128" s="4" t="s">
        <v>780</v>
      </c>
      <c r="N128" s="4">
        <v>21</v>
      </c>
      <c r="O128" s="209">
        <v>88</v>
      </c>
      <c r="P128" s="4" t="s">
        <v>780</v>
      </c>
      <c r="Q128" s="4" t="s">
        <v>780</v>
      </c>
      <c r="R128" s="4" t="s">
        <v>780</v>
      </c>
      <c r="S128" s="4" t="s">
        <v>780</v>
      </c>
      <c r="T128" s="4" t="s">
        <v>780</v>
      </c>
      <c r="U128" s="4" t="s">
        <v>780</v>
      </c>
      <c r="V128" s="4"/>
      <c r="W128" s="4"/>
      <c r="X128" s="4" t="s">
        <v>15</v>
      </c>
      <c r="Y128" s="4"/>
      <c r="Z128" s="4"/>
      <c r="AA128" s="209"/>
      <c r="AB128" s="202"/>
    </row>
    <row r="129" spans="1:28" s="213" customFormat="1" ht="14.5">
      <c r="A129" s="206">
        <v>43123</v>
      </c>
      <c r="B129" s="4" t="s">
        <v>532</v>
      </c>
      <c r="C129" s="4" t="s">
        <v>1600</v>
      </c>
      <c r="D129" s="4" t="s">
        <v>897</v>
      </c>
      <c r="E129" s="4"/>
      <c r="F129" s="4">
        <v>2</v>
      </c>
      <c r="G129" s="209">
        <v>3</v>
      </c>
      <c r="H129" s="4" t="s">
        <v>780</v>
      </c>
      <c r="I129" s="4" t="s">
        <v>734</v>
      </c>
      <c r="J129" s="205">
        <v>41988</v>
      </c>
      <c r="K129" s="13" t="str">
        <f>IF(DATEDIF($J129,'Inst summary and ER calculation'!$U$6,"y")=2,"2-3 years","3-4 years")</f>
        <v>3-4 years</v>
      </c>
      <c r="L129" s="6" t="s">
        <v>780</v>
      </c>
      <c r="M129" s="4" t="s">
        <v>780</v>
      </c>
      <c r="N129" s="4">
        <v>14</v>
      </c>
      <c r="O129" s="209">
        <v>64</v>
      </c>
      <c r="P129" s="4" t="s">
        <v>780</v>
      </c>
      <c r="Q129" s="4" t="s">
        <v>780</v>
      </c>
      <c r="R129" s="4" t="s">
        <v>780</v>
      </c>
      <c r="S129" s="4" t="s">
        <v>780</v>
      </c>
      <c r="T129" s="4" t="s">
        <v>780</v>
      </c>
      <c r="U129" s="4" t="s">
        <v>780</v>
      </c>
      <c r="V129" s="4" t="s">
        <v>15</v>
      </c>
      <c r="W129" s="4"/>
      <c r="X129" s="4" t="s">
        <v>15</v>
      </c>
      <c r="Y129" s="4"/>
      <c r="Z129" s="4"/>
      <c r="AA129" s="209"/>
      <c r="AB129" s="202"/>
    </row>
    <row r="130" spans="1:28" s="213" customFormat="1" ht="14.5">
      <c r="A130" s="206">
        <v>43116</v>
      </c>
      <c r="B130" s="4" t="s">
        <v>789</v>
      </c>
      <c r="C130" s="4" t="s">
        <v>1586</v>
      </c>
      <c r="D130" s="4" t="s">
        <v>837</v>
      </c>
      <c r="E130" s="4"/>
      <c r="F130" s="4">
        <v>3</v>
      </c>
      <c r="G130" s="209">
        <v>2</v>
      </c>
      <c r="H130" s="4" t="s">
        <v>780</v>
      </c>
      <c r="I130" s="4" t="s">
        <v>720</v>
      </c>
      <c r="J130" s="205">
        <v>41983</v>
      </c>
      <c r="K130" s="13" t="str">
        <f>IF(DATEDIF($J130,'Inst summary and ER calculation'!$U$6,"y")=2,"2-3 years","3-4 years")</f>
        <v>3-4 years</v>
      </c>
      <c r="L130" s="6" t="s">
        <v>780</v>
      </c>
      <c r="M130" s="4" t="s">
        <v>780</v>
      </c>
      <c r="N130" s="4">
        <v>20</v>
      </c>
      <c r="O130" s="209">
        <v>88</v>
      </c>
      <c r="P130" s="4" t="s">
        <v>780</v>
      </c>
      <c r="Q130" s="4" t="s">
        <v>780</v>
      </c>
      <c r="R130" s="4" t="s">
        <v>780</v>
      </c>
      <c r="S130" s="4" t="s">
        <v>780</v>
      </c>
      <c r="T130" s="4" t="s">
        <v>780</v>
      </c>
      <c r="U130" s="4" t="s">
        <v>780</v>
      </c>
      <c r="V130" s="4" t="s">
        <v>15</v>
      </c>
      <c r="W130" s="4"/>
      <c r="X130" s="4" t="s">
        <v>15</v>
      </c>
      <c r="Y130" s="4"/>
      <c r="Z130" s="4"/>
      <c r="AA130" s="209"/>
      <c r="AB130" s="202"/>
    </row>
    <row r="131" spans="1:28" s="213" customFormat="1" ht="14.5">
      <c r="A131" s="206">
        <v>43120</v>
      </c>
      <c r="B131" s="4" t="s">
        <v>789</v>
      </c>
      <c r="C131" s="4" t="s">
        <v>208</v>
      </c>
      <c r="D131" s="4" t="s">
        <v>854</v>
      </c>
      <c r="E131" s="4"/>
      <c r="F131" s="4">
        <v>5</v>
      </c>
      <c r="G131" s="209">
        <v>1</v>
      </c>
      <c r="H131" s="4" t="s">
        <v>780</v>
      </c>
      <c r="I131" s="4" t="s">
        <v>663</v>
      </c>
      <c r="J131" s="205">
        <v>41933</v>
      </c>
      <c r="K131" s="13" t="str">
        <f>IF(DATEDIF($J131,'Inst summary and ER calculation'!$U$6,"y")=2,"2-3 years","3-4 years")</f>
        <v>3-4 years</v>
      </c>
      <c r="L131" s="6" t="s">
        <v>780</v>
      </c>
      <c r="M131" s="4" t="s">
        <v>780</v>
      </c>
      <c r="N131" s="4">
        <v>21</v>
      </c>
      <c r="O131" s="209">
        <v>86</v>
      </c>
      <c r="P131" s="4" t="s">
        <v>780</v>
      </c>
      <c r="Q131" s="4" t="s">
        <v>780</v>
      </c>
      <c r="R131" s="4" t="s">
        <v>780</v>
      </c>
      <c r="S131" s="4" t="s">
        <v>780</v>
      </c>
      <c r="T131" s="4" t="s">
        <v>780</v>
      </c>
      <c r="U131" s="4" t="s">
        <v>780</v>
      </c>
      <c r="V131" s="4" t="s">
        <v>15</v>
      </c>
      <c r="W131" s="4"/>
      <c r="X131" s="4" t="s">
        <v>15</v>
      </c>
      <c r="Y131" s="4"/>
      <c r="Z131" s="4"/>
      <c r="AA131" s="209"/>
      <c r="AB131" s="202"/>
    </row>
    <row r="132" spans="1:28" s="213" customFormat="1" ht="14.5">
      <c r="A132" s="206">
        <v>43105</v>
      </c>
      <c r="B132" s="4" t="s">
        <v>823</v>
      </c>
      <c r="C132" s="4" t="s">
        <v>171</v>
      </c>
      <c r="D132" s="4" t="s">
        <v>861</v>
      </c>
      <c r="E132" s="4"/>
      <c r="F132" s="4">
        <v>6</v>
      </c>
      <c r="G132" s="209">
        <v>0</v>
      </c>
      <c r="H132" s="4" t="s">
        <v>780</v>
      </c>
      <c r="I132" s="4" t="s">
        <v>259</v>
      </c>
      <c r="J132" s="205">
        <v>42025</v>
      </c>
      <c r="K132" s="13" t="str">
        <f>IF(DATEDIF($J132,'Inst summary and ER calculation'!$U$6,"y")=2,"2-3 years","3-4 years")</f>
        <v>3-4 years</v>
      </c>
      <c r="L132" s="6" t="s">
        <v>780</v>
      </c>
      <c r="M132" s="4" t="s">
        <v>780</v>
      </c>
      <c r="N132" s="4">
        <v>18</v>
      </c>
      <c r="O132" s="209">
        <v>80</v>
      </c>
      <c r="P132" s="4" t="s">
        <v>780</v>
      </c>
      <c r="Q132" s="4" t="s">
        <v>780</v>
      </c>
      <c r="R132" s="4" t="s">
        <v>780</v>
      </c>
      <c r="S132" s="4" t="s">
        <v>780</v>
      </c>
      <c r="T132" s="4" t="s">
        <v>780</v>
      </c>
      <c r="U132" s="4" t="s">
        <v>780</v>
      </c>
      <c r="V132" s="4" t="s">
        <v>15</v>
      </c>
      <c r="W132" s="4"/>
      <c r="X132" s="4" t="s">
        <v>15</v>
      </c>
      <c r="Y132" s="4"/>
      <c r="Z132" s="4"/>
      <c r="AA132" s="209"/>
      <c r="AB132" s="202"/>
    </row>
    <row r="133" spans="1:28" s="213" customFormat="1" ht="14.5">
      <c r="A133" s="206">
        <v>43103</v>
      </c>
      <c r="B133" s="208" t="s">
        <v>838</v>
      </c>
      <c r="C133" s="4" t="s">
        <v>183</v>
      </c>
      <c r="D133" s="4" t="s">
        <v>841</v>
      </c>
      <c r="E133" s="4"/>
      <c r="F133" s="4">
        <v>2</v>
      </c>
      <c r="G133" s="209"/>
      <c r="H133" s="4" t="s">
        <v>780</v>
      </c>
      <c r="I133" s="4" t="s">
        <v>730</v>
      </c>
      <c r="J133" s="205">
        <v>41988</v>
      </c>
      <c r="K133" s="13" t="str">
        <f>IF(DATEDIF($J133,'Inst summary and ER calculation'!$U$6,"y")=2,"2-3 years","3-4 years")</f>
        <v>3-4 years</v>
      </c>
      <c r="L133" s="6" t="s">
        <v>780</v>
      </c>
      <c r="M133" s="4" t="s">
        <v>780</v>
      </c>
      <c r="N133" s="4">
        <v>20</v>
      </c>
      <c r="O133" s="209">
        <v>88</v>
      </c>
      <c r="P133" s="4" t="s">
        <v>780</v>
      </c>
      <c r="Q133" s="4" t="s">
        <v>780</v>
      </c>
      <c r="R133" s="4" t="s">
        <v>780</v>
      </c>
      <c r="S133" s="4" t="s">
        <v>780</v>
      </c>
      <c r="T133" s="4" t="s">
        <v>780</v>
      </c>
      <c r="U133" s="4" t="s">
        <v>780</v>
      </c>
      <c r="V133" s="4" t="s">
        <v>15</v>
      </c>
      <c r="W133" s="4"/>
      <c r="X133" s="4" t="s">
        <v>15</v>
      </c>
      <c r="Y133" s="4"/>
      <c r="Z133" s="4"/>
      <c r="AA133" s="209"/>
      <c r="AB133" s="202"/>
    </row>
    <row r="134" spans="1:28" s="213" customFormat="1" ht="14.5">
      <c r="A134" s="206">
        <v>43113</v>
      </c>
      <c r="B134" s="204" t="s">
        <v>1313</v>
      </c>
      <c r="C134" s="204" t="s">
        <v>289</v>
      </c>
      <c r="D134" s="206" t="s">
        <v>1314</v>
      </c>
      <c r="E134" s="204"/>
      <c r="F134" s="204">
        <v>2</v>
      </c>
      <c r="G134" s="204"/>
      <c r="H134" s="204" t="s">
        <v>16</v>
      </c>
      <c r="I134" s="204" t="s">
        <v>701</v>
      </c>
      <c r="J134" s="205">
        <v>41958</v>
      </c>
      <c r="K134" s="13" t="str">
        <f>IF(DATEDIF($J134,'Inst summary and ER calculation'!$U$6,"y")=2,"2-3 years","3-4 years")</f>
        <v>3-4 years</v>
      </c>
      <c r="L134" s="204" t="s">
        <v>16</v>
      </c>
      <c r="M134" s="204" t="s">
        <v>16</v>
      </c>
      <c r="N134" s="204">
        <v>18</v>
      </c>
      <c r="O134" s="204">
        <v>81</v>
      </c>
      <c r="P134" s="204" t="s">
        <v>16</v>
      </c>
      <c r="Q134" s="204" t="s">
        <v>16</v>
      </c>
      <c r="R134" s="204" t="s">
        <v>16</v>
      </c>
      <c r="S134" s="204" t="s">
        <v>16</v>
      </c>
      <c r="T134" s="204" t="s">
        <v>16</v>
      </c>
      <c r="U134" s="204" t="s">
        <v>16</v>
      </c>
      <c r="V134" s="204"/>
      <c r="W134" s="22"/>
      <c r="X134" s="204" t="s">
        <v>15</v>
      </c>
      <c r="Y134" s="204"/>
      <c r="Z134" s="204"/>
      <c r="AA134" s="204"/>
      <c r="AB134" s="202"/>
    </row>
    <row r="135" spans="1:28" s="213" customFormat="1" ht="14.5">
      <c r="A135" s="206">
        <v>43114</v>
      </c>
      <c r="B135" s="208" t="s">
        <v>838</v>
      </c>
      <c r="C135" s="208" t="s">
        <v>223</v>
      </c>
      <c r="D135" s="208" t="s">
        <v>883</v>
      </c>
      <c r="E135" s="208"/>
      <c r="F135" s="4">
        <v>2</v>
      </c>
      <c r="G135" s="209">
        <v>2</v>
      </c>
      <c r="H135" s="4" t="s">
        <v>780</v>
      </c>
      <c r="I135" s="4" t="s">
        <v>252</v>
      </c>
      <c r="J135" s="205">
        <v>42019</v>
      </c>
      <c r="K135" s="13" t="str">
        <f>IF(DATEDIF($J135,'Inst summary and ER calculation'!$U$6,"y")=2,"2-3 years","3-4 years")</f>
        <v>3-4 years</v>
      </c>
      <c r="L135" s="6" t="s">
        <v>780</v>
      </c>
      <c r="M135" s="4" t="s">
        <v>780</v>
      </c>
      <c r="N135" s="4">
        <v>19</v>
      </c>
      <c r="O135" s="209">
        <v>80</v>
      </c>
      <c r="P135" s="4" t="s">
        <v>780</v>
      </c>
      <c r="Q135" s="4" t="s">
        <v>780</v>
      </c>
      <c r="R135" s="4" t="s">
        <v>780</v>
      </c>
      <c r="S135" s="4" t="s">
        <v>780</v>
      </c>
      <c r="T135" s="4" t="s">
        <v>780</v>
      </c>
      <c r="U135" s="4" t="s">
        <v>780</v>
      </c>
      <c r="V135" s="4" t="s">
        <v>15</v>
      </c>
      <c r="W135" s="4"/>
      <c r="X135" s="4" t="s">
        <v>15</v>
      </c>
      <c r="Y135" s="4"/>
      <c r="Z135" s="4"/>
      <c r="AA135" s="209"/>
      <c r="AB135" s="202"/>
    </row>
    <row r="136" spans="1:28" s="213" customFormat="1" ht="14.5">
      <c r="A136" s="206">
        <v>43117</v>
      </c>
      <c r="B136" s="208" t="s">
        <v>838</v>
      </c>
      <c r="C136" s="4" t="s">
        <v>82</v>
      </c>
      <c r="D136" s="4" t="s">
        <v>884</v>
      </c>
      <c r="E136" s="4"/>
      <c r="F136" s="4">
        <v>4</v>
      </c>
      <c r="G136" s="209">
        <v>1</v>
      </c>
      <c r="H136" s="4" t="s">
        <v>780</v>
      </c>
      <c r="I136" s="4" t="s">
        <v>703</v>
      </c>
      <c r="J136" s="205">
        <v>41958</v>
      </c>
      <c r="K136" s="13" t="str">
        <f>IF(DATEDIF($J136,'Inst summary and ER calculation'!$U$6,"y")=2,"2-3 years","3-4 years")</f>
        <v>3-4 years</v>
      </c>
      <c r="L136" s="6" t="s">
        <v>780</v>
      </c>
      <c r="M136" s="4" t="s">
        <v>780</v>
      </c>
      <c r="N136" s="4">
        <v>18</v>
      </c>
      <c r="O136" s="209">
        <v>76</v>
      </c>
      <c r="P136" s="4" t="s">
        <v>780</v>
      </c>
      <c r="Q136" s="4" t="s">
        <v>780</v>
      </c>
      <c r="R136" s="4" t="s">
        <v>780</v>
      </c>
      <c r="S136" s="4" t="s">
        <v>780</v>
      </c>
      <c r="T136" s="4" t="s">
        <v>780</v>
      </c>
      <c r="U136" s="4" t="s">
        <v>780</v>
      </c>
      <c r="V136" s="4" t="s">
        <v>15</v>
      </c>
      <c r="W136" s="4"/>
      <c r="X136" s="4" t="s">
        <v>15</v>
      </c>
      <c r="Y136" s="4"/>
      <c r="Z136" s="4"/>
      <c r="AA136" s="209"/>
      <c r="AB136" s="202"/>
    </row>
    <row r="137" spans="1:28" s="213" customFormat="1" ht="14.5">
      <c r="A137" s="206">
        <v>43112</v>
      </c>
      <c r="B137" s="204" t="s">
        <v>838</v>
      </c>
      <c r="C137" s="11" t="s">
        <v>185</v>
      </c>
      <c r="D137" s="206" t="s">
        <v>1191</v>
      </c>
      <c r="E137" s="204"/>
      <c r="F137" s="204">
        <v>2</v>
      </c>
      <c r="G137" s="204"/>
      <c r="H137" s="204" t="s">
        <v>16</v>
      </c>
      <c r="I137" s="204" t="s">
        <v>726</v>
      </c>
      <c r="J137" s="205">
        <v>41988</v>
      </c>
      <c r="K137" s="13" t="str">
        <f>IF(DATEDIF($J137,'Inst summary and ER calculation'!$U$6,"y")=2,"2-3 years","3-4 years")</f>
        <v>3-4 years</v>
      </c>
      <c r="L137" s="204" t="s">
        <v>16</v>
      </c>
      <c r="M137" s="204" t="s">
        <v>16</v>
      </c>
      <c r="N137" s="204">
        <v>14</v>
      </c>
      <c r="O137" s="204">
        <v>60</v>
      </c>
      <c r="P137" s="204" t="s">
        <v>16</v>
      </c>
      <c r="Q137" s="204" t="s">
        <v>16</v>
      </c>
      <c r="R137" s="204" t="s">
        <v>16</v>
      </c>
      <c r="S137" s="204" t="s">
        <v>16</v>
      </c>
      <c r="T137" s="204" t="s">
        <v>16</v>
      </c>
      <c r="U137" s="204" t="s">
        <v>16</v>
      </c>
      <c r="V137" s="204"/>
      <c r="W137" s="22"/>
      <c r="X137" s="204" t="s">
        <v>15</v>
      </c>
      <c r="Y137" s="204"/>
      <c r="Z137" s="204"/>
      <c r="AA137" s="204"/>
      <c r="AB137" s="202"/>
    </row>
    <row r="138" spans="1:28" s="213" customFormat="1" ht="14.5">
      <c r="A138" s="206">
        <v>43119</v>
      </c>
      <c r="B138" s="204" t="s">
        <v>42</v>
      </c>
      <c r="C138" s="204" t="s">
        <v>204</v>
      </c>
      <c r="D138" s="206" t="s">
        <v>1156</v>
      </c>
      <c r="E138" s="204"/>
      <c r="F138" s="204">
        <v>2</v>
      </c>
      <c r="G138" s="204">
        <v>1</v>
      </c>
      <c r="H138" s="204" t="s">
        <v>16</v>
      </c>
      <c r="I138" s="11" t="s">
        <v>560</v>
      </c>
      <c r="J138" s="205">
        <v>41763</v>
      </c>
      <c r="K138" s="13" t="str">
        <f>IF(DATEDIF($J138,'Inst summary and ER calculation'!$U$6,"y")=2,"2-3 years","3-4 years")</f>
        <v>3-4 years</v>
      </c>
      <c r="L138" s="204" t="s">
        <v>16</v>
      </c>
      <c r="M138" s="204" t="s">
        <v>16</v>
      </c>
      <c r="N138" s="204">
        <v>14</v>
      </c>
      <c r="O138" s="204">
        <v>60</v>
      </c>
      <c r="P138" s="204" t="s">
        <v>16</v>
      </c>
      <c r="Q138" s="204" t="s">
        <v>16</v>
      </c>
      <c r="R138" s="204" t="s">
        <v>16</v>
      </c>
      <c r="S138" s="204" t="s">
        <v>16</v>
      </c>
      <c r="T138" s="204" t="s">
        <v>16</v>
      </c>
      <c r="U138" s="204" t="s">
        <v>16</v>
      </c>
      <c r="V138" s="204"/>
      <c r="W138" s="22"/>
      <c r="X138" s="204" t="s">
        <v>15</v>
      </c>
      <c r="Y138" s="204"/>
      <c r="Z138" s="204"/>
      <c r="AA138" s="204"/>
      <c r="AB138" s="202"/>
    </row>
    <row r="139" spans="1:28" s="213" customFormat="1" ht="14.5">
      <c r="A139" s="206">
        <v>43118</v>
      </c>
      <c r="B139" s="204" t="s">
        <v>1263</v>
      </c>
      <c r="C139" s="204" t="s">
        <v>1264</v>
      </c>
      <c r="D139" s="206" t="s">
        <v>1265</v>
      </c>
      <c r="E139" s="204"/>
      <c r="F139" s="204">
        <v>2</v>
      </c>
      <c r="G139" s="204">
        <v>2</v>
      </c>
      <c r="H139" s="204" t="s">
        <v>16</v>
      </c>
      <c r="I139" s="204" t="s">
        <v>558</v>
      </c>
      <c r="J139" s="205">
        <v>41745</v>
      </c>
      <c r="K139" s="13" t="str">
        <f>IF(DATEDIF($J139,'Inst summary and ER calculation'!$U$6,"y")=2,"2-3 years","3-4 years")</f>
        <v>3-4 years</v>
      </c>
      <c r="L139" s="204" t="s">
        <v>16</v>
      </c>
      <c r="M139" s="204" t="s">
        <v>16</v>
      </c>
      <c r="N139" s="204">
        <v>14</v>
      </c>
      <c r="O139" s="204">
        <v>60</v>
      </c>
      <c r="P139" s="204" t="s">
        <v>16</v>
      </c>
      <c r="Q139" s="204" t="s">
        <v>16</v>
      </c>
      <c r="R139" s="204" t="s">
        <v>16</v>
      </c>
      <c r="S139" s="204" t="s">
        <v>16</v>
      </c>
      <c r="T139" s="204" t="s">
        <v>16</v>
      </c>
      <c r="U139" s="204" t="s">
        <v>16</v>
      </c>
      <c r="V139" s="204"/>
      <c r="W139" s="22"/>
      <c r="X139" s="204" t="s">
        <v>15</v>
      </c>
      <c r="Y139" s="204"/>
      <c r="Z139" s="204"/>
      <c r="AA139" s="204"/>
      <c r="AB139" s="202"/>
    </row>
    <row r="140" spans="1:28" s="213" customFormat="1" ht="14.5">
      <c r="A140" s="206">
        <v>43120</v>
      </c>
      <c r="B140" s="204" t="s">
        <v>1263</v>
      </c>
      <c r="C140" s="204" t="s">
        <v>1311</v>
      </c>
      <c r="D140" s="206" t="s">
        <v>1312</v>
      </c>
      <c r="E140" s="204"/>
      <c r="F140" s="204">
        <v>4</v>
      </c>
      <c r="G140" s="204"/>
      <c r="H140" s="204" t="s">
        <v>16</v>
      </c>
      <c r="I140" s="204" t="s">
        <v>690</v>
      </c>
      <c r="J140" s="205">
        <v>41942</v>
      </c>
      <c r="K140" s="13" t="str">
        <f>IF(DATEDIF($J140,'Inst summary and ER calculation'!$U$6,"y")=2,"2-3 years","3-4 years")</f>
        <v>3-4 years</v>
      </c>
      <c r="L140" s="204" t="s">
        <v>16</v>
      </c>
      <c r="M140" s="204" t="s">
        <v>16</v>
      </c>
      <c r="N140" s="204">
        <v>14</v>
      </c>
      <c r="O140" s="204">
        <v>60</v>
      </c>
      <c r="P140" s="204" t="s">
        <v>16</v>
      </c>
      <c r="Q140" s="204" t="s">
        <v>16</v>
      </c>
      <c r="R140" s="204" t="s">
        <v>16</v>
      </c>
      <c r="S140" s="204" t="s">
        <v>16</v>
      </c>
      <c r="T140" s="204" t="s">
        <v>16</v>
      </c>
      <c r="U140" s="204" t="s">
        <v>16</v>
      </c>
      <c r="V140" s="204"/>
      <c r="W140" s="22"/>
      <c r="X140" s="204" t="s">
        <v>15</v>
      </c>
      <c r="Y140" s="204"/>
      <c r="Z140" s="204"/>
      <c r="AA140" s="204"/>
      <c r="AB140" s="202"/>
    </row>
    <row r="141" spans="1:28" s="213" customFormat="1" ht="14.5">
      <c r="A141" s="206">
        <v>43124</v>
      </c>
      <c r="B141" s="204" t="s">
        <v>1263</v>
      </c>
      <c r="C141" s="11" t="s">
        <v>1266</v>
      </c>
      <c r="D141" s="206" t="s">
        <v>1267</v>
      </c>
      <c r="E141" s="204"/>
      <c r="F141" s="204">
        <v>2</v>
      </c>
      <c r="G141" s="204">
        <v>2</v>
      </c>
      <c r="H141" s="204" t="s">
        <v>16</v>
      </c>
      <c r="I141" s="204" t="s">
        <v>559</v>
      </c>
      <c r="J141" s="205">
        <v>41758</v>
      </c>
      <c r="K141" s="13" t="str">
        <f>IF(DATEDIF($J141,'Inst summary and ER calculation'!$U$6,"y")=2,"2-3 years","3-4 years")</f>
        <v>3-4 years</v>
      </c>
      <c r="L141" s="204" t="s">
        <v>16</v>
      </c>
      <c r="M141" s="204" t="s">
        <v>16</v>
      </c>
      <c r="N141" s="204">
        <v>21</v>
      </c>
      <c r="O141" s="204">
        <v>90</v>
      </c>
      <c r="P141" s="204" t="s">
        <v>16</v>
      </c>
      <c r="Q141" s="204" t="s">
        <v>16</v>
      </c>
      <c r="R141" s="204" t="s">
        <v>16</v>
      </c>
      <c r="S141" s="204" t="s">
        <v>16</v>
      </c>
      <c r="T141" s="204" t="s">
        <v>16</v>
      </c>
      <c r="U141" s="204" t="s">
        <v>16</v>
      </c>
      <c r="V141" s="204"/>
      <c r="W141" s="22"/>
      <c r="X141" s="204" t="s">
        <v>15</v>
      </c>
      <c r="Y141" s="204"/>
      <c r="Z141" s="204"/>
      <c r="AA141" s="204"/>
      <c r="AB141" s="202"/>
    </row>
    <row r="142" spans="1:28" s="213" customFormat="1" ht="14.5">
      <c r="A142" s="206">
        <v>43123</v>
      </c>
      <c r="B142" s="204" t="s">
        <v>1263</v>
      </c>
      <c r="C142" s="11" t="s">
        <v>1292</v>
      </c>
      <c r="D142" s="206" t="s">
        <v>1293</v>
      </c>
      <c r="E142" s="204"/>
      <c r="F142" s="215">
        <v>7</v>
      </c>
      <c r="G142" s="216"/>
      <c r="H142" s="204" t="s">
        <v>16</v>
      </c>
      <c r="I142" s="11" t="s">
        <v>636</v>
      </c>
      <c r="J142" s="205">
        <v>41926</v>
      </c>
      <c r="K142" s="13" t="str">
        <f>IF(DATEDIF($J142,'Inst summary and ER calculation'!$U$6,"y")=2,"2-3 years","3-4 years")</f>
        <v>3-4 years</v>
      </c>
      <c r="L142" s="204" t="s">
        <v>16</v>
      </c>
      <c r="M142" s="204" t="s">
        <v>16</v>
      </c>
      <c r="N142" s="204">
        <v>14</v>
      </c>
      <c r="O142" s="204">
        <v>60</v>
      </c>
      <c r="P142" s="204" t="s">
        <v>16</v>
      </c>
      <c r="Q142" s="204" t="s">
        <v>16</v>
      </c>
      <c r="R142" s="204" t="s">
        <v>16</v>
      </c>
      <c r="S142" s="204" t="s">
        <v>16</v>
      </c>
      <c r="T142" s="204" t="s">
        <v>16</v>
      </c>
      <c r="U142" s="204" t="s">
        <v>16</v>
      </c>
      <c r="V142" s="204"/>
      <c r="W142" s="22"/>
      <c r="X142" s="204" t="s">
        <v>15</v>
      </c>
      <c r="Y142" s="204"/>
      <c r="Z142" s="204"/>
      <c r="AA142" s="204"/>
      <c r="AB142" s="202"/>
    </row>
    <row r="143" spans="1:28" s="213" customFormat="1" ht="14.5">
      <c r="A143" s="206">
        <v>43119</v>
      </c>
      <c r="B143" s="8" t="s">
        <v>158</v>
      </c>
      <c r="C143" s="4" t="s">
        <v>1593</v>
      </c>
      <c r="D143" s="208" t="s">
        <v>890</v>
      </c>
      <c r="E143" s="208"/>
      <c r="F143" s="4">
        <v>5</v>
      </c>
      <c r="G143" s="209">
        <v>2</v>
      </c>
      <c r="H143" s="4" t="s">
        <v>780</v>
      </c>
      <c r="I143" s="4" t="s">
        <v>631</v>
      </c>
      <c r="J143" s="205">
        <v>41920</v>
      </c>
      <c r="K143" s="13" t="str">
        <f>IF(DATEDIF($J143,'Inst summary and ER calculation'!$U$6,"y")=2,"2-3 years","3-4 years")</f>
        <v>3-4 years</v>
      </c>
      <c r="L143" s="6" t="s">
        <v>780</v>
      </c>
      <c r="M143" s="4" t="s">
        <v>780</v>
      </c>
      <c r="N143" s="4">
        <v>18</v>
      </c>
      <c r="O143" s="209">
        <v>76</v>
      </c>
      <c r="P143" s="4" t="s">
        <v>780</v>
      </c>
      <c r="Q143" s="4" t="s">
        <v>780</v>
      </c>
      <c r="R143" s="4" t="s">
        <v>780</v>
      </c>
      <c r="S143" s="4" t="s">
        <v>780</v>
      </c>
      <c r="T143" s="4" t="s">
        <v>780</v>
      </c>
      <c r="U143" s="4" t="s">
        <v>780</v>
      </c>
      <c r="V143" s="4" t="s">
        <v>15</v>
      </c>
      <c r="W143" s="4"/>
      <c r="X143" s="4" t="s">
        <v>15</v>
      </c>
      <c r="Y143" s="4"/>
      <c r="Z143" s="4"/>
      <c r="AA143" s="209"/>
      <c r="AB143" s="202"/>
    </row>
    <row r="144" spans="1:28" s="213" customFormat="1" ht="14.5">
      <c r="A144" s="206">
        <v>43115</v>
      </c>
      <c r="B144" s="4" t="s">
        <v>158</v>
      </c>
      <c r="C144" s="4" t="s">
        <v>1584</v>
      </c>
      <c r="D144" s="4" t="s">
        <v>898</v>
      </c>
      <c r="E144" s="4"/>
      <c r="F144" s="4">
        <v>3</v>
      </c>
      <c r="G144" s="209">
        <v>2</v>
      </c>
      <c r="H144" s="4" t="s">
        <v>780</v>
      </c>
      <c r="I144" s="4" t="s">
        <v>646</v>
      </c>
      <c r="J144" s="205">
        <v>41927</v>
      </c>
      <c r="K144" s="13" t="str">
        <f>IF(DATEDIF($J144,'Inst summary and ER calculation'!$U$6,"y")=2,"2-3 years","3-4 years")</f>
        <v>3-4 years</v>
      </c>
      <c r="L144" s="6" t="s">
        <v>780</v>
      </c>
      <c r="M144" s="4" t="s">
        <v>780</v>
      </c>
      <c r="N144" s="4">
        <v>18</v>
      </c>
      <c r="O144" s="209">
        <v>76</v>
      </c>
      <c r="P144" s="4" t="s">
        <v>780</v>
      </c>
      <c r="Q144" s="4" t="s">
        <v>780</v>
      </c>
      <c r="R144" s="4" t="s">
        <v>780</v>
      </c>
      <c r="S144" s="4" t="s">
        <v>780</v>
      </c>
      <c r="T144" s="4" t="s">
        <v>780</v>
      </c>
      <c r="U144" s="4" t="s">
        <v>780</v>
      </c>
      <c r="V144" s="4" t="s">
        <v>15</v>
      </c>
      <c r="W144" s="4"/>
      <c r="X144" s="4" t="s">
        <v>15</v>
      </c>
      <c r="Y144" s="4"/>
      <c r="Z144" s="4"/>
      <c r="AA144" s="209"/>
      <c r="AB144" s="202"/>
    </row>
    <row r="145" spans="1:28" s="213" customFormat="1" ht="14.5">
      <c r="A145" s="206">
        <v>43113</v>
      </c>
      <c r="B145" s="8" t="s">
        <v>158</v>
      </c>
      <c r="C145" s="4" t="s">
        <v>1582</v>
      </c>
      <c r="D145" s="4" t="s">
        <v>877</v>
      </c>
      <c r="E145" s="4"/>
      <c r="F145" s="4">
        <v>6</v>
      </c>
      <c r="G145" s="209">
        <v>2</v>
      </c>
      <c r="H145" s="4" t="s">
        <v>780</v>
      </c>
      <c r="I145" s="4" t="s">
        <v>591</v>
      </c>
      <c r="J145" s="205">
        <v>41866</v>
      </c>
      <c r="K145" s="13" t="str">
        <f>IF(DATEDIF($J145,'Inst summary and ER calculation'!$U$6,"y")=2,"2-3 years","3-4 years")</f>
        <v>3-4 years</v>
      </c>
      <c r="L145" s="6" t="s">
        <v>780</v>
      </c>
      <c r="M145" s="4" t="s">
        <v>780</v>
      </c>
      <c r="N145" s="4">
        <v>20</v>
      </c>
      <c r="O145" s="209">
        <v>84</v>
      </c>
      <c r="P145" s="4" t="s">
        <v>780</v>
      </c>
      <c r="Q145" s="4" t="s">
        <v>780</v>
      </c>
      <c r="R145" s="4" t="s">
        <v>780</v>
      </c>
      <c r="S145" s="4" t="s">
        <v>780</v>
      </c>
      <c r="T145" s="4" t="s">
        <v>780</v>
      </c>
      <c r="U145" s="4" t="s">
        <v>780</v>
      </c>
      <c r="V145" s="4" t="s">
        <v>15</v>
      </c>
      <c r="W145" s="4"/>
      <c r="X145" s="4" t="s">
        <v>15</v>
      </c>
      <c r="Y145" s="4"/>
      <c r="Z145" s="4"/>
      <c r="AA145" s="209"/>
      <c r="AB145" s="202"/>
    </row>
    <row r="146" spans="1:28" s="213" customFormat="1" ht="14.5">
      <c r="A146" s="206">
        <v>43116</v>
      </c>
      <c r="B146" s="204" t="s">
        <v>117</v>
      </c>
      <c r="C146" s="11" t="s">
        <v>1437</v>
      </c>
      <c r="D146" s="206" t="s">
        <v>1291</v>
      </c>
      <c r="E146" s="204"/>
      <c r="F146" s="204">
        <v>4</v>
      </c>
      <c r="G146" s="204">
        <v>2</v>
      </c>
      <c r="H146" s="204" t="s">
        <v>16</v>
      </c>
      <c r="I146" s="204" t="s">
        <v>626</v>
      </c>
      <c r="J146" s="205">
        <v>41920</v>
      </c>
      <c r="K146" s="13" t="str">
        <f>IF(DATEDIF($J146,'Inst summary and ER calculation'!$U$6,"y")=2,"2-3 years","3-4 years")</f>
        <v>3-4 years</v>
      </c>
      <c r="L146" s="204" t="s">
        <v>16</v>
      </c>
      <c r="M146" s="204" t="s">
        <v>16</v>
      </c>
      <c r="N146" s="204">
        <v>14</v>
      </c>
      <c r="O146" s="204">
        <v>60</v>
      </c>
      <c r="P146" s="204" t="s">
        <v>16</v>
      </c>
      <c r="Q146" s="204" t="s">
        <v>16</v>
      </c>
      <c r="R146" s="204" t="s">
        <v>16</v>
      </c>
      <c r="S146" s="204" t="s">
        <v>16</v>
      </c>
      <c r="T146" s="204" t="s">
        <v>16</v>
      </c>
      <c r="U146" s="204" t="s">
        <v>16</v>
      </c>
      <c r="V146" s="204"/>
      <c r="W146" s="22"/>
      <c r="X146" s="204" t="s">
        <v>15</v>
      </c>
      <c r="Y146" s="204"/>
      <c r="Z146" s="204"/>
      <c r="AA146" s="204"/>
      <c r="AB146" s="202"/>
    </row>
    <row r="147" spans="1:28" s="213" customFormat="1" ht="14.5">
      <c r="A147" s="206">
        <v>43114</v>
      </c>
      <c r="B147" s="4" t="s">
        <v>158</v>
      </c>
      <c r="C147" s="4" t="s">
        <v>630</v>
      </c>
      <c r="D147" s="4" t="s">
        <v>822</v>
      </c>
      <c r="E147" s="4"/>
      <c r="F147" s="4">
        <v>6</v>
      </c>
      <c r="G147" s="209">
        <v>1</v>
      </c>
      <c r="H147" s="4" t="s">
        <v>780</v>
      </c>
      <c r="I147" s="4" t="s">
        <v>629</v>
      </c>
      <c r="J147" s="205">
        <v>41920</v>
      </c>
      <c r="K147" s="13" t="str">
        <f>IF(DATEDIF($J147,'Inst summary and ER calculation'!$U$6,"y")=2,"2-3 years","3-4 years")</f>
        <v>3-4 years</v>
      </c>
      <c r="L147" s="6" t="s">
        <v>780</v>
      </c>
      <c r="M147" s="4" t="s">
        <v>780</v>
      </c>
      <c r="N147" s="4">
        <v>20</v>
      </c>
      <c r="O147" s="209">
        <v>84</v>
      </c>
      <c r="P147" s="4" t="s">
        <v>780</v>
      </c>
      <c r="Q147" s="4" t="s">
        <v>780</v>
      </c>
      <c r="R147" s="4" t="s">
        <v>780</v>
      </c>
      <c r="S147" s="4" t="s">
        <v>780</v>
      </c>
      <c r="T147" s="4" t="s">
        <v>780</v>
      </c>
      <c r="U147" s="4" t="s">
        <v>780</v>
      </c>
      <c r="V147" s="4" t="s">
        <v>15</v>
      </c>
      <c r="W147" s="4"/>
      <c r="X147" s="4" t="s">
        <v>15</v>
      </c>
      <c r="Y147" s="4"/>
      <c r="Z147" s="4"/>
      <c r="AA147" s="209"/>
      <c r="AB147" s="202"/>
    </row>
    <row r="148" spans="1:28" s="213" customFormat="1" ht="14.5">
      <c r="A148" s="206">
        <v>43114</v>
      </c>
      <c r="B148" s="204" t="s">
        <v>117</v>
      </c>
      <c r="C148" s="204" t="s">
        <v>656</v>
      </c>
      <c r="D148" s="206" t="s">
        <v>1350</v>
      </c>
      <c r="E148" s="204"/>
      <c r="F148" s="204">
        <v>2</v>
      </c>
      <c r="G148" s="204">
        <v>1</v>
      </c>
      <c r="H148" s="204" t="s">
        <v>16</v>
      </c>
      <c r="I148" s="12" t="s">
        <v>756</v>
      </c>
      <c r="J148" s="205">
        <v>42050</v>
      </c>
      <c r="K148" s="13" t="str">
        <f>IF(DATEDIF($J148,'Inst summary and ER calculation'!$U$6,"y")=2,"2-3 years","3-4 years")</f>
        <v>3-4 years</v>
      </c>
      <c r="L148" s="204" t="s">
        <v>16</v>
      </c>
      <c r="M148" s="204" t="s">
        <v>16</v>
      </c>
      <c r="N148" s="204">
        <v>14</v>
      </c>
      <c r="O148" s="204">
        <v>60</v>
      </c>
      <c r="P148" s="204" t="s">
        <v>16</v>
      </c>
      <c r="Q148" s="204" t="s">
        <v>16</v>
      </c>
      <c r="R148" s="204" t="s">
        <v>16</v>
      </c>
      <c r="S148" s="204" t="s">
        <v>16</v>
      </c>
      <c r="T148" s="204" t="s">
        <v>16</v>
      </c>
      <c r="U148" s="204" t="s">
        <v>16</v>
      </c>
      <c r="V148" s="204"/>
      <c r="W148" s="22"/>
      <c r="X148" s="204" t="s">
        <v>15</v>
      </c>
      <c r="Y148" s="204"/>
      <c r="Z148" s="204"/>
      <c r="AA148" s="204"/>
      <c r="AB148" s="202"/>
    </row>
    <row r="149" spans="1:28" s="213" customFormat="1" ht="14.5">
      <c r="A149" s="206">
        <v>43107</v>
      </c>
      <c r="B149" s="204" t="s">
        <v>117</v>
      </c>
      <c r="C149" s="204" t="s">
        <v>1334</v>
      </c>
      <c r="D149" s="206" t="s">
        <v>1335</v>
      </c>
      <c r="E149" s="204"/>
      <c r="F149" s="204">
        <v>2</v>
      </c>
      <c r="G149" s="204">
        <v>2</v>
      </c>
      <c r="H149" s="204" t="s">
        <v>16</v>
      </c>
      <c r="I149" s="204" t="s">
        <v>260</v>
      </c>
      <c r="J149" s="205">
        <v>42025</v>
      </c>
      <c r="K149" s="13" t="str">
        <f>IF(DATEDIF($J149,'Inst summary and ER calculation'!$U$6,"y")=2,"2-3 years","3-4 years")</f>
        <v>3-4 years</v>
      </c>
      <c r="L149" s="204" t="s">
        <v>16</v>
      </c>
      <c r="M149" s="204" t="s">
        <v>16</v>
      </c>
      <c r="N149" s="204">
        <v>14</v>
      </c>
      <c r="O149" s="204">
        <v>60</v>
      </c>
      <c r="P149" s="204" t="s">
        <v>16</v>
      </c>
      <c r="Q149" s="204" t="s">
        <v>16</v>
      </c>
      <c r="R149" s="204" t="s">
        <v>16</v>
      </c>
      <c r="S149" s="204" t="s">
        <v>16</v>
      </c>
      <c r="T149" s="204" t="s">
        <v>16</v>
      </c>
      <c r="U149" s="204" t="s">
        <v>16</v>
      </c>
      <c r="V149" s="204"/>
      <c r="W149" s="22"/>
      <c r="X149" s="204" t="s">
        <v>15</v>
      </c>
      <c r="Y149" s="4"/>
      <c r="Z149" s="204"/>
      <c r="AA149" s="204"/>
      <c r="AB149" s="202"/>
    </row>
    <row r="150" spans="1:28" s="213" customFormat="1" ht="14.5">
      <c r="A150" s="206">
        <v>43123</v>
      </c>
      <c r="B150" s="208" t="s">
        <v>158</v>
      </c>
      <c r="C150" s="208" t="s">
        <v>262</v>
      </c>
      <c r="D150" s="208" t="s">
        <v>891</v>
      </c>
      <c r="E150" s="208"/>
      <c r="F150" s="4">
        <v>4</v>
      </c>
      <c r="G150" s="209">
        <v>2</v>
      </c>
      <c r="H150" s="4" t="s">
        <v>780</v>
      </c>
      <c r="I150" s="4" t="s">
        <v>261</v>
      </c>
      <c r="J150" s="205">
        <v>42025</v>
      </c>
      <c r="K150" s="13" t="str">
        <f>IF(DATEDIF($J150,'Inst summary and ER calculation'!$U$6,"y")=2,"2-3 years","3-4 years")</f>
        <v>3-4 years</v>
      </c>
      <c r="L150" s="6" t="s">
        <v>780</v>
      </c>
      <c r="M150" s="4" t="s">
        <v>780</v>
      </c>
      <c r="N150" s="4">
        <v>21</v>
      </c>
      <c r="O150" s="209">
        <v>90</v>
      </c>
      <c r="P150" s="4" t="s">
        <v>780</v>
      </c>
      <c r="Q150" s="4" t="s">
        <v>780</v>
      </c>
      <c r="R150" s="4" t="s">
        <v>780</v>
      </c>
      <c r="S150" s="4" t="s">
        <v>780</v>
      </c>
      <c r="T150" s="4" t="s">
        <v>780</v>
      </c>
      <c r="U150" s="4" t="s">
        <v>780</v>
      </c>
      <c r="V150" s="4" t="s">
        <v>15</v>
      </c>
      <c r="W150" s="4"/>
      <c r="X150" s="4" t="s">
        <v>15</v>
      </c>
      <c r="Y150" s="4"/>
      <c r="Z150" s="4"/>
      <c r="AA150" s="209"/>
      <c r="AB150" s="202"/>
    </row>
    <row r="151" spans="1:28" s="213" customFormat="1" ht="14.5">
      <c r="A151" s="206">
        <v>43107</v>
      </c>
      <c r="B151" s="4" t="s">
        <v>842</v>
      </c>
      <c r="C151" s="4" t="s">
        <v>571</v>
      </c>
      <c r="D151" s="4" t="s">
        <v>869</v>
      </c>
      <c r="E151" s="4"/>
      <c r="F151" s="4">
        <v>3</v>
      </c>
      <c r="G151" s="209">
        <v>2</v>
      </c>
      <c r="H151" s="4" t="s">
        <v>780</v>
      </c>
      <c r="I151" s="4" t="s">
        <v>570</v>
      </c>
      <c r="J151" s="205">
        <v>41805</v>
      </c>
      <c r="K151" s="13" t="str">
        <f>IF(DATEDIF($J151,'Inst summary and ER calculation'!$U$6,"y")=2,"2-3 years","3-4 years")</f>
        <v>3-4 years</v>
      </c>
      <c r="L151" s="6" t="s">
        <v>780</v>
      </c>
      <c r="M151" s="4" t="s">
        <v>780</v>
      </c>
      <c r="N151" s="4">
        <v>18</v>
      </c>
      <c r="O151" s="209">
        <v>76</v>
      </c>
      <c r="P151" s="4" t="s">
        <v>780</v>
      </c>
      <c r="Q151" s="4" t="s">
        <v>780</v>
      </c>
      <c r="R151" s="4" t="s">
        <v>780</v>
      </c>
      <c r="S151" s="4" t="s">
        <v>780</v>
      </c>
      <c r="T151" s="4" t="s">
        <v>780</v>
      </c>
      <c r="U151" s="4" t="s">
        <v>780</v>
      </c>
      <c r="V151" s="4" t="s">
        <v>15</v>
      </c>
      <c r="W151" s="4"/>
      <c r="X151" s="4" t="s">
        <v>15</v>
      </c>
      <c r="Y151" s="4"/>
      <c r="Z151" s="4"/>
      <c r="AA151" s="209"/>
      <c r="AB151" s="202"/>
    </row>
    <row r="152" spans="1:28" s="213" customFormat="1" ht="14.5">
      <c r="A152" s="206">
        <v>43121</v>
      </c>
      <c r="B152" s="204" t="s">
        <v>920</v>
      </c>
      <c r="C152" s="204" t="s">
        <v>662</v>
      </c>
      <c r="D152" s="206" t="s">
        <v>1304</v>
      </c>
      <c r="E152" s="204"/>
      <c r="F152" s="204">
        <v>5</v>
      </c>
      <c r="G152" s="204">
        <v>1</v>
      </c>
      <c r="H152" s="204" t="s">
        <v>16</v>
      </c>
      <c r="I152" s="204" t="s">
        <v>661</v>
      </c>
      <c r="J152" s="205">
        <v>41933</v>
      </c>
      <c r="K152" s="13" t="str">
        <f>IF(DATEDIF($J152,'Inst summary and ER calculation'!$U$6,"y")=2,"2-3 years","3-4 years")</f>
        <v>3-4 years</v>
      </c>
      <c r="L152" s="204" t="s">
        <v>16</v>
      </c>
      <c r="M152" s="204" t="s">
        <v>16</v>
      </c>
      <c r="N152" s="204">
        <v>21</v>
      </c>
      <c r="O152" s="204">
        <v>85</v>
      </c>
      <c r="P152" s="204" t="s">
        <v>16</v>
      </c>
      <c r="Q152" s="204" t="s">
        <v>16</v>
      </c>
      <c r="R152" s="204" t="s">
        <v>16</v>
      </c>
      <c r="S152" s="204" t="s">
        <v>16</v>
      </c>
      <c r="T152" s="204" t="s">
        <v>16</v>
      </c>
      <c r="U152" s="204" t="s">
        <v>16</v>
      </c>
      <c r="V152" s="204"/>
      <c r="W152" s="22"/>
      <c r="X152" s="204" t="s">
        <v>15</v>
      </c>
      <c r="Y152" s="204"/>
      <c r="Z152" s="204"/>
      <c r="AA152" s="204"/>
      <c r="AB152" s="202"/>
    </row>
    <row r="153" spans="1:28" s="213" customFormat="1" ht="14.5">
      <c r="A153" s="206">
        <v>43106</v>
      </c>
      <c r="B153" s="4" t="s">
        <v>534</v>
      </c>
      <c r="C153" s="208" t="s">
        <v>106</v>
      </c>
      <c r="D153" s="4" t="s">
        <v>820</v>
      </c>
      <c r="E153" s="4"/>
      <c r="F153" s="4">
        <v>2</v>
      </c>
      <c r="G153" s="209">
        <v>2</v>
      </c>
      <c r="H153" s="4" t="s">
        <v>780</v>
      </c>
      <c r="I153" s="4" t="s">
        <v>277</v>
      </c>
      <c r="J153" s="205">
        <v>42050</v>
      </c>
      <c r="K153" s="13" t="str">
        <f>IF(DATEDIF($J153,'Inst summary and ER calculation'!$U$6,"y")=2,"2-3 years","3-4 years")</f>
        <v>3-4 years</v>
      </c>
      <c r="L153" s="6" t="s">
        <v>780</v>
      </c>
      <c r="M153" s="4" t="s">
        <v>780</v>
      </c>
      <c r="N153" s="4">
        <v>20</v>
      </c>
      <c r="O153" s="209">
        <v>84</v>
      </c>
      <c r="P153" s="4" t="s">
        <v>780</v>
      </c>
      <c r="Q153" s="4" t="s">
        <v>780</v>
      </c>
      <c r="R153" s="4" t="s">
        <v>780</v>
      </c>
      <c r="S153" s="4" t="s">
        <v>780</v>
      </c>
      <c r="T153" s="4" t="s">
        <v>780</v>
      </c>
      <c r="U153" s="4" t="s">
        <v>780</v>
      </c>
      <c r="V153" s="4" t="s">
        <v>15</v>
      </c>
      <c r="W153" s="4"/>
      <c r="X153" s="4" t="s">
        <v>15</v>
      </c>
      <c r="Y153" s="4"/>
      <c r="Z153" s="4"/>
      <c r="AA153" s="209"/>
      <c r="AB153" s="202"/>
    </row>
    <row r="154" spans="1:28" s="213" customFormat="1" ht="14.5">
      <c r="A154" s="206">
        <v>43125</v>
      </c>
      <c r="B154" s="4" t="s">
        <v>534</v>
      </c>
      <c r="C154" s="208" t="s">
        <v>178</v>
      </c>
      <c r="D154" s="4" t="s">
        <v>826</v>
      </c>
      <c r="E154" s="4"/>
      <c r="F154" s="4">
        <v>3</v>
      </c>
      <c r="G154" s="209">
        <v>2</v>
      </c>
      <c r="H154" s="4" t="s">
        <v>780</v>
      </c>
      <c r="I154" s="4" t="s">
        <v>281</v>
      </c>
      <c r="J154" s="205">
        <v>42053</v>
      </c>
      <c r="K154" s="13" t="str">
        <f>IF(DATEDIF($J154,'Inst summary and ER calculation'!$U$6,"y")=2,"2-3 years","3-4 years")</f>
        <v>3-4 years</v>
      </c>
      <c r="L154" s="6" t="s">
        <v>780</v>
      </c>
      <c r="M154" s="4" t="s">
        <v>780</v>
      </c>
      <c r="N154" s="4">
        <v>18</v>
      </c>
      <c r="O154" s="209">
        <v>76</v>
      </c>
      <c r="P154" s="4" t="s">
        <v>780</v>
      </c>
      <c r="Q154" s="4" t="s">
        <v>780</v>
      </c>
      <c r="R154" s="4" t="s">
        <v>780</v>
      </c>
      <c r="S154" s="4" t="s">
        <v>780</v>
      </c>
      <c r="T154" s="4" t="s">
        <v>780</v>
      </c>
      <c r="U154" s="4" t="s">
        <v>780</v>
      </c>
      <c r="V154" s="4" t="s">
        <v>15</v>
      </c>
      <c r="W154" s="4"/>
      <c r="X154" s="4" t="s">
        <v>15</v>
      </c>
      <c r="Y154" s="4"/>
      <c r="Z154" s="4"/>
      <c r="AA154" s="209"/>
      <c r="AB154" s="202"/>
    </row>
    <row r="155" spans="1:28" s="213" customFormat="1" ht="14.5">
      <c r="A155" s="206">
        <v>43107</v>
      </c>
      <c r="B155" s="204" t="s">
        <v>906</v>
      </c>
      <c r="C155" s="204" t="s">
        <v>215</v>
      </c>
      <c r="D155" s="206" t="s">
        <v>1178</v>
      </c>
      <c r="E155" s="204"/>
      <c r="F155" s="204">
        <v>4</v>
      </c>
      <c r="G155" s="204"/>
      <c r="H155" s="204" t="s">
        <v>16</v>
      </c>
      <c r="I155" s="204" t="s">
        <v>679</v>
      </c>
      <c r="J155" s="205">
        <v>41940</v>
      </c>
      <c r="K155" s="13" t="str">
        <f>IF(DATEDIF($J155,'Inst summary and ER calculation'!$U$6,"y")=2,"2-3 years","3-4 years")</f>
        <v>3-4 years</v>
      </c>
      <c r="L155" s="204" t="s">
        <v>16</v>
      </c>
      <c r="M155" s="204" t="s">
        <v>16</v>
      </c>
      <c r="N155" s="204">
        <v>18</v>
      </c>
      <c r="O155" s="204">
        <v>72</v>
      </c>
      <c r="P155" s="204" t="s">
        <v>16</v>
      </c>
      <c r="Q155" s="204" t="s">
        <v>16</v>
      </c>
      <c r="R155" s="204" t="s">
        <v>16</v>
      </c>
      <c r="S155" s="204" t="s">
        <v>16</v>
      </c>
      <c r="T155" s="204" t="s">
        <v>16</v>
      </c>
      <c r="U155" s="204" t="s">
        <v>16</v>
      </c>
      <c r="V155" s="204"/>
      <c r="W155" s="22"/>
      <c r="X155" s="204" t="s">
        <v>15</v>
      </c>
      <c r="Y155" s="204"/>
      <c r="Z155" s="204"/>
      <c r="AA155" s="204"/>
      <c r="AB155" s="202"/>
    </row>
    <row r="156" spans="1:28" s="213" customFormat="1" ht="14.5">
      <c r="A156" s="206">
        <v>43104</v>
      </c>
      <c r="B156" s="204" t="s">
        <v>19</v>
      </c>
      <c r="C156" s="11" t="s">
        <v>115</v>
      </c>
      <c r="D156" s="206" t="s">
        <v>1294</v>
      </c>
      <c r="E156" s="204"/>
      <c r="F156" s="204">
        <v>4</v>
      </c>
      <c r="G156" s="204">
        <v>1</v>
      </c>
      <c r="H156" s="204" t="s">
        <v>16</v>
      </c>
      <c r="I156" s="204" t="s">
        <v>640</v>
      </c>
      <c r="J156" s="205">
        <v>41927</v>
      </c>
      <c r="K156" s="13" t="str">
        <f>IF(DATEDIF($J156,'Inst summary and ER calculation'!$U$6,"y")=2,"2-3 years","3-4 years")</f>
        <v>3-4 years</v>
      </c>
      <c r="L156" s="204" t="s">
        <v>16</v>
      </c>
      <c r="M156" s="204" t="s">
        <v>16</v>
      </c>
      <c r="N156" s="204">
        <v>14</v>
      </c>
      <c r="O156" s="204">
        <v>60</v>
      </c>
      <c r="P156" s="204" t="s">
        <v>16</v>
      </c>
      <c r="Q156" s="204" t="s">
        <v>16</v>
      </c>
      <c r="R156" s="204" t="s">
        <v>16</v>
      </c>
      <c r="S156" s="204" t="s">
        <v>16</v>
      </c>
      <c r="T156" s="204" t="s">
        <v>16</v>
      </c>
      <c r="U156" s="204" t="s">
        <v>16</v>
      </c>
      <c r="V156" s="204"/>
      <c r="W156" s="22"/>
      <c r="X156" s="204" t="s">
        <v>15</v>
      </c>
      <c r="Y156" s="204"/>
      <c r="Z156" s="204"/>
      <c r="AA156" s="204"/>
      <c r="AB156" s="202"/>
    </row>
    <row r="157" spans="1:28" s="213" customFormat="1" ht="14.5">
      <c r="A157" s="206">
        <v>43112</v>
      </c>
      <c r="B157" s="204" t="s">
        <v>1329</v>
      </c>
      <c r="C157" s="204" t="s">
        <v>77</v>
      </c>
      <c r="D157" s="206" t="s">
        <v>1330</v>
      </c>
      <c r="E157" s="204"/>
      <c r="F157" s="204">
        <v>2</v>
      </c>
      <c r="G157" s="204">
        <v>3</v>
      </c>
      <c r="H157" s="204" t="s">
        <v>16</v>
      </c>
      <c r="I157" s="204" t="s">
        <v>254</v>
      </c>
      <c r="J157" s="205">
        <v>42020</v>
      </c>
      <c r="K157" s="13" t="str">
        <f>IF(DATEDIF($J157,'Inst summary and ER calculation'!$U$6,"y")=2,"2-3 years","3-4 years")</f>
        <v>3-4 years</v>
      </c>
      <c r="L157" s="204" t="s">
        <v>16</v>
      </c>
      <c r="M157" s="204" t="s">
        <v>16</v>
      </c>
      <c r="N157" s="204">
        <v>20</v>
      </c>
      <c r="O157" s="204">
        <v>80</v>
      </c>
      <c r="P157" s="204" t="s">
        <v>16</v>
      </c>
      <c r="Q157" s="204" t="s">
        <v>16</v>
      </c>
      <c r="R157" s="204" t="s">
        <v>16</v>
      </c>
      <c r="S157" s="204" t="s">
        <v>16</v>
      </c>
      <c r="T157" s="204" t="s">
        <v>16</v>
      </c>
      <c r="U157" s="204" t="s">
        <v>16</v>
      </c>
      <c r="V157" s="204"/>
      <c r="W157" s="22"/>
      <c r="X157" s="204" t="s">
        <v>15</v>
      </c>
      <c r="Y157" s="204"/>
      <c r="Z157" s="204"/>
      <c r="AA157" s="204"/>
      <c r="AB157" s="202"/>
    </row>
    <row r="158" spans="1:28" s="213" customFormat="1" ht="14.5">
      <c r="A158" s="206">
        <v>43113</v>
      </c>
      <c r="B158" s="204" t="s">
        <v>1164</v>
      </c>
      <c r="C158" s="204" t="s">
        <v>577</v>
      </c>
      <c r="D158" s="206" t="s">
        <v>1206</v>
      </c>
      <c r="E158" s="204"/>
      <c r="F158" s="204">
        <v>2</v>
      </c>
      <c r="G158" s="204">
        <v>2</v>
      </c>
      <c r="H158" s="204" t="s">
        <v>16</v>
      </c>
      <c r="I158" s="204" t="s">
        <v>294</v>
      </c>
      <c r="J158" s="205">
        <v>42062</v>
      </c>
      <c r="K158" s="13" t="str">
        <f>IF(DATEDIF($J158,'Inst summary and ER calculation'!$U$6,"y")=2,"2-3 years","3-4 years")</f>
        <v>3-4 years</v>
      </c>
      <c r="L158" s="204" t="s">
        <v>16</v>
      </c>
      <c r="M158" s="204" t="s">
        <v>16</v>
      </c>
      <c r="N158" s="204">
        <v>18</v>
      </c>
      <c r="O158" s="204">
        <v>72</v>
      </c>
      <c r="P158" s="204" t="s">
        <v>16</v>
      </c>
      <c r="Q158" s="204" t="s">
        <v>16</v>
      </c>
      <c r="R158" s="204" t="s">
        <v>16</v>
      </c>
      <c r="S158" s="204" t="s">
        <v>16</v>
      </c>
      <c r="T158" s="204" t="s">
        <v>16</v>
      </c>
      <c r="U158" s="204" t="s">
        <v>16</v>
      </c>
      <c r="V158" s="204"/>
      <c r="W158" s="22"/>
      <c r="X158" s="204" t="s">
        <v>15</v>
      </c>
      <c r="Y158" s="204"/>
      <c r="Z158" s="204"/>
      <c r="AA158" s="204"/>
      <c r="AB158" s="202"/>
    </row>
    <row r="159" spans="1:28" s="213" customFormat="1" ht="14.5">
      <c r="A159" s="206">
        <v>43118</v>
      </c>
      <c r="B159" s="4" t="s">
        <v>795</v>
      </c>
      <c r="C159" s="4" t="s">
        <v>1590</v>
      </c>
      <c r="D159" s="4" t="s">
        <v>797</v>
      </c>
      <c r="E159" s="4"/>
      <c r="F159" s="4">
        <v>3</v>
      </c>
      <c r="G159" s="209">
        <v>0</v>
      </c>
      <c r="H159" s="4" t="s">
        <v>780</v>
      </c>
      <c r="I159" s="4" t="s">
        <v>596</v>
      </c>
      <c r="J159" s="205">
        <v>41872</v>
      </c>
      <c r="K159" s="13" t="str">
        <f>IF(DATEDIF($J159,'Inst summary and ER calculation'!$U$6,"y")=2,"2-3 years","3-4 years")</f>
        <v>3-4 years</v>
      </c>
      <c r="L159" s="6" t="s">
        <v>780</v>
      </c>
      <c r="M159" s="4" t="s">
        <v>780</v>
      </c>
      <c r="N159" s="4">
        <v>21</v>
      </c>
      <c r="O159" s="209">
        <v>90</v>
      </c>
      <c r="P159" s="4" t="s">
        <v>780</v>
      </c>
      <c r="Q159" s="4" t="s">
        <v>780</v>
      </c>
      <c r="R159" s="4" t="s">
        <v>780</v>
      </c>
      <c r="S159" s="4" t="s">
        <v>780</v>
      </c>
      <c r="T159" s="4" t="s">
        <v>780</v>
      </c>
      <c r="U159" s="4" t="s">
        <v>780</v>
      </c>
      <c r="V159" s="4" t="s">
        <v>15</v>
      </c>
      <c r="W159" s="4"/>
      <c r="X159" s="4" t="s">
        <v>15</v>
      </c>
      <c r="Y159" s="4"/>
      <c r="Z159" s="4"/>
      <c r="AA159" s="209"/>
      <c r="AB159" s="202"/>
    </row>
    <row r="160" spans="1:28" s="213" customFormat="1" ht="14.5">
      <c r="A160" s="206">
        <v>43120</v>
      </c>
      <c r="B160" s="8" t="s">
        <v>785</v>
      </c>
      <c r="C160" s="4" t="s">
        <v>1595</v>
      </c>
      <c r="D160" s="208" t="s">
        <v>848</v>
      </c>
      <c r="E160" s="208"/>
      <c r="F160" s="208">
        <v>2</v>
      </c>
      <c r="G160" s="209">
        <v>3</v>
      </c>
      <c r="H160" s="4" t="s">
        <v>780</v>
      </c>
      <c r="I160" s="4" t="s">
        <v>615</v>
      </c>
      <c r="J160" s="205">
        <v>41909</v>
      </c>
      <c r="K160" s="13" t="str">
        <f>IF(DATEDIF($J160,'Inst summary and ER calculation'!$U$6,"y")=2,"2-3 years","3-4 years")</f>
        <v>3-4 years</v>
      </c>
      <c r="L160" s="6" t="s">
        <v>780</v>
      </c>
      <c r="M160" s="4" t="s">
        <v>780</v>
      </c>
      <c r="N160" s="4">
        <v>14</v>
      </c>
      <c r="O160" s="209">
        <v>72</v>
      </c>
      <c r="P160" s="4" t="s">
        <v>780</v>
      </c>
      <c r="Q160" s="4" t="s">
        <v>780</v>
      </c>
      <c r="R160" s="4" t="s">
        <v>780</v>
      </c>
      <c r="S160" s="4" t="s">
        <v>780</v>
      </c>
      <c r="T160" s="4" t="s">
        <v>780</v>
      </c>
      <c r="U160" s="4" t="s">
        <v>780</v>
      </c>
      <c r="V160" s="4" t="s">
        <v>15</v>
      </c>
      <c r="W160" s="4"/>
      <c r="X160" s="4" t="s">
        <v>15</v>
      </c>
      <c r="Y160" s="4"/>
      <c r="Z160" s="4"/>
      <c r="AA160" s="209"/>
      <c r="AB160" s="202"/>
    </row>
    <row r="161" spans="1:28" s="213" customFormat="1" ht="14.5">
      <c r="A161" s="206">
        <v>43122</v>
      </c>
      <c r="B161" s="208" t="s">
        <v>872</v>
      </c>
      <c r="C161" s="4" t="s">
        <v>1599</v>
      </c>
      <c r="D161" s="209" t="s">
        <v>873</v>
      </c>
      <c r="E161" s="208"/>
      <c r="F161" s="4">
        <v>5</v>
      </c>
      <c r="G161" s="209">
        <v>3</v>
      </c>
      <c r="H161" s="4" t="s">
        <v>780</v>
      </c>
      <c r="I161" s="4" t="s">
        <v>290</v>
      </c>
      <c r="J161" s="205">
        <v>42056</v>
      </c>
      <c r="K161" s="13" t="str">
        <f>IF(DATEDIF($J161,'Inst summary and ER calculation'!$U$6,"y")=2,"2-3 years","3-4 years")</f>
        <v>3-4 years</v>
      </c>
      <c r="L161" s="6" t="s">
        <v>780</v>
      </c>
      <c r="M161" s="4" t="s">
        <v>780</v>
      </c>
      <c r="N161" s="4">
        <v>21</v>
      </c>
      <c r="O161" s="209">
        <v>90</v>
      </c>
      <c r="P161" s="4" t="s">
        <v>780</v>
      </c>
      <c r="Q161" s="4" t="s">
        <v>780</v>
      </c>
      <c r="R161" s="4" t="s">
        <v>780</v>
      </c>
      <c r="S161" s="4" t="s">
        <v>780</v>
      </c>
      <c r="T161" s="4" t="s">
        <v>780</v>
      </c>
      <c r="U161" s="4" t="s">
        <v>780</v>
      </c>
      <c r="V161" s="4" t="s">
        <v>15</v>
      </c>
      <c r="W161" s="4"/>
      <c r="X161" s="4" t="s">
        <v>15</v>
      </c>
      <c r="Y161" s="4"/>
      <c r="Z161" s="4"/>
      <c r="AA161" s="209"/>
      <c r="AB161" s="202"/>
    </row>
    <row r="162" spans="1:28" s="213" customFormat="1" ht="14.5">
      <c r="A162" s="206">
        <v>43116</v>
      </c>
      <c r="B162" s="4" t="s">
        <v>43</v>
      </c>
      <c r="C162" s="4" t="s">
        <v>1587</v>
      </c>
      <c r="D162" s="4" t="s">
        <v>889</v>
      </c>
      <c r="E162" s="4"/>
      <c r="F162" s="4">
        <v>2</v>
      </c>
      <c r="G162" s="209">
        <v>3</v>
      </c>
      <c r="H162" s="4" t="s">
        <v>780</v>
      </c>
      <c r="I162" s="4" t="s">
        <v>247</v>
      </c>
      <c r="J162" s="205">
        <v>42017</v>
      </c>
      <c r="K162" s="13" t="str">
        <f>IF(DATEDIF($J162,'Inst summary and ER calculation'!$U$6,"y")=2,"2-3 years","3-4 years")</f>
        <v>3-4 years</v>
      </c>
      <c r="L162" s="6" t="s">
        <v>780</v>
      </c>
      <c r="M162" s="4" t="s">
        <v>780</v>
      </c>
      <c r="N162" s="4">
        <v>21</v>
      </c>
      <c r="O162" s="209">
        <v>88</v>
      </c>
      <c r="P162" s="4" t="s">
        <v>780</v>
      </c>
      <c r="Q162" s="4" t="s">
        <v>780</v>
      </c>
      <c r="R162" s="4" t="s">
        <v>780</v>
      </c>
      <c r="S162" s="4" t="s">
        <v>780</v>
      </c>
      <c r="T162" s="4" t="s">
        <v>780</v>
      </c>
      <c r="U162" s="4" t="s">
        <v>780</v>
      </c>
      <c r="V162" s="4" t="s">
        <v>15</v>
      </c>
      <c r="W162" s="4"/>
      <c r="X162" s="4" t="s">
        <v>15</v>
      </c>
      <c r="Y162" s="4"/>
      <c r="Z162" s="4"/>
      <c r="AA162" s="209"/>
      <c r="AB162" s="202"/>
    </row>
    <row r="163" spans="1:28" s="213" customFormat="1" ht="14.5">
      <c r="A163" s="206">
        <v>43104</v>
      </c>
      <c r="B163" s="4" t="s">
        <v>172</v>
      </c>
      <c r="C163" s="4" t="s">
        <v>1567</v>
      </c>
      <c r="D163" s="4" t="s">
        <v>844</v>
      </c>
      <c r="E163" s="4"/>
      <c r="F163" s="4">
        <v>2</v>
      </c>
      <c r="G163" s="209">
        <v>2</v>
      </c>
      <c r="H163" s="4" t="s">
        <v>780</v>
      </c>
      <c r="I163" s="4" t="s">
        <v>292</v>
      </c>
      <c r="J163" s="205">
        <v>42060</v>
      </c>
      <c r="K163" s="13" t="str">
        <f>IF(DATEDIF($J163,'Inst summary and ER calculation'!$U$6,"y")=2,"2-3 years","3-4 years")</f>
        <v>3-4 years</v>
      </c>
      <c r="L163" s="6" t="s">
        <v>780</v>
      </c>
      <c r="M163" s="4" t="s">
        <v>780</v>
      </c>
      <c r="N163" s="4">
        <v>14</v>
      </c>
      <c r="O163" s="209">
        <v>70</v>
      </c>
      <c r="P163" s="4" t="s">
        <v>780</v>
      </c>
      <c r="Q163" s="4" t="s">
        <v>780</v>
      </c>
      <c r="R163" s="4" t="s">
        <v>780</v>
      </c>
      <c r="S163" s="4" t="s">
        <v>780</v>
      </c>
      <c r="T163" s="4" t="s">
        <v>780</v>
      </c>
      <c r="U163" s="4" t="s">
        <v>780</v>
      </c>
      <c r="V163" s="4" t="s">
        <v>15</v>
      </c>
      <c r="W163" s="4"/>
      <c r="X163" s="4" t="s">
        <v>15</v>
      </c>
      <c r="Y163" s="4"/>
      <c r="Z163" s="4"/>
      <c r="AA163" s="209"/>
      <c r="AB163" s="202"/>
    </row>
    <row r="164" spans="1:28" s="213" customFormat="1" ht="14.5">
      <c r="A164" s="206">
        <v>43124</v>
      </c>
      <c r="B164" s="4" t="s">
        <v>885</v>
      </c>
      <c r="C164" s="4" t="s">
        <v>1604</v>
      </c>
      <c r="D164" s="4" t="s">
        <v>888</v>
      </c>
      <c r="E164" s="4"/>
      <c r="F164" s="4">
        <v>3</v>
      </c>
      <c r="G164" s="209"/>
      <c r="H164" s="4" t="s">
        <v>780</v>
      </c>
      <c r="I164" s="4" t="s">
        <v>645</v>
      </c>
      <c r="J164" s="205">
        <v>41927</v>
      </c>
      <c r="K164" s="13" t="str">
        <f>IF(DATEDIF($J164,'Inst summary and ER calculation'!$U$6,"y")=2,"2-3 years","3-4 years")</f>
        <v>3-4 years</v>
      </c>
      <c r="L164" s="6" t="s">
        <v>780</v>
      </c>
      <c r="M164" s="4" t="s">
        <v>780</v>
      </c>
      <c r="N164" s="4">
        <v>18</v>
      </c>
      <c r="O164" s="209">
        <v>76</v>
      </c>
      <c r="P164" s="4" t="s">
        <v>780</v>
      </c>
      <c r="Q164" s="4" t="s">
        <v>780</v>
      </c>
      <c r="R164" s="4" t="s">
        <v>780</v>
      </c>
      <c r="S164" s="4" t="s">
        <v>780</v>
      </c>
      <c r="T164" s="4" t="s">
        <v>780</v>
      </c>
      <c r="U164" s="4" t="s">
        <v>780</v>
      </c>
      <c r="V164" s="4" t="s">
        <v>15</v>
      </c>
      <c r="W164" s="4"/>
      <c r="X164" s="4" t="s">
        <v>15</v>
      </c>
      <c r="Y164" s="4"/>
      <c r="Z164" s="4"/>
      <c r="AA164" s="209"/>
      <c r="AB164" s="202"/>
    </row>
    <row r="165" spans="1:28" s="213" customFormat="1" ht="14.5">
      <c r="A165" s="206">
        <v>43125</v>
      </c>
      <c r="B165" s="4" t="s">
        <v>885</v>
      </c>
      <c r="C165" s="4" t="s">
        <v>1607</v>
      </c>
      <c r="D165" s="209" t="s">
        <v>886</v>
      </c>
      <c r="E165" s="209"/>
      <c r="F165" s="4">
        <v>2</v>
      </c>
      <c r="G165" s="209">
        <v>1</v>
      </c>
      <c r="H165" s="4" t="s">
        <v>780</v>
      </c>
      <c r="I165" s="4" t="s">
        <v>565</v>
      </c>
      <c r="J165" s="205">
        <v>41774</v>
      </c>
      <c r="K165" s="13" t="str">
        <f>IF(DATEDIF($J165,'Inst summary and ER calculation'!$U$6,"y")=2,"2-3 years","3-4 years")</f>
        <v>3-4 years</v>
      </c>
      <c r="L165" s="6" t="s">
        <v>780</v>
      </c>
      <c r="M165" s="4" t="s">
        <v>780</v>
      </c>
      <c r="N165" s="4">
        <v>21</v>
      </c>
      <c r="O165" s="209">
        <v>90</v>
      </c>
      <c r="P165" s="4" t="s">
        <v>780</v>
      </c>
      <c r="Q165" s="4" t="s">
        <v>780</v>
      </c>
      <c r="R165" s="4" t="s">
        <v>780</v>
      </c>
      <c r="S165" s="4" t="s">
        <v>780</v>
      </c>
      <c r="T165" s="4" t="s">
        <v>780</v>
      </c>
      <c r="U165" s="4" t="s">
        <v>780</v>
      </c>
      <c r="V165" s="4" t="s">
        <v>15</v>
      </c>
      <c r="W165" s="4"/>
      <c r="X165" s="4" t="s">
        <v>15</v>
      </c>
      <c r="Y165" s="4"/>
      <c r="Z165" s="4"/>
      <c r="AA165" s="209"/>
      <c r="AB165" s="202"/>
    </row>
    <row r="166" spans="1:28" s="213" customFormat="1" ht="14.5">
      <c r="A166" s="206">
        <v>43109</v>
      </c>
      <c r="B166" s="4" t="s">
        <v>803</v>
      </c>
      <c r="C166" s="4" t="s">
        <v>63</v>
      </c>
      <c r="D166" s="4" t="s">
        <v>835</v>
      </c>
      <c r="E166" s="4"/>
      <c r="F166" s="4">
        <v>4</v>
      </c>
      <c r="G166" s="209">
        <v>2</v>
      </c>
      <c r="H166" s="4" t="s">
        <v>780</v>
      </c>
      <c r="I166" s="4" t="s">
        <v>619</v>
      </c>
      <c r="J166" s="205">
        <v>41911</v>
      </c>
      <c r="K166" s="13" t="str">
        <f>IF(DATEDIF($J166,'Inst summary and ER calculation'!$U$6,"y")=2,"2-3 years","3-4 years")</f>
        <v>3-4 years</v>
      </c>
      <c r="L166" s="6" t="s">
        <v>780</v>
      </c>
      <c r="M166" s="4" t="s">
        <v>780</v>
      </c>
      <c r="N166" s="4">
        <v>18</v>
      </c>
      <c r="O166" s="209">
        <v>76</v>
      </c>
      <c r="P166" s="4" t="s">
        <v>780</v>
      </c>
      <c r="Q166" s="4" t="s">
        <v>780</v>
      </c>
      <c r="R166" s="4" t="s">
        <v>780</v>
      </c>
      <c r="S166" s="4" t="s">
        <v>780</v>
      </c>
      <c r="T166" s="4" t="s">
        <v>780</v>
      </c>
      <c r="U166" s="4" t="s">
        <v>780</v>
      </c>
      <c r="V166" s="4" t="s">
        <v>15</v>
      </c>
      <c r="W166" s="4"/>
      <c r="X166" s="4" t="s">
        <v>15</v>
      </c>
      <c r="Y166" s="4"/>
      <c r="Z166" s="4"/>
      <c r="AA166" s="209"/>
      <c r="AB166" s="202"/>
    </row>
    <row r="167" spans="1:28" s="213" customFormat="1" ht="14.5">
      <c r="A167" s="206">
        <v>43119</v>
      </c>
      <c r="B167" s="204" t="s">
        <v>970</v>
      </c>
      <c r="C167" s="11" t="s">
        <v>741</v>
      </c>
      <c r="D167" s="206" t="s">
        <v>1193</v>
      </c>
      <c r="E167" s="204"/>
      <c r="F167" s="204">
        <v>3</v>
      </c>
      <c r="G167" s="204">
        <v>1</v>
      </c>
      <c r="H167" s="204" t="s">
        <v>16</v>
      </c>
      <c r="I167" s="204" t="s">
        <v>740</v>
      </c>
      <c r="J167" s="205">
        <v>41996</v>
      </c>
      <c r="K167" s="13" t="str">
        <f>IF(DATEDIF($J167,'Inst summary and ER calculation'!$U$6,"y")=2,"2-3 years","3-4 years")</f>
        <v>3-4 years</v>
      </c>
      <c r="L167" s="204" t="s">
        <v>16</v>
      </c>
      <c r="M167" s="204" t="s">
        <v>16</v>
      </c>
      <c r="N167" s="204">
        <v>15</v>
      </c>
      <c r="O167" s="204">
        <v>75</v>
      </c>
      <c r="P167" s="204" t="s">
        <v>16</v>
      </c>
      <c r="Q167" s="204" t="s">
        <v>16</v>
      </c>
      <c r="R167" s="204" t="s">
        <v>16</v>
      </c>
      <c r="S167" s="204" t="s">
        <v>16</v>
      </c>
      <c r="T167" s="204" t="s">
        <v>16</v>
      </c>
      <c r="U167" s="204" t="s">
        <v>16</v>
      </c>
      <c r="V167" s="204"/>
      <c r="W167" s="22"/>
      <c r="X167" s="204" t="s">
        <v>15</v>
      </c>
      <c r="Y167" s="204"/>
      <c r="Z167" s="204"/>
      <c r="AA167" s="204"/>
      <c r="AB167" s="202"/>
    </row>
    <row r="168" spans="1:28" s="213" customFormat="1" ht="14.5">
      <c r="A168" s="206">
        <v>43112</v>
      </c>
      <c r="B168" s="204" t="s">
        <v>1318</v>
      </c>
      <c r="C168" s="204" t="s">
        <v>1346</v>
      </c>
      <c r="D168" s="206" t="s">
        <v>1347</v>
      </c>
      <c r="E168" s="204"/>
      <c r="F168" s="204">
        <v>2</v>
      </c>
      <c r="G168" s="204">
        <v>1</v>
      </c>
      <c r="H168" s="204" t="s">
        <v>16</v>
      </c>
      <c r="I168" s="204" t="s">
        <v>274</v>
      </c>
      <c r="J168" s="205">
        <v>42047</v>
      </c>
      <c r="K168" s="13" t="str">
        <f>IF(DATEDIF($J168,'Inst summary and ER calculation'!$U$6,"y")=2,"2-3 years","3-4 years")</f>
        <v>3-4 years</v>
      </c>
      <c r="L168" s="204" t="s">
        <v>16</v>
      </c>
      <c r="M168" s="204" t="s">
        <v>16</v>
      </c>
      <c r="N168" s="204">
        <v>21</v>
      </c>
      <c r="O168" s="204">
        <v>90</v>
      </c>
      <c r="P168" s="204" t="s">
        <v>16</v>
      </c>
      <c r="Q168" s="204" t="s">
        <v>16</v>
      </c>
      <c r="R168" s="204" t="s">
        <v>16</v>
      </c>
      <c r="S168" s="204" t="s">
        <v>16</v>
      </c>
      <c r="T168" s="204" t="s">
        <v>16</v>
      </c>
      <c r="U168" s="204" t="s">
        <v>16</v>
      </c>
      <c r="V168" s="204"/>
      <c r="W168" s="22"/>
      <c r="X168" s="204" t="s">
        <v>15</v>
      </c>
      <c r="Y168" s="204"/>
      <c r="Z168" s="204"/>
      <c r="AA168" s="204"/>
      <c r="AB168" s="202"/>
    </row>
    <row r="169" spans="1:28" s="213" customFormat="1" ht="14.5">
      <c r="A169" s="206">
        <v>43108</v>
      </c>
      <c r="B169" s="204" t="s">
        <v>163</v>
      </c>
      <c r="C169" s="204" t="s">
        <v>201</v>
      </c>
      <c r="D169" s="206" t="s">
        <v>1158</v>
      </c>
      <c r="E169" s="204"/>
      <c r="F169" s="204">
        <v>2</v>
      </c>
      <c r="G169" s="204">
        <v>3</v>
      </c>
      <c r="H169" s="204" t="s">
        <v>16</v>
      </c>
      <c r="I169" s="204" t="s">
        <v>587</v>
      </c>
      <c r="J169" s="205">
        <v>41864</v>
      </c>
      <c r="K169" s="13" t="str">
        <f>IF(DATEDIF($J169,'Inst summary and ER calculation'!$U$6,"y")=2,"2-3 years","3-4 years")</f>
        <v>3-4 years</v>
      </c>
      <c r="L169" s="204" t="s">
        <v>16</v>
      </c>
      <c r="M169" s="204" t="s">
        <v>16</v>
      </c>
      <c r="N169" s="204">
        <v>14</v>
      </c>
      <c r="O169" s="204">
        <v>60</v>
      </c>
      <c r="P169" s="204" t="s">
        <v>16</v>
      </c>
      <c r="Q169" s="204" t="s">
        <v>16</v>
      </c>
      <c r="R169" s="204" t="s">
        <v>16</v>
      </c>
      <c r="S169" s="204" t="s">
        <v>16</v>
      </c>
      <c r="T169" s="204" t="s">
        <v>16</v>
      </c>
      <c r="U169" s="204" t="s">
        <v>16</v>
      </c>
      <c r="V169" s="204"/>
      <c r="W169" s="22"/>
      <c r="X169" s="204" t="s">
        <v>15</v>
      </c>
      <c r="Y169" s="204"/>
      <c r="Z169" s="204"/>
      <c r="AA169" s="204"/>
      <c r="AB169" s="202"/>
    </row>
    <row r="170" spans="1:28" s="213" customFormat="1" ht="14.5">
      <c r="A170" s="206">
        <v>43112</v>
      </c>
      <c r="B170" s="204" t="s">
        <v>1273</v>
      </c>
      <c r="C170" s="204" t="s">
        <v>1321</v>
      </c>
      <c r="D170" s="206" t="s">
        <v>1322</v>
      </c>
      <c r="E170" s="204"/>
      <c r="F170" s="204">
        <v>3</v>
      </c>
      <c r="G170" s="204">
        <v>6</v>
      </c>
      <c r="H170" s="204" t="s">
        <v>16</v>
      </c>
      <c r="I170" s="204" t="s">
        <v>744</v>
      </c>
      <c r="J170" s="205">
        <v>42002</v>
      </c>
      <c r="K170" s="13" t="str">
        <f>IF(DATEDIF($J170,'Inst summary and ER calculation'!$U$6,"y")=2,"2-3 years","3-4 years")</f>
        <v>3-4 years</v>
      </c>
      <c r="L170" s="204" t="s">
        <v>16</v>
      </c>
      <c r="M170" s="204" t="s">
        <v>16</v>
      </c>
      <c r="N170" s="204">
        <v>21</v>
      </c>
      <c r="O170" s="204">
        <v>90</v>
      </c>
      <c r="P170" s="204" t="s">
        <v>16</v>
      </c>
      <c r="Q170" s="204" t="s">
        <v>16</v>
      </c>
      <c r="R170" s="204" t="s">
        <v>16</v>
      </c>
      <c r="S170" s="204" t="s">
        <v>16</v>
      </c>
      <c r="T170" s="204" t="s">
        <v>16</v>
      </c>
      <c r="U170" s="204" t="s">
        <v>16</v>
      </c>
      <c r="V170" s="204"/>
      <c r="W170" s="22"/>
      <c r="X170" s="204" t="s">
        <v>15</v>
      </c>
      <c r="Y170" s="204"/>
      <c r="Z170" s="204"/>
      <c r="AA170" s="204"/>
      <c r="AB170" s="202"/>
    </row>
    <row r="171" spans="1:28" s="213" customFormat="1" ht="14.5">
      <c r="A171" s="206">
        <v>43114</v>
      </c>
      <c r="B171" s="204" t="s">
        <v>1326</v>
      </c>
      <c r="C171" s="204" t="s">
        <v>1327</v>
      </c>
      <c r="D171" s="206" t="s">
        <v>1328</v>
      </c>
      <c r="E171" s="204"/>
      <c r="F171" s="204">
        <v>4</v>
      </c>
      <c r="G171" s="204">
        <v>1</v>
      </c>
      <c r="H171" s="204" t="s">
        <v>16</v>
      </c>
      <c r="I171" s="204" t="s">
        <v>246</v>
      </c>
      <c r="J171" s="205">
        <v>42017</v>
      </c>
      <c r="K171" s="13" t="str">
        <f>IF(DATEDIF($J171,'Inst summary and ER calculation'!$U$6,"y")=2,"2-3 years","3-4 years")</f>
        <v>3-4 years</v>
      </c>
      <c r="L171" s="204" t="s">
        <v>16</v>
      </c>
      <c r="M171" s="204" t="s">
        <v>16</v>
      </c>
      <c r="N171" s="204">
        <v>21</v>
      </c>
      <c r="O171" s="204">
        <v>90</v>
      </c>
      <c r="P171" s="204" t="s">
        <v>16</v>
      </c>
      <c r="Q171" s="204" t="s">
        <v>16</v>
      </c>
      <c r="R171" s="204" t="s">
        <v>16</v>
      </c>
      <c r="S171" s="204" t="s">
        <v>16</v>
      </c>
      <c r="T171" s="204" t="s">
        <v>16</v>
      </c>
      <c r="U171" s="204" t="s">
        <v>16</v>
      </c>
      <c r="V171" s="204"/>
      <c r="W171" s="22"/>
      <c r="X171" s="204" t="s">
        <v>15</v>
      </c>
      <c r="Y171" s="204"/>
      <c r="Z171" s="204"/>
      <c r="AA171" s="204"/>
      <c r="AB171" s="202"/>
    </row>
    <row r="172" spans="1:28" s="213" customFormat="1" ht="14.5">
      <c r="A172" s="206">
        <v>43104</v>
      </c>
      <c r="B172" s="204" t="s">
        <v>101</v>
      </c>
      <c r="C172" s="204" t="s">
        <v>84</v>
      </c>
      <c r="D172" s="12" t="s">
        <v>1039</v>
      </c>
      <c r="E172" s="12"/>
      <c r="F172" s="204">
        <v>2</v>
      </c>
      <c r="G172" s="204">
        <v>3</v>
      </c>
      <c r="H172" s="204" t="s">
        <v>16</v>
      </c>
      <c r="I172" s="204" t="s">
        <v>666</v>
      </c>
      <c r="J172" s="205">
        <v>41935</v>
      </c>
      <c r="K172" s="13" t="str">
        <f>IF(DATEDIF($J172,'Inst summary and ER calculation'!$U$6,"y")=2,"2-3 years","3-4 years")</f>
        <v>3-4 years</v>
      </c>
      <c r="L172" s="204" t="s">
        <v>16</v>
      </c>
      <c r="M172" s="204" t="s">
        <v>16</v>
      </c>
      <c r="N172" s="204">
        <v>14</v>
      </c>
      <c r="O172" s="204">
        <v>60</v>
      </c>
      <c r="P172" s="204" t="s">
        <v>16</v>
      </c>
      <c r="Q172" s="204" t="s">
        <v>16</v>
      </c>
      <c r="R172" s="204" t="s">
        <v>16</v>
      </c>
      <c r="S172" s="204" t="s">
        <v>16</v>
      </c>
      <c r="T172" s="204" t="s">
        <v>16</v>
      </c>
      <c r="U172" s="204" t="s">
        <v>16</v>
      </c>
      <c r="V172" s="204"/>
      <c r="W172" s="22"/>
      <c r="X172" s="204" t="s">
        <v>15</v>
      </c>
      <c r="Y172" s="204"/>
      <c r="Z172" s="204"/>
      <c r="AA172" s="204"/>
      <c r="AB172" s="202"/>
    </row>
    <row r="173" spans="1:28" s="213" customFormat="1" ht="14.5">
      <c r="A173" s="206">
        <v>43118</v>
      </c>
      <c r="B173" s="204" t="s">
        <v>1061</v>
      </c>
      <c r="C173" s="204" t="s">
        <v>205</v>
      </c>
      <c r="D173" s="206" t="s">
        <v>1176</v>
      </c>
      <c r="E173" s="204"/>
      <c r="F173" s="204">
        <v>6</v>
      </c>
      <c r="G173" s="204"/>
      <c r="H173" s="204" t="s">
        <v>16</v>
      </c>
      <c r="I173" s="204" t="s">
        <v>668</v>
      </c>
      <c r="J173" s="205">
        <v>41936</v>
      </c>
      <c r="K173" s="13" t="str">
        <f>IF(DATEDIF($J173,'Inst summary and ER calculation'!$U$6,"y")=2,"2-3 years","3-4 years")</f>
        <v>3-4 years</v>
      </c>
      <c r="L173" s="204" t="s">
        <v>16</v>
      </c>
      <c r="M173" s="204" t="s">
        <v>16</v>
      </c>
      <c r="N173" s="204">
        <v>14</v>
      </c>
      <c r="O173" s="204">
        <v>60</v>
      </c>
      <c r="P173" s="204" t="s">
        <v>16</v>
      </c>
      <c r="Q173" s="204" t="s">
        <v>16</v>
      </c>
      <c r="R173" s="204" t="s">
        <v>16</v>
      </c>
      <c r="S173" s="204" t="s">
        <v>16</v>
      </c>
      <c r="T173" s="204" t="s">
        <v>16</v>
      </c>
      <c r="U173" s="204" t="s">
        <v>16</v>
      </c>
      <c r="V173" s="204"/>
      <c r="W173" s="22"/>
      <c r="X173" s="204" t="s">
        <v>15</v>
      </c>
      <c r="Y173" s="204"/>
      <c r="Z173" s="204"/>
      <c r="AA173" s="204"/>
      <c r="AB173" s="202"/>
    </row>
    <row r="174" spans="1:28" s="213" customFormat="1" ht="14.5">
      <c r="A174" s="206">
        <v>43112</v>
      </c>
      <c r="B174" s="4" t="s">
        <v>851</v>
      </c>
      <c r="C174" s="4" t="s">
        <v>179</v>
      </c>
      <c r="D174" s="4" t="s">
        <v>859</v>
      </c>
      <c r="E174" s="4"/>
      <c r="F174" s="4">
        <v>2</v>
      </c>
      <c r="G174" s="209">
        <v>2</v>
      </c>
      <c r="H174" s="4" t="s">
        <v>780</v>
      </c>
      <c r="I174" s="4" t="s">
        <v>677</v>
      </c>
      <c r="J174" s="205">
        <v>41938</v>
      </c>
      <c r="K174" s="13" t="str">
        <f>IF(DATEDIF($J174,'Inst summary and ER calculation'!$U$6,"y")=2,"2-3 years","3-4 years")</f>
        <v>3-4 years</v>
      </c>
      <c r="L174" s="6" t="s">
        <v>780</v>
      </c>
      <c r="M174" s="4" t="s">
        <v>780</v>
      </c>
      <c r="N174" s="4">
        <v>21</v>
      </c>
      <c r="O174" s="209">
        <v>90</v>
      </c>
      <c r="P174" s="4" t="s">
        <v>780</v>
      </c>
      <c r="Q174" s="4" t="s">
        <v>780</v>
      </c>
      <c r="R174" s="4" t="s">
        <v>780</v>
      </c>
      <c r="S174" s="4" t="s">
        <v>780</v>
      </c>
      <c r="T174" s="4" t="s">
        <v>780</v>
      </c>
      <c r="U174" s="4" t="s">
        <v>780</v>
      </c>
      <c r="V174" s="4" t="s">
        <v>15</v>
      </c>
      <c r="W174" s="4"/>
      <c r="X174" s="4" t="s">
        <v>15</v>
      </c>
      <c r="Y174" s="4"/>
      <c r="Z174" s="4"/>
      <c r="AA174" s="209"/>
      <c r="AB174" s="202"/>
    </row>
    <row r="175" spans="1:28" s="213" customFormat="1" ht="14.5">
      <c r="A175" s="206">
        <v>43111</v>
      </c>
      <c r="B175" s="4" t="s">
        <v>803</v>
      </c>
      <c r="C175" s="4" t="s">
        <v>674</v>
      </c>
      <c r="D175" s="4" t="s">
        <v>804</v>
      </c>
      <c r="E175" s="4"/>
      <c r="F175" s="4">
        <v>3</v>
      </c>
      <c r="G175" s="209">
        <v>1</v>
      </c>
      <c r="H175" s="4" t="s">
        <v>780</v>
      </c>
      <c r="I175" s="4" t="s">
        <v>673</v>
      </c>
      <c r="J175" s="205">
        <v>41937</v>
      </c>
      <c r="K175" s="13" t="str">
        <f>IF(DATEDIF($J175,'Inst summary and ER calculation'!$U$6,"y")=2,"2-3 years","3-4 years")</f>
        <v>3-4 years</v>
      </c>
      <c r="L175" s="6" t="s">
        <v>780</v>
      </c>
      <c r="M175" s="4" t="s">
        <v>780</v>
      </c>
      <c r="N175" s="4">
        <v>21</v>
      </c>
      <c r="O175" s="209">
        <v>90</v>
      </c>
      <c r="P175" s="4" t="s">
        <v>780</v>
      </c>
      <c r="Q175" s="4" t="s">
        <v>780</v>
      </c>
      <c r="R175" s="4" t="s">
        <v>780</v>
      </c>
      <c r="S175" s="4" t="s">
        <v>780</v>
      </c>
      <c r="T175" s="4" t="s">
        <v>780</v>
      </c>
      <c r="U175" s="4" t="s">
        <v>780</v>
      </c>
      <c r="V175" s="4" t="s">
        <v>15</v>
      </c>
      <c r="W175" s="4"/>
      <c r="X175" s="4" t="s">
        <v>15</v>
      </c>
      <c r="Y175" s="4"/>
      <c r="Z175" s="4"/>
      <c r="AA175" s="209"/>
      <c r="AB175" s="202"/>
    </row>
    <row r="176" spans="1:28" s="213" customFormat="1" ht="14.5">
      <c r="A176" s="206">
        <v>43104</v>
      </c>
      <c r="B176" s="204" t="s">
        <v>912</v>
      </c>
      <c r="C176" s="204" t="s">
        <v>731</v>
      </c>
      <c r="D176" s="206" t="s">
        <v>1169</v>
      </c>
      <c r="E176" s="204"/>
      <c r="F176" s="204">
        <v>2</v>
      </c>
      <c r="G176" s="204">
        <v>2</v>
      </c>
      <c r="H176" s="204" t="s">
        <v>16</v>
      </c>
      <c r="I176" s="204" t="s">
        <v>652</v>
      </c>
      <c r="J176" s="205">
        <v>41932</v>
      </c>
      <c r="K176" s="13" t="str">
        <f>IF(DATEDIF($J176,'Inst summary and ER calculation'!$U$6,"y")=2,"2-3 years","3-4 years")</f>
        <v>3-4 years</v>
      </c>
      <c r="L176" s="204" t="s">
        <v>16</v>
      </c>
      <c r="M176" s="204" t="s">
        <v>16</v>
      </c>
      <c r="N176" s="204">
        <v>14</v>
      </c>
      <c r="O176" s="204">
        <v>60</v>
      </c>
      <c r="P176" s="204" t="s">
        <v>16</v>
      </c>
      <c r="Q176" s="204" t="s">
        <v>16</v>
      </c>
      <c r="R176" s="204" t="s">
        <v>16</v>
      </c>
      <c r="S176" s="204" t="s">
        <v>16</v>
      </c>
      <c r="T176" s="204" t="s">
        <v>16</v>
      </c>
      <c r="U176" s="204" t="s">
        <v>16</v>
      </c>
      <c r="V176" s="204"/>
      <c r="W176" s="22"/>
      <c r="X176" s="204" t="s">
        <v>15</v>
      </c>
      <c r="Y176" s="204"/>
      <c r="Z176" s="204"/>
      <c r="AA176" s="204"/>
      <c r="AB176" s="202"/>
    </row>
    <row r="177" spans="1:28" s="213" customFormat="1" ht="14.5">
      <c r="A177" s="206">
        <v>43110</v>
      </c>
      <c r="B177" s="204" t="s">
        <v>1016</v>
      </c>
      <c r="C177" s="204" t="s">
        <v>54</v>
      </c>
      <c r="D177" s="12" t="s">
        <v>1017</v>
      </c>
      <c r="E177" s="12"/>
      <c r="F177" s="204">
        <v>2</v>
      </c>
      <c r="G177" s="204">
        <v>2</v>
      </c>
      <c r="H177" s="204" t="s">
        <v>16</v>
      </c>
      <c r="I177" s="12" t="s">
        <v>578</v>
      </c>
      <c r="J177" s="205">
        <v>41849</v>
      </c>
      <c r="K177" s="13" t="str">
        <f>IF(DATEDIF($J177,'Inst summary and ER calculation'!$U$6,"y")=2,"2-3 years","3-4 years")</f>
        <v>3-4 years</v>
      </c>
      <c r="L177" s="204" t="s">
        <v>16</v>
      </c>
      <c r="M177" s="204" t="s">
        <v>16</v>
      </c>
      <c r="N177" s="204">
        <v>14</v>
      </c>
      <c r="O177" s="204">
        <v>60</v>
      </c>
      <c r="P177" s="204" t="s">
        <v>16</v>
      </c>
      <c r="Q177" s="204" t="s">
        <v>16</v>
      </c>
      <c r="R177" s="204" t="s">
        <v>16</v>
      </c>
      <c r="S177" s="204" t="s">
        <v>16</v>
      </c>
      <c r="T177" s="204" t="s">
        <v>16</v>
      </c>
      <c r="U177" s="204" t="s">
        <v>16</v>
      </c>
      <c r="V177" s="204"/>
      <c r="W177" s="22"/>
      <c r="X177" s="204" t="s">
        <v>15</v>
      </c>
      <c r="Y177" s="204"/>
      <c r="Z177" s="204"/>
      <c r="AA177" s="204"/>
      <c r="AB177" s="202"/>
    </row>
    <row r="178" spans="1:28" s="213" customFormat="1" ht="14.5">
      <c r="A178" s="206">
        <v>43108</v>
      </c>
      <c r="B178" s="204" t="s">
        <v>803</v>
      </c>
      <c r="C178" s="204" t="s">
        <v>1041</v>
      </c>
      <c r="D178" s="12" t="s">
        <v>1042</v>
      </c>
      <c r="E178" s="12"/>
      <c r="F178" s="204">
        <v>2</v>
      </c>
      <c r="G178" s="204">
        <v>2</v>
      </c>
      <c r="H178" s="204" t="s">
        <v>16</v>
      </c>
      <c r="I178" s="11" t="s">
        <v>671</v>
      </c>
      <c r="J178" s="205">
        <v>41937</v>
      </c>
      <c r="K178" s="13" t="str">
        <f>IF(DATEDIF($J178,'Inst summary and ER calculation'!$U$6,"y")=2,"2-3 years","3-4 years")</f>
        <v>3-4 years</v>
      </c>
      <c r="L178" s="204" t="s">
        <v>16</v>
      </c>
      <c r="M178" s="204" t="s">
        <v>16</v>
      </c>
      <c r="N178" s="204">
        <v>20</v>
      </c>
      <c r="O178" s="204">
        <v>90</v>
      </c>
      <c r="P178" s="204" t="s">
        <v>16</v>
      </c>
      <c r="Q178" s="204" t="s">
        <v>16</v>
      </c>
      <c r="R178" s="204" t="s">
        <v>16</v>
      </c>
      <c r="S178" s="204" t="s">
        <v>16</v>
      </c>
      <c r="T178" s="204" t="s">
        <v>16</v>
      </c>
      <c r="U178" s="204" t="s">
        <v>16</v>
      </c>
      <c r="V178" s="204"/>
      <c r="W178" s="22"/>
      <c r="X178" s="204" t="s">
        <v>15</v>
      </c>
      <c r="Y178" s="204"/>
      <c r="Z178" s="204"/>
      <c r="AA178" s="204"/>
      <c r="AB178" s="202"/>
    </row>
    <row r="179" spans="1:28" s="213" customFormat="1" ht="14.5">
      <c r="A179" s="206">
        <v>43107</v>
      </c>
      <c r="B179" s="204" t="s">
        <v>207</v>
      </c>
      <c r="C179" s="204" t="s">
        <v>561</v>
      </c>
      <c r="D179" s="206" t="s">
        <v>1179</v>
      </c>
      <c r="E179" s="204"/>
      <c r="F179" s="204">
        <v>3</v>
      </c>
      <c r="G179" s="204">
        <v>1</v>
      </c>
      <c r="H179" s="204" t="s">
        <v>16</v>
      </c>
      <c r="I179" s="12" t="s">
        <v>692</v>
      </c>
      <c r="J179" s="205">
        <v>41943</v>
      </c>
      <c r="K179" s="13" t="str">
        <f>IF(DATEDIF($J179,'Inst summary and ER calculation'!$U$6,"y")=2,"2-3 years","3-4 years")</f>
        <v>3-4 years</v>
      </c>
      <c r="L179" s="204" t="s">
        <v>16</v>
      </c>
      <c r="M179" s="204" t="s">
        <v>16</v>
      </c>
      <c r="N179" s="204">
        <v>19</v>
      </c>
      <c r="O179" s="204">
        <v>84</v>
      </c>
      <c r="P179" s="204" t="s">
        <v>16</v>
      </c>
      <c r="Q179" s="204" t="s">
        <v>16</v>
      </c>
      <c r="R179" s="204" t="s">
        <v>16</v>
      </c>
      <c r="S179" s="204" t="s">
        <v>16</v>
      </c>
      <c r="T179" s="204" t="s">
        <v>16</v>
      </c>
      <c r="U179" s="204" t="s">
        <v>16</v>
      </c>
      <c r="V179" s="204"/>
      <c r="W179" s="22"/>
      <c r="X179" s="204" t="s">
        <v>15</v>
      </c>
      <c r="Y179" s="204"/>
      <c r="Z179" s="204"/>
      <c r="AA179" s="204"/>
      <c r="AB179" s="202"/>
    </row>
    <row r="180" spans="1:28" s="213" customFormat="1" ht="14.5">
      <c r="A180" s="206">
        <v>43107</v>
      </c>
      <c r="B180" s="204" t="s">
        <v>1057</v>
      </c>
      <c r="C180" s="204" t="s">
        <v>1348</v>
      </c>
      <c r="D180" s="206" t="s">
        <v>1349</v>
      </c>
      <c r="E180" s="204"/>
      <c r="F180" s="204">
        <v>4</v>
      </c>
      <c r="G180" s="204">
        <v>3</v>
      </c>
      <c r="H180" s="204" t="s">
        <v>16</v>
      </c>
      <c r="I180" s="204" t="s">
        <v>276</v>
      </c>
      <c r="J180" s="205">
        <v>42050</v>
      </c>
      <c r="K180" s="13" t="str">
        <f>IF(DATEDIF($J180,'Inst summary and ER calculation'!$U$6,"y")=2,"2-3 years","3-4 years")</f>
        <v>3-4 years</v>
      </c>
      <c r="L180" s="204" t="s">
        <v>16</v>
      </c>
      <c r="M180" s="204" t="s">
        <v>16</v>
      </c>
      <c r="N180" s="204">
        <v>14</v>
      </c>
      <c r="O180" s="204">
        <v>60</v>
      </c>
      <c r="P180" s="204" t="s">
        <v>16</v>
      </c>
      <c r="Q180" s="204" t="s">
        <v>16</v>
      </c>
      <c r="R180" s="204" t="s">
        <v>16</v>
      </c>
      <c r="S180" s="204" t="s">
        <v>16</v>
      </c>
      <c r="T180" s="204" t="s">
        <v>16</v>
      </c>
      <c r="U180" s="204" t="s">
        <v>16</v>
      </c>
      <c r="V180" s="204"/>
      <c r="W180" s="22"/>
      <c r="X180" s="204" t="s">
        <v>15</v>
      </c>
      <c r="Y180" s="204"/>
      <c r="Z180" s="204"/>
      <c r="AA180" s="204"/>
      <c r="AB180" s="202"/>
    </row>
    <row r="181" spans="1:28" s="213" customFormat="1" ht="14.5">
      <c r="A181" s="206">
        <v>43114</v>
      </c>
      <c r="B181" s="204" t="s">
        <v>1016</v>
      </c>
      <c r="C181" s="204" t="s">
        <v>92</v>
      </c>
      <c r="D181" s="12" t="s">
        <v>1037</v>
      </c>
      <c r="E181" s="12"/>
      <c r="F181" s="204">
        <v>2</v>
      </c>
      <c r="G181" s="204">
        <v>2</v>
      </c>
      <c r="H181" s="204" t="s">
        <v>16</v>
      </c>
      <c r="I181" s="217" t="s">
        <v>648</v>
      </c>
      <c r="J181" s="205">
        <v>41929</v>
      </c>
      <c r="K181" s="13" t="str">
        <f>IF(DATEDIF($J181,'Inst summary and ER calculation'!$U$6,"y")=2,"2-3 years","3-4 years")</f>
        <v>3-4 years</v>
      </c>
      <c r="L181" s="204" t="s">
        <v>16</v>
      </c>
      <c r="M181" s="204" t="s">
        <v>16</v>
      </c>
      <c r="N181" s="204">
        <v>21</v>
      </c>
      <c r="O181" s="204">
        <v>90</v>
      </c>
      <c r="P181" s="204" t="s">
        <v>16</v>
      </c>
      <c r="Q181" s="204" t="s">
        <v>16</v>
      </c>
      <c r="R181" s="204" t="s">
        <v>16</v>
      </c>
      <c r="S181" s="204" t="s">
        <v>16</v>
      </c>
      <c r="T181" s="204" t="s">
        <v>16</v>
      </c>
      <c r="U181" s="204" t="s">
        <v>16</v>
      </c>
      <c r="V181" s="204"/>
      <c r="W181" s="22"/>
      <c r="X181" s="204" t="s">
        <v>15</v>
      </c>
      <c r="Y181" s="204"/>
      <c r="Z181" s="204"/>
      <c r="AA181" s="204"/>
      <c r="AB181" s="202"/>
    </row>
    <row r="182" spans="1:28" s="213" customFormat="1" ht="14.5">
      <c r="A182" s="206">
        <v>43105</v>
      </c>
      <c r="B182" s="204" t="s">
        <v>65</v>
      </c>
      <c r="C182" s="11" t="s">
        <v>1086</v>
      </c>
      <c r="D182" s="12" t="s">
        <v>1087</v>
      </c>
      <c r="E182" s="12"/>
      <c r="F182" s="204">
        <v>4</v>
      </c>
      <c r="G182" s="204">
        <v>2</v>
      </c>
      <c r="H182" s="204" t="s">
        <v>16</v>
      </c>
      <c r="I182" s="204" t="s">
        <v>284</v>
      </c>
      <c r="J182" s="205">
        <v>42055</v>
      </c>
      <c r="K182" s="13" t="str">
        <f>IF(DATEDIF($J182,'Inst summary and ER calculation'!$U$6,"y")=2,"2-3 years","3-4 years")</f>
        <v>3-4 years</v>
      </c>
      <c r="L182" s="204" t="s">
        <v>16</v>
      </c>
      <c r="M182" s="204" t="s">
        <v>16</v>
      </c>
      <c r="N182" s="204">
        <v>18</v>
      </c>
      <c r="O182" s="204">
        <v>73</v>
      </c>
      <c r="P182" s="204" t="s">
        <v>16</v>
      </c>
      <c r="Q182" s="204" t="s">
        <v>16</v>
      </c>
      <c r="R182" s="204" t="s">
        <v>16</v>
      </c>
      <c r="S182" s="204" t="s">
        <v>16</v>
      </c>
      <c r="T182" s="204" t="s">
        <v>16</v>
      </c>
      <c r="U182" s="204" t="s">
        <v>16</v>
      </c>
      <c r="V182" s="204"/>
      <c r="W182" s="22"/>
      <c r="X182" s="204" t="s">
        <v>15</v>
      </c>
      <c r="Y182" s="204"/>
      <c r="Z182" s="204"/>
      <c r="AA182" s="204"/>
      <c r="AB182" s="202"/>
    </row>
    <row r="183" spans="1:28" s="213" customFormat="1" ht="14.5">
      <c r="A183" s="206">
        <v>43106</v>
      </c>
      <c r="B183" s="204" t="s">
        <v>1323</v>
      </c>
      <c r="C183" s="204" t="s">
        <v>1324</v>
      </c>
      <c r="D183" s="206" t="s">
        <v>1325</v>
      </c>
      <c r="E183" s="204"/>
      <c r="F183" s="204">
        <v>4</v>
      </c>
      <c r="G183" s="204">
        <v>2</v>
      </c>
      <c r="H183" s="204" t="s">
        <v>16</v>
      </c>
      <c r="I183" s="204" t="s">
        <v>747</v>
      </c>
      <c r="J183" s="205">
        <v>42003</v>
      </c>
      <c r="K183" s="13" t="str">
        <f>IF(DATEDIF($J183,'Inst summary and ER calculation'!$U$6,"y")=2,"2-3 years","3-4 years")</f>
        <v>3-4 years</v>
      </c>
      <c r="L183" s="204" t="s">
        <v>16</v>
      </c>
      <c r="M183" s="204" t="s">
        <v>16</v>
      </c>
      <c r="N183" s="204">
        <v>14</v>
      </c>
      <c r="O183" s="204">
        <v>60</v>
      </c>
      <c r="P183" s="204" t="s">
        <v>16</v>
      </c>
      <c r="Q183" s="204" t="s">
        <v>16</v>
      </c>
      <c r="R183" s="204" t="s">
        <v>16</v>
      </c>
      <c r="S183" s="204" t="s">
        <v>16</v>
      </c>
      <c r="T183" s="204" t="s">
        <v>16</v>
      </c>
      <c r="U183" s="204" t="s">
        <v>16</v>
      </c>
      <c r="V183" s="204"/>
      <c r="W183" s="22"/>
      <c r="X183" s="204" t="s">
        <v>15</v>
      </c>
      <c r="Y183" s="4"/>
      <c r="Z183" s="204"/>
      <c r="AA183" s="204"/>
      <c r="AB183" s="202"/>
    </row>
    <row r="184" spans="1:28" s="213" customFormat="1" ht="14.5">
      <c r="A184" s="206">
        <v>43110</v>
      </c>
      <c r="B184" s="204" t="s">
        <v>1273</v>
      </c>
      <c r="C184" s="11" t="s">
        <v>1274</v>
      </c>
      <c r="D184" s="206" t="s">
        <v>1275</v>
      </c>
      <c r="E184" s="204"/>
      <c r="F184" s="204">
        <v>3</v>
      </c>
      <c r="G184" s="204">
        <v>3</v>
      </c>
      <c r="H184" s="204" t="s">
        <v>16</v>
      </c>
      <c r="I184" s="204" t="s">
        <v>594</v>
      </c>
      <c r="J184" s="205">
        <v>41869</v>
      </c>
      <c r="K184" s="13" t="str">
        <f>IF(DATEDIF($J184,'Inst summary and ER calculation'!$U$6,"y")=2,"2-3 years","3-4 years")</f>
        <v>3-4 years</v>
      </c>
      <c r="L184" s="204" t="s">
        <v>16</v>
      </c>
      <c r="M184" s="204" t="s">
        <v>16</v>
      </c>
      <c r="N184" s="204">
        <v>14</v>
      </c>
      <c r="O184" s="204">
        <v>60</v>
      </c>
      <c r="P184" s="204" t="s">
        <v>16</v>
      </c>
      <c r="Q184" s="204" t="s">
        <v>16</v>
      </c>
      <c r="R184" s="204" t="s">
        <v>16</v>
      </c>
      <c r="S184" s="204" t="s">
        <v>16</v>
      </c>
      <c r="T184" s="204" t="s">
        <v>16</v>
      </c>
      <c r="U184" s="204" t="s">
        <v>16</v>
      </c>
      <c r="V184" s="204"/>
      <c r="W184" s="22"/>
      <c r="X184" s="204" t="s">
        <v>15</v>
      </c>
      <c r="Y184" s="204"/>
      <c r="Z184" s="204"/>
      <c r="AA184" s="204"/>
      <c r="AB184" s="202"/>
    </row>
    <row r="185" spans="1:28" s="213" customFormat="1" ht="14.5">
      <c r="A185" s="206">
        <v>43103</v>
      </c>
      <c r="B185" s="4" t="s">
        <v>100</v>
      </c>
      <c r="C185" s="4" t="s">
        <v>214</v>
      </c>
      <c r="D185" s="4" t="s">
        <v>783</v>
      </c>
      <c r="E185" s="4"/>
      <c r="F185" s="4">
        <v>2</v>
      </c>
      <c r="G185" s="209">
        <v>3</v>
      </c>
      <c r="H185" s="4" t="s">
        <v>780</v>
      </c>
      <c r="I185" s="4" t="s">
        <v>283</v>
      </c>
      <c r="J185" s="205">
        <v>42054</v>
      </c>
      <c r="K185" s="13" t="str">
        <f>IF(DATEDIF($J185,'Inst summary and ER calculation'!$U$6,"y")=2,"2-3 years","3-4 years")</f>
        <v>3-4 years</v>
      </c>
      <c r="L185" s="6" t="s">
        <v>780</v>
      </c>
      <c r="M185" s="4" t="s">
        <v>780</v>
      </c>
      <c r="N185" s="4">
        <v>20</v>
      </c>
      <c r="O185" s="209">
        <v>84</v>
      </c>
      <c r="P185" s="4" t="s">
        <v>780</v>
      </c>
      <c r="Q185" s="4" t="s">
        <v>780</v>
      </c>
      <c r="R185" s="4" t="s">
        <v>780</v>
      </c>
      <c r="S185" s="4" t="s">
        <v>780</v>
      </c>
      <c r="T185" s="4" t="s">
        <v>780</v>
      </c>
      <c r="U185" s="4" t="s">
        <v>780</v>
      </c>
      <c r="V185" s="4" t="s">
        <v>15</v>
      </c>
      <c r="W185" s="4"/>
      <c r="X185" s="4" t="s">
        <v>15</v>
      </c>
      <c r="Y185" s="4"/>
      <c r="Z185" s="4"/>
      <c r="AA185" s="209"/>
      <c r="AB185" s="202"/>
    </row>
    <row r="186" spans="1:28" s="213" customFormat="1" ht="14.5">
      <c r="A186" s="206">
        <v>43116</v>
      </c>
      <c r="B186" s="204" t="s">
        <v>1165</v>
      </c>
      <c r="C186" s="204" t="s">
        <v>191</v>
      </c>
      <c r="D186" s="206" t="s">
        <v>1166</v>
      </c>
      <c r="E186" s="204"/>
      <c r="F186" s="204">
        <v>2</v>
      </c>
      <c r="G186" s="204">
        <v>3</v>
      </c>
      <c r="H186" s="204" t="s">
        <v>16</v>
      </c>
      <c r="I186" s="204" t="s">
        <v>609</v>
      </c>
      <c r="J186" s="205">
        <v>41901</v>
      </c>
      <c r="K186" s="13" t="str">
        <f>IF(DATEDIF($J186,'Inst summary and ER calculation'!$U$6,"y")=2,"2-3 years","3-4 years")</f>
        <v>3-4 years</v>
      </c>
      <c r="L186" s="204" t="s">
        <v>16</v>
      </c>
      <c r="M186" s="204" t="s">
        <v>16</v>
      </c>
      <c r="N186" s="204">
        <v>14</v>
      </c>
      <c r="O186" s="204">
        <v>60</v>
      </c>
      <c r="P186" s="204" t="s">
        <v>16</v>
      </c>
      <c r="Q186" s="204" t="s">
        <v>16</v>
      </c>
      <c r="R186" s="204" t="s">
        <v>16</v>
      </c>
      <c r="S186" s="204" t="s">
        <v>16</v>
      </c>
      <c r="T186" s="204" t="s">
        <v>16</v>
      </c>
      <c r="U186" s="204" t="s">
        <v>16</v>
      </c>
      <c r="V186" s="204"/>
      <c r="W186" s="22"/>
      <c r="X186" s="204" t="s">
        <v>15</v>
      </c>
      <c r="Y186" s="204"/>
      <c r="Z186" s="204"/>
      <c r="AA186" s="204"/>
      <c r="AB186" s="202"/>
    </row>
    <row r="187" spans="1:28" s="213" customFormat="1" ht="14.5">
      <c r="A187" s="206">
        <v>43113</v>
      </c>
      <c r="B187" s="204" t="s">
        <v>207</v>
      </c>
      <c r="C187" s="204" t="s">
        <v>231</v>
      </c>
      <c r="D187" s="206" t="s">
        <v>1177</v>
      </c>
      <c r="E187" s="204"/>
      <c r="F187" s="204">
        <v>6</v>
      </c>
      <c r="G187" s="204"/>
      <c r="H187" s="204" t="s">
        <v>16</v>
      </c>
      <c r="I187" s="204" t="s">
        <v>678</v>
      </c>
      <c r="J187" s="205">
        <v>41939</v>
      </c>
      <c r="K187" s="13" t="str">
        <f>IF(DATEDIF($J187,'Inst summary and ER calculation'!$U$6,"y")=2,"2-3 years","3-4 years")</f>
        <v>3-4 years</v>
      </c>
      <c r="L187" s="204" t="s">
        <v>16</v>
      </c>
      <c r="M187" s="204" t="s">
        <v>16</v>
      </c>
      <c r="N187" s="204">
        <v>17</v>
      </c>
      <c r="O187" s="204">
        <v>82</v>
      </c>
      <c r="P187" s="204" t="s">
        <v>16</v>
      </c>
      <c r="Q187" s="204" t="s">
        <v>16</v>
      </c>
      <c r="R187" s="204" t="s">
        <v>16</v>
      </c>
      <c r="S187" s="204" t="s">
        <v>16</v>
      </c>
      <c r="T187" s="204" t="s">
        <v>16</v>
      </c>
      <c r="U187" s="204" t="s">
        <v>16</v>
      </c>
      <c r="V187" s="204"/>
      <c r="W187" s="22"/>
      <c r="X187" s="204" t="s">
        <v>15</v>
      </c>
      <c r="Y187" s="204"/>
      <c r="Z187" s="204"/>
      <c r="AA187" s="204"/>
      <c r="AB187" s="202"/>
    </row>
    <row r="188" spans="1:28" s="213" customFormat="1" ht="14.5">
      <c r="A188" s="206">
        <v>43111</v>
      </c>
      <c r="B188" s="4" t="s">
        <v>794</v>
      </c>
      <c r="C188" s="208" t="s">
        <v>296</v>
      </c>
      <c r="D188" s="4" t="s">
        <v>806</v>
      </c>
      <c r="E188" s="4"/>
      <c r="F188" s="4">
        <v>5</v>
      </c>
      <c r="G188" s="209">
        <v>3</v>
      </c>
      <c r="H188" s="4" t="s">
        <v>780</v>
      </c>
      <c r="I188" s="4" t="s">
        <v>295</v>
      </c>
      <c r="J188" s="205">
        <v>42063</v>
      </c>
      <c r="K188" s="13" t="str">
        <f>IF(DATEDIF($J188,'Inst summary and ER calculation'!$U$6,"y")=2,"2-3 years","3-4 years")</f>
        <v>3-4 years</v>
      </c>
      <c r="L188" s="6" t="s">
        <v>780</v>
      </c>
      <c r="M188" s="4" t="s">
        <v>780</v>
      </c>
      <c r="N188" s="4">
        <v>14</v>
      </c>
      <c r="O188" s="209">
        <v>70</v>
      </c>
      <c r="P188" s="4" t="s">
        <v>780</v>
      </c>
      <c r="Q188" s="4" t="s">
        <v>780</v>
      </c>
      <c r="R188" s="4" t="s">
        <v>780</v>
      </c>
      <c r="S188" s="4" t="s">
        <v>780</v>
      </c>
      <c r="T188" s="4" t="s">
        <v>780</v>
      </c>
      <c r="U188" s="4" t="s">
        <v>780</v>
      </c>
      <c r="V188" s="4" t="s">
        <v>15</v>
      </c>
      <c r="W188" s="4"/>
      <c r="X188" s="4" t="s">
        <v>15</v>
      </c>
      <c r="Y188" s="4"/>
      <c r="Z188" s="4"/>
      <c r="AA188" s="209"/>
      <c r="AB188" s="202"/>
    </row>
    <row r="189" spans="1:28" s="213" customFormat="1" ht="14.5">
      <c r="A189" s="206">
        <v>43121</v>
      </c>
      <c r="B189" s="204" t="s">
        <v>914</v>
      </c>
      <c r="C189" s="204" t="s">
        <v>1316</v>
      </c>
      <c r="D189" s="206" t="s">
        <v>1317</v>
      </c>
      <c r="E189" s="204"/>
      <c r="F189" s="204">
        <v>6</v>
      </c>
      <c r="G189" s="204">
        <v>2</v>
      </c>
      <c r="H189" s="204" t="s">
        <v>16</v>
      </c>
      <c r="I189" s="204" t="s">
        <v>707</v>
      </c>
      <c r="J189" s="205">
        <v>41965</v>
      </c>
      <c r="K189" s="13" t="str">
        <f>IF(DATEDIF($J189,'Inst summary and ER calculation'!$U$6,"y")=2,"2-3 years","3-4 years")</f>
        <v>3-4 years</v>
      </c>
      <c r="L189" s="204" t="s">
        <v>16</v>
      </c>
      <c r="M189" s="204" t="s">
        <v>16</v>
      </c>
      <c r="N189" s="204">
        <v>16</v>
      </c>
      <c r="O189" s="204">
        <v>65</v>
      </c>
      <c r="P189" s="204" t="s">
        <v>16</v>
      </c>
      <c r="Q189" s="204" t="s">
        <v>16</v>
      </c>
      <c r="R189" s="204" t="s">
        <v>16</v>
      </c>
      <c r="S189" s="204" t="s">
        <v>16</v>
      </c>
      <c r="T189" s="204" t="s">
        <v>16</v>
      </c>
      <c r="U189" s="204" t="s">
        <v>16</v>
      </c>
      <c r="V189" s="204"/>
      <c r="W189" s="22"/>
      <c r="X189" s="204" t="s">
        <v>15</v>
      </c>
      <c r="Y189" s="204"/>
      <c r="Z189" s="204"/>
      <c r="AA189" s="204"/>
      <c r="AB189" s="202"/>
    </row>
    <row r="190" spans="1:28" s="213" customFormat="1" ht="14.5">
      <c r="A190" s="206">
        <v>43106</v>
      </c>
      <c r="B190" s="204" t="s">
        <v>1306</v>
      </c>
      <c r="C190" s="204" t="s">
        <v>90</v>
      </c>
      <c r="D190" s="206" t="s">
        <v>1333</v>
      </c>
      <c r="E190" s="204"/>
      <c r="F190" s="204">
        <v>2</v>
      </c>
      <c r="G190" s="204">
        <v>1</v>
      </c>
      <c r="H190" s="204" t="s">
        <v>16</v>
      </c>
      <c r="I190" s="204" t="s">
        <v>256</v>
      </c>
      <c r="J190" s="205">
        <v>42024</v>
      </c>
      <c r="K190" s="13" t="str">
        <f>IF(DATEDIF($J190,'Inst summary and ER calculation'!$U$6,"y")=2,"2-3 years","3-4 years")</f>
        <v>3-4 years</v>
      </c>
      <c r="L190" s="204" t="s">
        <v>16</v>
      </c>
      <c r="M190" s="204" t="s">
        <v>16</v>
      </c>
      <c r="N190" s="204">
        <v>14</v>
      </c>
      <c r="O190" s="204">
        <v>60</v>
      </c>
      <c r="P190" s="204" t="s">
        <v>16</v>
      </c>
      <c r="Q190" s="204" t="s">
        <v>16</v>
      </c>
      <c r="R190" s="204" t="s">
        <v>16</v>
      </c>
      <c r="S190" s="204" t="s">
        <v>16</v>
      </c>
      <c r="T190" s="204" t="s">
        <v>16</v>
      </c>
      <c r="U190" s="204" t="s">
        <v>16</v>
      </c>
      <c r="V190" s="204"/>
      <c r="W190" s="22"/>
      <c r="X190" s="204" t="s">
        <v>15</v>
      </c>
      <c r="Y190" s="204"/>
      <c r="Z190" s="204"/>
      <c r="AA190" s="204"/>
      <c r="AB190" s="202"/>
    </row>
    <row r="191" spans="1:28" s="213" customFormat="1" ht="14.5">
      <c r="A191" s="206">
        <v>43114</v>
      </c>
      <c r="B191" s="4" t="s">
        <v>851</v>
      </c>
      <c r="C191" s="4" t="s">
        <v>48</v>
      </c>
      <c r="D191" s="4" t="s">
        <v>853</v>
      </c>
      <c r="E191" s="4"/>
      <c r="F191" s="4">
        <v>2</v>
      </c>
      <c r="G191" s="209">
        <v>2</v>
      </c>
      <c r="H191" s="4" t="s">
        <v>780</v>
      </c>
      <c r="I191" s="4" t="s">
        <v>610</v>
      </c>
      <c r="J191" s="205">
        <v>41901</v>
      </c>
      <c r="K191" s="13" t="str">
        <f>IF(DATEDIF($J191,'Inst summary and ER calculation'!$U$6,"y")=2,"2-3 years","3-4 years")</f>
        <v>3-4 years</v>
      </c>
      <c r="L191" s="6" t="s">
        <v>780</v>
      </c>
      <c r="M191" s="4" t="s">
        <v>780</v>
      </c>
      <c r="N191" s="4">
        <v>18</v>
      </c>
      <c r="O191" s="209">
        <v>80</v>
      </c>
      <c r="P191" s="4" t="s">
        <v>780</v>
      </c>
      <c r="Q191" s="4" t="s">
        <v>780</v>
      </c>
      <c r="R191" s="4" t="s">
        <v>780</v>
      </c>
      <c r="S191" s="4" t="s">
        <v>780</v>
      </c>
      <c r="T191" s="4" t="s">
        <v>780</v>
      </c>
      <c r="U191" s="4" t="s">
        <v>780</v>
      </c>
      <c r="V191" s="4" t="s">
        <v>15</v>
      </c>
      <c r="W191" s="4"/>
      <c r="X191" s="4" t="s">
        <v>15</v>
      </c>
      <c r="Y191" s="4"/>
      <c r="Z191" s="4"/>
      <c r="AA191" s="209"/>
      <c r="AB191" s="202"/>
    </row>
    <row r="192" spans="1:28" s="213" customFormat="1" ht="14.5">
      <c r="A192" s="206">
        <v>43103</v>
      </c>
      <c r="B192" s="204" t="s">
        <v>1032</v>
      </c>
      <c r="C192" s="204" t="s">
        <v>67</v>
      </c>
      <c r="D192" s="12" t="s">
        <v>1073</v>
      </c>
      <c r="E192" s="12"/>
      <c r="F192" s="204">
        <v>4</v>
      </c>
      <c r="G192" s="204">
        <v>1</v>
      </c>
      <c r="H192" s="204" t="s">
        <v>16</v>
      </c>
      <c r="I192" s="204" t="s">
        <v>255</v>
      </c>
      <c r="J192" s="205">
        <v>42021</v>
      </c>
      <c r="K192" s="13" t="str">
        <f>IF(DATEDIF($J192,'Inst summary and ER calculation'!$U$6,"y")=2,"2-3 years","3-4 years")</f>
        <v>3-4 years</v>
      </c>
      <c r="L192" s="204" t="s">
        <v>16</v>
      </c>
      <c r="M192" s="204" t="s">
        <v>16</v>
      </c>
      <c r="N192" s="204">
        <v>20</v>
      </c>
      <c r="O192" s="204">
        <v>80</v>
      </c>
      <c r="P192" s="204" t="s">
        <v>16</v>
      </c>
      <c r="Q192" s="204" t="s">
        <v>16</v>
      </c>
      <c r="R192" s="204" t="s">
        <v>16</v>
      </c>
      <c r="S192" s="204" t="s">
        <v>16</v>
      </c>
      <c r="T192" s="204" t="s">
        <v>16</v>
      </c>
      <c r="U192" s="204" t="s">
        <v>16</v>
      </c>
      <c r="V192" s="204"/>
      <c r="W192" s="22"/>
      <c r="X192" s="204" t="s">
        <v>15</v>
      </c>
      <c r="Y192" s="204"/>
      <c r="Z192" s="204"/>
      <c r="AA192" s="204"/>
      <c r="AB192" s="202"/>
    </row>
    <row r="193" spans="1:28" s="213" customFormat="1" ht="14.5">
      <c r="A193" s="206">
        <v>43123</v>
      </c>
      <c r="B193" s="204" t="s">
        <v>1302</v>
      </c>
      <c r="C193" s="204" t="s">
        <v>70</v>
      </c>
      <c r="D193" s="206" t="s">
        <v>1303</v>
      </c>
      <c r="E193" s="204"/>
      <c r="F193" s="215">
        <v>2</v>
      </c>
      <c r="G193" s="216">
        <v>3</v>
      </c>
      <c r="H193" s="204" t="s">
        <v>16</v>
      </c>
      <c r="I193" s="204" t="s">
        <v>660</v>
      </c>
      <c r="J193" s="205">
        <v>41933</v>
      </c>
      <c r="K193" s="13" t="str">
        <f>IF(DATEDIF($J193,'Inst summary and ER calculation'!$U$6,"y")=2,"2-3 years","3-4 years")</f>
        <v>3-4 years</v>
      </c>
      <c r="L193" s="204" t="s">
        <v>16</v>
      </c>
      <c r="M193" s="204" t="s">
        <v>16</v>
      </c>
      <c r="N193" s="204">
        <v>14</v>
      </c>
      <c r="O193" s="204">
        <v>60</v>
      </c>
      <c r="P193" s="204" t="s">
        <v>16</v>
      </c>
      <c r="Q193" s="204" t="s">
        <v>16</v>
      </c>
      <c r="R193" s="204" t="s">
        <v>16</v>
      </c>
      <c r="S193" s="204" t="s">
        <v>16</v>
      </c>
      <c r="T193" s="204" t="s">
        <v>16</v>
      </c>
      <c r="U193" s="204" t="s">
        <v>16</v>
      </c>
      <c r="V193" s="204"/>
      <c r="W193" s="22"/>
      <c r="X193" s="204" t="s">
        <v>15</v>
      </c>
      <c r="Y193" s="204"/>
      <c r="Z193" s="204"/>
      <c r="AA193" s="204"/>
      <c r="AB193" s="202"/>
    </row>
    <row r="194" spans="1:28" s="213" customFormat="1" ht="14.5">
      <c r="A194" s="206">
        <v>43115</v>
      </c>
      <c r="B194" s="204" t="s">
        <v>1092</v>
      </c>
      <c r="C194" s="204" t="s">
        <v>751</v>
      </c>
      <c r="D194" s="206" t="s">
        <v>1197</v>
      </c>
      <c r="E194" s="204"/>
      <c r="F194" s="204">
        <v>5</v>
      </c>
      <c r="G194" s="204">
        <v>2</v>
      </c>
      <c r="H194" s="204" t="s">
        <v>16</v>
      </c>
      <c r="I194" s="204" t="s">
        <v>750</v>
      </c>
      <c r="J194" s="205">
        <v>42006</v>
      </c>
      <c r="K194" s="13" t="str">
        <f>IF(DATEDIF($J194,'Inst summary and ER calculation'!$U$6,"y")=2,"2-3 years","3-4 years")</f>
        <v>3-4 years</v>
      </c>
      <c r="L194" s="204" t="s">
        <v>16</v>
      </c>
      <c r="M194" s="204" t="s">
        <v>16</v>
      </c>
      <c r="N194" s="204">
        <v>14</v>
      </c>
      <c r="O194" s="204">
        <v>60</v>
      </c>
      <c r="P194" s="204" t="s">
        <v>16</v>
      </c>
      <c r="Q194" s="204" t="s">
        <v>16</v>
      </c>
      <c r="R194" s="204" t="s">
        <v>16</v>
      </c>
      <c r="S194" s="204" t="s">
        <v>16</v>
      </c>
      <c r="T194" s="204" t="s">
        <v>16</v>
      </c>
      <c r="U194" s="204" t="s">
        <v>16</v>
      </c>
      <c r="V194" s="204"/>
      <c r="W194" s="22"/>
      <c r="X194" s="204" t="s">
        <v>15</v>
      </c>
      <c r="Y194" s="204"/>
      <c r="Z194" s="204"/>
      <c r="AA194" s="204"/>
      <c r="AB194" s="202"/>
    </row>
    <row r="195" spans="1:28" s="213" customFormat="1" ht="14.5">
      <c r="A195" s="206">
        <v>43125</v>
      </c>
      <c r="B195" s="204" t="s">
        <v>1076</v>
      </c>
      <c r="C195" s="204" t="s">
        <v>1077</v>
      </c>
      <c r="D195" s="12" t="s">
        <v>1078</v>
      </c>
      <c r="E195" s="12"/>
      <c r="F195" s="204">
        <v>4</v>
      </c>
      <c r="G195" s="204">
        <v>1</v>
      </c>
      <c r="H195" s="204" t="s">
        <v>16</v>
      </c>
      <c r="I195" s="204" t="s">
        <v>264</v>
      </c>
      <c r="J195" s="205">
        <v>42029</v>
      </c>
      <c r="K195" s="13" t="str">
        <f>IF(DATEDIF($J195,'Inst summary and ER calculation'!$U$6,"y")=2,"2-3 years","3-4 years")</f>
        <v>3-4 years</v>
      </c>
      <c r="L195" s="204" t="s">
        <v>16</v>
      </c>
      <c r="M195" s="204" t="s">
        <v>16</v>
      </c>
      <c r="N195" s="204">
        <v>18</v>
      </c>
      <c r="O195" s="204">
        <v>75</v>
      </c>
      <c r="P195" s="204" t="s">
        <v>16</v>
      </c>
      <c r="Q195" s="204" t="s">
        <v>16</v>
      </c>
      <c r="R195" s="204" t="s">
        <v>16</v>
      </c>
      <c r="S195" s="204" t="s">
        <v>16</v>
      </c>
      <c r="T195" s="204" t="s">
        <v>16</v>
      </c>
      <c r="U195" s="204" t="s">
        <v>16</v>
      </c>
      <c r="V195" s="204"/>
      <c r="W195" s="22"/>
      <c r="X195" s="204" t="s">
        <v>15</v>
      </c>
      <c r="Y195" s="204"/>
      <c r="Z195" s="204"/>
      <c r="AA195" s="204"/>
      <c r="AB195" s="202"/>
    </row>
    <row r="196" spans="1:28" s="213" customFormat="1" ht="14.5">
      <c r="A196" s="206">
        <v>43122</v>
      </c>
      <c r="B196" s="204" t="s">
        <v>1318</v>
      </c>
      <c r="C196" s="204" t="s">
        <v>1319</v>
      </c>
      <c r="D196" s="206" t="s">
        <v>1320</v>
      </c>
      <c r="E196" s="204"/>
      <c r="F196" s="204">
        <v>2</v>
      </c>
      <c r="G196" s="204">
        <v>2</v>
      </c>
      <c r="H196" s="204" t="s">
        <v>16</v>
      </c>
      <c r="I196" s="204" t="s">
        <v>718</v>
      </c>
      <c r="J196" s="205">
        <v>41978</v>
      </c>
      <c r="K196" s="13" t="str">
        <f>IF(DATEDIF($J196,'Inst summary and ER calculation'!$U$6,"y")=2,"2-3 years","3-4 years")</f>
        <v>3-4 years</v>
      </c>
      <c r="L196" s="204" t="s">
        <v>16</v>
      </c>
      <c r="M196" s="204" t="s">
        <v>16</v>
      </c>
      <c r="N196" s="204">
        <v>18</v>
      </c>
      <c r="O196" s="204">
        <v>75</v>
      </c>
      <c r="P196" s="204" t="s">
        <v>16</v>
      </c>
      <c r="Q196" s="204" t="s">
        <v>16</v>
      </c>
      <c r="R196" s="204" t="s">
        <v>16</v>
      </c>
      <c r="S196" s="204" t="s">
        <v>16</v>
      </c>
      <c r="T196" s="204" t="s">
        <v>16</v>
      </c>
      <c r="U196" s="204" t="s">
        <v>16</v>
      </c>
      <c r="V196" s="204"/>
      <c r="W196" s="22"/>
      <c r="X196" s="204" t="s">
        <v>15</v>
      </c>
      <c r="Y196" s="204"/>
      <c r="Z196" s="204"/>
      <c r="AA196" s="204"/>
      <c r="AB196" s="202"/>
    </row>
    <row r="197" spans="1:28" s="213" customFormat="1" ht="14.5">
      <c r="A197" s="206">
        <v>43114</v>
      </c>
      <c r="B197" s="204" t="s">
        <v>1282</v>
      </c>
      <c r="C197" s="204" t="s">
        <v>1295</v>
      </c>
      <c r="D197" s="206" t="s">
        <v>1296</v>
      </c>
      <c r="E197" s="204"/>
      <c r="F197" s="204">
        <v>2</v>
      </c>
      <c r="G197" s="204">
        <v>2</v>
      </c>
      <c r="H197" s="204" t="s">
        <v>16</v>
      </c>
      <c r="I197" s="204" t="s">
        <v>641</v>
      </c>
      <c r="J197" s="205">
        <v>41927</v>
      </c>
      <c r="K197" s="13" t="str">
        <f>IF(DATEDIF($J197,'Inst summary and ER calculation'!$U$6,"y")=2,"2-3 years","3-4 years")</f>
        <v>3-4 years</v>
      </c>
      <c r="L197" s="204" t="s">
        <v>16</v>
      </c>
      <c r="M197" s="204" t="s">
        <v>16</v>
      </c>
      <c r="N197" s="204">
        <v>21</v>
      </c>
      <c r="O197" s="204">
        <v>90</v>
      </c>
      <c r="P197" s="204" t="s">
        <v>16</v>
      </c>
      <c r="Q197" s="204" t="s">
        <v>16</v>
      </c>
      <c r="R197" s="204" t="s">
        <v>16</v>
      </c>
      <c r="S197" s="204" t="s">
        <v>16</v>
      </c>
      <c r="T197" s="204" t="s">
        <v>16</v>
      </c>
      <c r="U197" s="204" t="s">
        <v>16</v>
      </c>
      <c r="V197" s="204"/>
      <c r="W197" s="22"/>
      <c r="X197" s="204" t="s">
        <v>15</v>
      </c>
      <c r="Y197" s="204"/>
      <c r="Z197" s="204"/>
      <c r="AA197" s="204"/>
      <c r="AB197" s="202"/>
    </row>
    <row r="198" spans="1:28" s="213" customFormat="1" ht="14.5">
      <c r="A198" s="206">
        <v>43124</v>
      </c>
      <c r="B198" s="4" t="s">
        <v>855</v>
      </c>
      <c r="C198" s="4" t="s">
        <v>202</v>
      </c>
      <c r="D198" s="4" t="s">
        <v>899</v>
      </c>
      <c r="E198" s="4"/>
      <c r="F198" s="4">
        <v>3</v>
      </c>
      <c r="G198" s="209">
        <v>2</v>
      </c>
      <c r="H198" s="4" t="s">
        <v>780</v>
      </c>
      <c r="I198" s="4" t="s">
        <v>251</v>
      </c>
      <c r="J198" s="205">
        <v>42019</v>
      </c>
      <c r="K198" s="13" t="str">
        <f>IF(DATEDIF($J198,'Inst summary and ER calculation'!$U$6,"y")=2,"2-3 years","3-4 years")</f>
        <v>3-4 years</v>
      </c>
      <c r="L198" s="6" t="s">
        <v>780</v>
      </c>
      <c r="M198" s="4" t="s">
        <v>780</v>
      </c>
      <c r="N198" s="4">
        <v>21</v>
      </c>
      <c r="O198" s="209">
        <v>90</v>
      </c>
      <c r="P198" s="4" t="s">
        <v>780</v>
      </c>
      <c r="Q198" s="4" t="s">
        <v>780</v>
      </c>
      <c r="R198" s="4" t="s">
        <v>780</v>
      </c>
      <c r="S198" s="4" t="s">
        <v>780</v>
      </c>
      <c r="T198" s="4" t="s">
        <v>780</v>
      </c>
      <c r="U198" s="4" t="s">
        <v>780</v>
      </c>
      <c r="V198" s="4" t="s">
        <v>15</v>
      </c>
      <c r="W198" s="4"/>
      <c r="X198" s="4" t="s">
        <v>15</v>
      </c>
      <c r="Y198" s="4"/>
      <c r="Z198" s="4"/>
      <c r="AA198" s="209"/>
      <c r="AB198" s="202"/>
    </row>
    <row r="199" spans="1:28" s="213" customFormat="1" ht="14.5">
      <c r="A199" s="206">
        <v>43119</v>
      </c>
      <c r="B199" s="204" t="s">
        <v>803</v>
      </c>
      <c r="C199" s="204" t="s">
        <v>113</v>
      </c>
      <c r="D199" s="12" t="s">
        <v>1043</v>
      </c>
      <c r="E199" s="12"/>
      <c r="F199" s="204">
        <v>3</v>
      </c>
      <c r="G199" s="204">
        <v>2</v>
      </c>
      <c r="H199" s="204" t="s">
        <v>16</v>
      </c>
      <c r="I199" s="11" t="s">
        <v>676</v>
      </c>
      <c r="J199" s="205">
        <v>41938</v>
      </c>
      <c r="K199" s="13" t="str">
        <f>IF(DATEDIF($J199,'Inst summary and ER calculation'!$U$6,"y")=2,"2-3 years","3-4 years")</f>
        <v>3-4 years</v>
      </c>
      <c r="L199" s="204" t="s">
        <v>16</v>
      </c>
      <c r="M199" s="204" t="s">
        <v>16</v>
      </c>
      <c r="N199" s="204">
        <v>20</v>
      </c>
      <c r="O199" s="204">
        <v>85</v>
      </c>
      <c r="P199" s="204" t="s">
        <v>16</v>
      </c>
      <c r="Q199" s="204" t="s">
        <v>16</v>
      </c>
      <c r="R199" s="204" t="s">
        <v>16</v>
      </c>
      <c r="S199" s="204" t="s">
        <v>16</v>
      </c>
      <c r="T199" s="204" t="s">
        <v>16</v>
      </c>
      <c r="U199" s="204" t="s">
        <v>16</v>
      </c>
      <c r="V199" s="204"/>
      <c r="W199" s="22"/>
      <c r="X199" s="204" t="s">
        <v>15</v>
      </c>
      <c r="Y199" s="204"/>
      <c r="Z199" s="204"/>
      <c r="AA199" s="204"/>
      <c r="AB199" s="202"/>
    </row>
    <row r="200" spans="1:28" s="213" customFormat="1" ht="14.5">
      <c r="A200" s="206">
        <v>43120</v>
      </c>
      <c r="B200" s="204" t="s">
        <v>1018</v>
      </c>
      <c r="C200" s="204" t="s">
        <v>97</v>
      </c>
      <c r="D200" s="12" t="s">
        <v>1019</v>
      </c>
      <c r="E200" s="12"/>
      <c r="F200" s="204">
        <v>3</v>
      </c>
      <c r="G200" s="204">
        <v>3</v>
      </c>
      <c r="H200" s="204" t="s">
        <v>16</v>
      </c>
      <c r="I200" s="204" t="s">
        <v>588</v>
      </c>
      <c r="J200" s="205">
        <v>41866</v>
      </c>
      <c r="K200" s="13" t="str">
        <f>IF(DATEDIF($J200,'Inst summary and ER calculation'!$U$6,"y")=2,"2-3 years","3-4 years")</f>
        <v>3-4 years</v>
      </c>
      <c r="L200" s="204" t="s">
        <v>16</v>
      </c>
      <c r="M200" s="204" t="s">
        <v>16</v>
      </c>
      <c r="N200" s="204">
        <v>14</v>
      </c>
      <c r="O200" s="204">
        <v>64</v>
      </c>
      <c r="P200" s="204" t="s">
        <v>16</v>
      </c>
      <c r="Q200" s="204" t="s">
        <v>16</v>
      </c>
      <c r="R200" s="204" t="s">
        <v>16</v>
      </c>
      <c r="S200" s="204" t="s">
        <v>16</v>
      </c>
      <c r="T200" s="204" t="s">
        <v>16</v>
      </c>
      <c r="U200" s="204" t="s">
        <v>16</v>
      </c>
      <c r="V200" s="204"/>
      <c r="W200" s="22"/>
      <c r="X200" s="4" t="s">
        <v>16</v>
      </c>
      <c r="Y200" s="4" t="s">
        <v>16</v>
      </c>
      <c r="Z200" s="204">
        <v>6</v>
      </c>
      <c r="AA200" s="204">
        <v>26</v>
      </c>
      <c r="AB200" s="202">
        <f t="shared" ref="AB200:AB208" si="4">IF(Y200="yes",MAX(Z200/(Z200+N200),AA200/(AA200+O200)),"")</f>
        <v>0.3</v>
      </c>
    </row>
    <row r="201" spans="1:28" s="213" customFormat="1" ht="14.5">
      <c r="A201" s="206">
        <v>43112</v>
      </c>
      <c r="B201" s="8" t="s">
        <v>842</v>
      </c>
      <c r="C201" s="4" t="s">
        <v>1577</v>
      </c>
      <c r="D201" s="4" t="s">
        <v>865</v>
      </c>
      <c r="E201" s="4"/>
      <c r="F201" s="4">
        <v>3</v>
      </c>
      <c r="G201" s="209">
        <v>1</v>
      </c>
      <c r="H201" s="4" t="s">
        <v>780</v>
      </c>
      <c r="I201" s="4" t="s">
        <v>605</v>
      </c>
      <c r="J201" s="205">
        <v>41897</v>
      </c>
      <c r="K201" s="13" t="str">
        <f>IF(DATEDIF($J201,'Inst summary and ER calculation'!$U$6,"y")=2,"2-3 years","3-4 years")</f>
        <v>3-4 years</v>
      </c>
      <c r="L201" s="6" t="s">
        <v>780</v>
      </c>
      <c r="M201" s="4" t="s">
        <v>780</v>
      </c>
      <c r="N201" s="4">
        <v>14</v>
      </c>
      <c r="O201" s="209">
        <v>56</v>
      </c>
      <c r="P201" s="4" t="s">
        <v>780</v>
      </c>
      <c r="Q201" s="4" t="s">
        <v>780</v>
      </c>
      <c r="R201" s="4" t="s">
        <v>780</v>
      </c>
      <c r="S201" s="4" t="s">
        <v>780</v>
      </c>
      <c r="T201" s="4" t="s">
        <v>780</v>
      </c>
      <c r="U201" s="4" t="s">
        <v>780</v>
      </c>
      <c r="V201" s="4" t="s">
        <v>15</v>
      </c>
      <c r="W201" s="4"/>
      <c r="X201" s="4" t="s">
        <v>16</v>
      </c>
      <c r="Y201" s="4" t="s">
        <v>16</v>
      </c>
      <c r="Z201" s="4">
        <v>7</v>
      </c>
      <c r="AA201" s="209">
        <v>28</v>
      </c>
      <c r="AB201" s="202">
        <f t="shared" si="4"/>
        <v>0.33333333333333331</v>
      </c>
    </row>
    <row r="202" spans="1:28" s="213" customFormat="1" ht="14.5">
      <c r="A202" s="206">
        <v>43123</v>
      </c>
      <c r="B202" s="4" t="s">
        <v>795</v>
      </c>
      <c r="C202" s="4" t="s">
        <v>170</v>
      </c>
      <c r="D202" s="4" t="s">
        <v>892</v>
      </c>
      <c r="E202" s="4"/>
      <c r="F202" s="4">
        <v>5</v>
      </c>
      <c r="G202" s="209">
        <v>0</v>
      </c>
      <c r="H202" s="4" t="s">
        <v>780</v>
      </c>
      <c r="I202" s="4" t="s">
        <v>581</v>
      </c>
      <c r="J202" s="205">
        <v>41854</v>
      </c>
      <c r="K202" s="13" t="str">
        <f>IF(DATEDIF($J202,'Inst summary and ER calculation'!$U$6,"y")=2,"2-3 years","3-4 years")</f>
        <v>3-4 years</v>
      </c>
      <c r="L202" s="6" t="s">
        <v>780</v>
      </c>
      <c r="M202" s="4" t="s">
        <v>780</v>
      </c>
      <c r="N202" s="4">
        <v>7</v>
      </c>
      <c r="O202" s="209">
        <v>30</v>
      </c>
      <c r="P202" s="4" t="s">
        <v>780</v>
      </c>
      <c r="Q202" s="4" t="s">
        <v>780</v>
      </c>
      <c r="R202" s="4" t="s">
        <v>780</v>
      </c>
      <c r="S202" s="4" t="s">
        <v>780</v>
      </c>
      <c r="T202" s="4" t="s">
        <v>780</v>
      </c>
      <c r="U202" s="4" t="s">
        <v>780</v>
      </c>
      <c r="V202" s="4" t="s">
        <v>15</v>
      </c>
      <c r="W202" s="4"/>
      <c r="X202" s="4" t="s">
        <v>16</v>
      </c>
      <c r="Y202" s="4" t="s">
        <v>16</v>
      </c>
      <c r="Z202" s="4">
        <v>14</v>
      </c>
      <c r="AA202" s="209">
        <v>60</v>
      </c>
      <c r="AB202" s="202">
        <f t="shared" si="4"/>
        <v>0.66666666666666663</v>
      </c>
    </row>
    <row r="203" spans="1:28" s="213" customFormat="1" ht="14.5">
      <c r="A203" s="206">
        <v>43119</v>
      </c>
      <c r="B203" s="204" t="s">
        <v>62</v>
      </c>
      <c r="C203" s="204" t="s">
        <v>46</v>
      </c>
      <c r="D203" s="206" t="s">
        <v>1305</v>
      </c>
      <c r="E203" s="204"/>
      <c r="F203" s="204">
        <v>3</v>
      </c>
      <c r="G203" s="204">
        <v>2</v>
      </c>
      <c r="H203" s="204" t="s">
        <v>16</v>
      </c>
      <c r="I203" s="204" t="s">
        <v>672</v>
      </c>
      <c r="J203" s="205">
        <v>41937</v>
      </c>
      <c r="K203" s="13" t="str">
        <f>IF(DATEDIF($J203,'Inst summary and ER calculation'!$U$6,"y")=2,"2-3 years","3-4 years")</f>
        <v>3-4 years</v>
      </c>
      <c r="L203" s="204" t="s">
        <v>16</v>
      </c>
      <c r="M203" s="204" t="s">
        <v>16</v>
      </c>
      <c r="N203" s="204">
        <v>11</v>
      </c>
      <c r="O203" s="204">
        <v>45</v>
      </c>
      <c r="P203" s="204" t="s">
        <v>16</v>
      </c>
      <c r="Q203" s="204" t="s">
        <v>16</v>
      </c>
      <c r="R203" s="204" t="s">
        <v>16</v>
      </c>
      <c r="S203" s="204" t="s">
        <v>16</v>
      </c>
      <c r="T203" s="204" t="s">
        <v>16</v>
      </c>
      <c r="U203" s="204" t="s">
        <v>16</v>
      </c>
      <c r="V203" s="204"/>
      <c r="W203" s="22"/>
      <c r="X203" s="4" t="s">
        <v>16</v>
      </c>
      <c r="Y203" s="4" t="s">
        <v>16</v>
      </c>
      <c r="Z203" s="204">
        <v>10</v>
      </c>
      <c r="AA203" s="204">
        <v>45</v>
      </c>
      <c r="AB203" s="202">
        <f t="shared" si="4"/>
        <v>0.5</v>
      </c>
    </row>
    <row r="204" spans="1:28" s="213" customFormat="1" ht="14.5">
      <c r="A204" s="206">
        <v>43112</v>
      </c>
      <c r="B204" s="204" t="s">
        <v>1282</v>
      </c>
      <c r="C204" s="204" t="s">
        <v>1300</v>
      </c>
      <c r="D204" s="206" t="s">
        <v>1301</v>
      </c>
      <c r="E204" s="204"/>
      <c r="F204" s="215">
        <v>2</v>
      </c>
      <c r="G204" s="216">
        <v>2</v>
      </c>
      <c r="H204" s="204" t="s">
        <v>16</v>
      </c>
      <c r="I204" s="204" t="s">
        <v>654</v>
      </c>
      <c r="J204" s="205">
        <v>41932</v>
      </c>
      <c r="K204" s="13" t="str">
        <f>IF(DATEDIF($J204,'Inst summary and ER calculation'!$U$6,"y")=2,"2-3 years","3-4 years")</f>
        <v>3-4 years</v>
      </c>
      <c r="L204" s="204" t="s">
        <v>16</v>
      </c>
      <c r="M204" s="204" t="s">
        <v>16</v>
      </c>
      <c r="N204" s="204">
        <v>7</v>
      </c>
      <c r="O204" s="204">
        <v>30</v>
      </c>
      <c r="P204" s="204" t="s">
        <v>16</v>
      </c>
      <c r="Q204" s="204" t="s">
        <v>16</v>
      </c>
      <c r="R204" s="204" t="s">
        <v>16</v>
      </c>
      <c r="S204" s="204" t="s">
        <v>16</v>
      </c>
      <c r="T204" s="204" t="s">
        <v>16</v>
      </c>
      <c r="U204" s="204" t="s">
        <v>16</v>
      </c>
      <c r="V204" s="204"/>
      <c r="W204" s="22"/>
      <c r="X204" s="4" t="s">
        <v>16</v>
      </c>
      <c r="Y204" s="4" t="s">
        <v>16</v>
      </c>
      <c r="Z204" s="204">
        <v>14</v>
      </c>
      <c r="AA204" s="204">
        <v>60</v>
      </c>
      <c r="AB204" s="202">
        <f t="shared" si="4"/>
        <v>0.66666666666666663</v>
      </c>
    </row>
    <row r="205" spans="1:28" s="213" customFormat="1" ht="14.5">
      <c r="A205" s="206">
        <v>43121</v>
      </c>
      <c r="B205" s="204" t="s">
        <v>1167</v>
      </c>
      <c r="C205" s="204" t="s">
        <v>104</v>
      </c>
      <c r="D205" s="206" t="s">
        <v>1168</v>
      </c>
      <c r="E205" s="204"/>
      <c r="F205" s="204">
        <v>3</v>
      </c>
      <c r="G205" s="204"/>
      <c r="H205" s="204" t="s">
        <v>16</v>
      </c>
      <c r="I205" s="12" t="s">
        <v>639</v>
      </c>
      <c r="J205" s="205">
        <v>41927</v>
      </c>
      <c r="K205" s="13" t="str">
        <f>IF(DATEDIF($J205,'Inst summary and ER calculation'!$U$6,"y")=2,"2-3 years","3-4 years")</f>
        <v>3-4 years</v>
      </c>
      <c r="L205" s="204" t="s">
        <v>16</v>
      </c>
      <c r="M205" s="204" t="s">
        <v>15</v>
      </c>
      <c r="N205" s="204"/>
      <c r="O205" s="204"/>
      <c r="P205" s="204"/>
      <c r="Q205" s="204"/>
      <c r="R205" s="204"/>
      <c r="S205" s="204"/>
      <c r="T205" s="204"/>
      <c r="U205" s="204"/>
      <c r="V205" s="204"/>
      <c r="W205" s="22"/>
      <c r="X205" s="204"/>
      <c r="Y205" s="204"/>
      <c r="Z205" s="204"/>
      <c r="AA205" s="204"/>
      <c r="AB205" s="202" t="str">
        <f t="shared" si="4"/>
        <v/>
      </c>
    </row>
    <row r="206" spans="1:28" s="213" customFormat="1" ht="14.5">
      <c r="A206" s="206">
        <v>43105</v>
      </c>
      <c r="B206" s="4" t="s">
        <v>795</v>
      </c>
      <c r="C206" s="4" t="s">
        <v>1568</v>
      </c>
      <c r="D206" s="4" t="s">
        <v>1439</v>
      </c>
      <c r="E206" s="4"/>
      <c r="F206" s="4">
        <v>2</v>
      </c>
      <c r="G206" s="209">
        <v>1</v>
      </c>
      <c r="H206" s="4" t="s">
        <v>780</v>
      </c>
      <c r="I206" s="4" t="s">
        <v>665</v>
      </c>
      <c r="J206" s="205">
        <v>41934</v>
      </c>
      <c r="K206" s="13" t="str">
        <f>IF(DATEDIF($J206,'Inst summary and ER calculation'!$U$6,"y")=2,"2-3 years","3-4 years")</f>
        <v>3-4 years</v>
      </c>
      <c r="L206" s="6" t="s">
        <v>780</v>
      </c>
      <c r="M206" s="4" t="s">
        <v>15</v>
      </c>
      <c r="N206" s="4"/>
      <c r="O206" s="209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209"/>
      <c r="AB206" s="202" t="str">
        <f t="shared" si="4"/>
        <v/>
      </c>
    </row>
    <row r="207" spans="1:28" s="213" customFormat="1" ht="20.25" customHeight="1">
      <c r="A207" s="206">
        <v>43121</v>
      </c>
      <c r="B207" s="4" t="s">
        <v>845</v>
      </c>
      <c r="C207" s="4" t="s">
        <v>1596</v>
      </c>
      <c r="D207" s="4" t="s">
        <v>846</v>
      </c>
      <c r="E207" s="4"/>
      <c r="F207" s="4">
        <v>6</v>
      </c>
      <c r="G207" s="209">
        <v>6</v>
      </c>
      <c r="H207" s="4" t="s">
        <v>780</v>
      </c>
      <c r="I207" s="4" t="s">
        <v>729</v>
      </c>
      <c r="J207" s="205">
        <v>41988</v>
      </c>
      <c r="K207" s="13" t="str">
        <f>IF(DATEDIF($J207,'Inst summary and ER calculation'!$U$6,"y")=2,"2-3 years","3-4 years")</f>
        <v>3-4 years</v>
      </c>
      <c r="L207" s="6" t="s">
        <v>780</v>
      </c>
      <c r="M207" s="4" t="s">
        <v>15</v>
      </c>
      <c r="N207" s="4"/>
      <c r="O207" s="209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209"/>
      <c r="AB207" s="202" t="str">
        <f t="shared" si="4"/>
        <v/>
      </c>
    </row>
    <row r="208" spans="1:28" s="213" customFormat="1" ht="14.5">
      <c r="A208" s="206">
        <v>43122</v>
      </c>
      <c r="B208" s="204" t="s">
        <v>451</v>
      </c>
      <c r="C208" s="204" t="s">
        <v>1025</v>
      </c>
      <c r="D208" s="12" t="s">
        <v>1026</v>
      </c>
      <c r="E208" s="12"/>
      <c r="F208" s="204">
        <v>4</v>
      </c>
      <c r="G208" s="204">
        <v>1</v>
      </c>
      <c r="H208" s="204" t="s">
        <v>16</v>
      </c>
      <c r="I208" s="204" t="s">
        <v>601</v>
      </c>
      <c r="J208" s="205">
        <v>41883</v>
      </c>
      <c r="K208" s="13" t="str">
        <f>IF(DATEDIF($J208,'Inst summary and ER calculation'!$U$6,"y")=2,"2-3 years","3-4 years")</f>
        <v>3-4 years</v>
      </c>
      <c r="L208" s="204" t="s">
        <v>16</v>
      </c>
      <c r="M208" s="204" t="s">
        <v>15</v>
      </c>
      <c r="N208" s="204"/>
      <c r="O208" s="204"/>
      <c r="P208" s="204"/>
      <c r="Q208" s="204"/>
      <c r="R208" s="204"/>
      <c r="S208" s="204"/>
      <c r="T208" s="204"/>
      <c r="U208" s="204"/>
      <c r="V208" s="204"/>
      <c r="W208" s="22"/>
      <c r="X208" s="204"/>
      <c r="Y208" s="204"/>
      <c r="Z208" s="204"/>
      <c r="AA208" s="204"/>
      <c r="AB208" s="202" t="str">
        <f t="shared" si="4"/>
        <v/>
      </c>
    </row>
  </sheetData>
  <mergeCells count="25">
    <mergeCell ref="AB1:AB2"/>
    <mergeCell ref="A1:A2"/>
    <mergeCell ref="H1:H2"/>
    <mergeCell ref="I1:I2"/>
    <mergeCell ref="J1:J2"/>
    <mergeCell ref="B1:B2"/>
    <mergeCell ref="C1:C2"/>
    <mergeCell ref="D1:D2"/>
    <mergeCell ref="E1:E2"/>
    <mergeCell ref="K1:K2"/>
    <mergeCell ref="L1:L2"/>
    <mergeCell ref="M1:M2"/>
    <mergeCell ref="F1:G1"/>
    <mergeCell ref="Z1:AA1"/>
    <mergeCell ref="V1:V2"/>
    <mergeCell ref="W1:W2"/>
    <mergeCell ref="N1:O1"/>
    <mergeCell ref="X1:X2"/>
    <mergeCell ref="Y1:Y2"/>
    <mergeCell ref="T1:T2"/>
    <mergeCell ref="U1:U2"/>
    <mergeCell ref="P1:P2"/>
    <mergeCell ref="Q1:Q2"/>
    <mergeCell ref="R1:R2"/>
    <mergeCell ref="S1:S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AC50-50D4-9244-B5E7-7097CBB10AFF}">
  <sheetPr codeName="Sheet7"/>
  <dimension ref="A1:M124"/>
  <sheetViews>
    <sheetView topLeftCell="D53" zoomScale="115" zoomScaleNormal="115" workbookViewId="0">
      <selection activeCell="L81" sqref="L81"/>
    </sheetView>
  </sheetViews>
  <sheetFormatPr defaultColWidth="8.6640625" defaultRowHeight="14.25" customHeight="1"/>
  <cols>
    <col min="1" max="1" width="31" style="187" bestFit="1" customWidth="1"/>
    <col min="2" max="2" width="18.1640625" style="185" bestFit="1" customWidth="1"/>
    <col min="3" max="3" width="13.1640625" style="185" customWidth="1"/>
    <col min="4" max="4" width="18.1640625" style="185" customWidth="1"/>
    <col min="5" max="5" width="21.1640625" style="185" customWidth="1"/>
    <col min="6" max="6" width="14.6640625" style="195" customWidth="1"/>
    <col min="7" max="7" width="14.6640625" style="185" customWidth="1"/>
    <col min="8" max="11" width="19.1640625" style="185" customWidth="1"/>
    <col min="12" max="12" width="29.6640625" style="185" customWidth="1"/>
    <col min="13" max="13" width="27.33203125" style="185" customWidth="1"/>
    <col min="14" max="16384" width="8.6640625" style="185"/>
  </cols>
  <sheetData>
    <row r="1" spans="1:6" ht="33">
      <c r="A1" s="184" t="s">
        <v>1509</v>
      </c>
      <c r="B1" s="183" t="s">
        <v>1517</v>
      </c>
      <c r="C1" s="168"/>
      <c r="D1" s="184" t="s">
        <v>1509</v>
      </c>
      <c r="E1" s="183" t="s">
        <v>1510</v>
      </c>
      <c r="F1" s="190"/>
    </row>
    <row r="2" spans="1:6" ht="14.25" customHeight="1">
      <c r="A2" s="175" t="s">
        <v>1441</v>
      </c>
      <c r="B2" s="196">
        <f>'Inst summary and ER calculation'!N4+'Inst summary and ER calculation'!Q4</f>
        <v>18154</v>
      </c>
      <c r="C2" s="168"/>
      <c r="D2" s="175" t="s">
        <v>1441</v>
      </c>
      <c r="E2" s="176">
        <f>'Inst summary and ER calculation'!L4+'Inst summary and ER calculation'!M4</f>
        <v>9029</v>
      </c>
      <c r="F2" s="190"/>
    </row>
    <row r="3" spans="1:6" ht="14.25" customHeight="1">
      <c r="A3" s="175" t="s">
        <v>1443</v>
      </c>
      <c r="B3" s="196">
        <f>'Inst summary and ER calculation'!N5+'Inst summary and ER calculation'!Q5</f>
        <v>17338</v>
      </c>
      <c r="C3" s="168"/>
      <c r="D3" s="175" t="s">
        <v>1443</v>
      </c>
      <c r="E3" s="176">
        <f>'Inst summary and ER calculation'!L5+'Inst summary and ER calculation'!M5</f>
        <v>8623</v>
      </c>
      <c r="F3" s="190"/>
    </row>
    <row r="4" spans="1:6" ht="14.25" customHeight="1">
      <c r="A4" s="175" t="s">
        <v>1442</v>
      </c>
      <c r="B4" s="196">
        <f>'Inst summary and ER calculation'!N6+'Inst summary and ER calculation'!Q6</f>
        <v>0</v>
      </c>
      <c r="C4" s="168"/>
      <c r="D4" s="175" t="s">
        <v>1442</v>
      </c>
      <c r="E4" s="176">
        <f>'Inst summary and ER calculation'!L6+'Inst summary and ER calculation'!M6</f>
        <v>0</v>
      </c>
      <c r="F4" s="190"/>
    </row>
    <row r="5" spans="1:6" ht="14.25" customHeight="1">
      <c r="A5" s="175" t="s">
        <v>1444</v>
      </c>
      <c r="B5" s="196">
        <f>'Inst summary and ER calculation'!N7+'Inst summary and ER calculation'!Q7</f>
        <v>18262</v>
      </c>
      <c r="C5" s="168"/>
      <c r="D5" s="175" t="s">
        <v>1444</v>
      </c>
      <c r="E5" s="176">
        <f>'Inst summary and ER calculation'!L7+'Inst summary and ER calculation'!M7</f>
        <v>9083</v>
      </c>
      <c r="F5" s="190"/>
    </row>
    <row r="6" spans="1:6" ht="14.25" customHeight="1">
      <c r="A6" s="175" t="s">
        <v>1445</v>
      </c>
      <c r="B6" s="196">
        <f>'Inst summary and ER calculation'!N8+'Inst summary and ER calculation'!Q8</f>
        <v>17768</v>
      </c>
      <c r="C6" s="168"/>
      <c r="D6" s="175" t="s">
        <v>1445</v>
      </c>
      <c r="E6" s="176">
        <f>'Inst summary and ER calculation'!L8+'Inst summary and ER calculation'!M8</f>
        <v>8837</v>
      </c>
      <c r="F6" s="190"/>
    </row>
    <row r="7" spans="1:6" ht="14.25" customHeight="1">
      <c r="A7" s="175" t="s">
        <v>1446</v>
      </c>
      <c r="B7" s="196">
        <f>'Inst summary and ER calculation'!N9+'Inst summary and ER calculation'!Q9</f>
        <v>17403</v>
      </c>
      <c r="C7" s="168"/>
      <c r="D7" s="175" t="s">
        <v>1446</v>
      </c>
      <c r="E7" s="176">
        <f>'Inst summary and ER calculation'!L9+'Inst summary and ER calculation'!M9</f>
        <v>8656</v>
      </c>
      <c r="F7" s="190"/>
    </row>
    <row r="8" spans="1:6" ht="14.25" customHeight="1">
      <c r="A8" s="175" t="s">
        <v>1447</v>
      </c>
      <c r="B8" s="196">
        <f>'Inst summary and ER calculation'!N10+'Inst summary and ER calculation'!Q10</f>
        <v>5433</v>
      </c>
      <c r="C8" s="168"/>
      <c r="D8" s="175" t="s">
        <v>1447</v>
      </c>
      <c r="E8" s="176">
        <f>'Inst summary and ER calculation'!L10+'Inst summary and ER calculation'!M10</f>
        <v>3425</v>
      </c>
      <c r="F8" s="190"/>
    </row>
    <row r="9" spans="1:6" ht="14.25" customHeight="1">
      <c r="A9" s="175" t="s">
        <v>1448</v>
      </c>
      <c r="B9" s="196">
        <f>'Inst summary and ER calculation'!N11+'Inst summary and ER calculation'!Q11</f>
        <v>6907</v>
      </c>
      <c r="C9" s="168"/>
      <c r="D9" s="175" t="s">
        <v>1448</v>
      </c>
      <c r="E9" s="176">
        <f>'Inst summary and ER calculation'!L11+'Inst summary and ER calculation'!M11</f>
        <v>4354</v>
      </c>
      <c r="F9" s="190"/>
    </row>
    <row r="10" spans="1:6" ht="14.25" customHeight="1">
      <c r="A10" s="175" t="s">
        <v>1449</v>
      </c>
      <c r="B10" s="196">
        <f>'Inst summary and ER calculation'!N12+'Inst summary and ER calculation'!Q12</f>
        <v>4668</v>
      </c>
      <c r="C10" s="168"/>
      <c r="D10" s="175" t="s">
        <v>1449</v>
      </c>
      <c r="E10" s="176">
        <f>'Inst summary and ER calculation'!L12+'Inst summary and ER calculation'!M12</f>
        <v>2943</v>
      </c>
      <c r="F10" s="190"/>
    </row>
    <row r="11" spans="1:6" ht="14.25" customHeight="1">
      <c r="A11" s="175" t="s">
        <v>127</v>
      </c>
      <c r="B11" s="196">
        <f>'Inst summary and ER calculation'!N13+'Inst summary and ER calculation'!Q13</f>
        <v>5432</v>
      </c>
      <c r="C11" s="168"/>
      <c r="D11" s="175" t="s">
        <v>127</v>
      </c>
      <c r="E11" s="176">
        <f>'Inst summary and ER calculation'!L13+'Inst summary and ER calculation'!M13</f>
        <v>3424</v>
      </c>
      <c r="F11" s="190"/>
    </row>
    <row r="12" spans="1:6" ht="14.25" customHeight="1">
      <c r="A12" s="175" t="s">
        <v>128</v>
      </c>
      <c r="B12" s="196">
        <f>'Inst summary and ER calculation'!N14+'Inst summary and ER calculation'!Q14</f>
        <v>3727</v>
      </c>
      <c r="C12" s="168"/>
      <c r="D12" s="175" t="s">
        <v>128</v>
      </c>
      <c r="E12" s="176">
        <f>'Inst summary and ER calculation'!L14+'Inst summary and ER calculation'!M14</f>
        <v>2350</v>
      </c>
      <c r="F12" s="190"/>
    </row>
    <row r="13" spans="1:6" ht="14.25" customHeight="1">
      <c r="A13" s="175" t="s">
        <v>129</v>
      </c>
      <c r="B13" s="196">
        <f>'Inst summary and ER calculation'!N15+'Inst summary and ER calculation'!Q15</f>
        <v>7150</v>
      </c>
      <c r="C13" s="168"/>
      <c r="D13" s="175" t="s">
        <v>129</v>
      </c>
      <c r="E13" s="176">
        <f>'Inst summary and ER calculation'!L15+'Inst summary and ER calculation'!M15</f>
        <v>4507</v>
      </c>
      <c r="F13" s="190"/>
    </row>
    <row r="14" spans="1:6" ht="14.25" customHeight="1">
      <c r="A14" s="175" t="s">
        <v>130</v>
      </c>
      <c r="B14" s="196">
        <f>'Inst summary and ER calculation'!N16+'Inst summary and ER calculation'!Q16</f>
        <v>5939</v>
      </c>
      <c r="C14" s="168"/>
      <c r="D14" s="175" t="s">
        <v>130</v>
      </c>
      <c r="E14" s="176">
        <f>'Inst summary and ER calculation'!L16+'Inst summary and ER calculation'!M16</f>
        <v>3744</v>
      </c>
      <c r="F14" s="190"/>
    </row>
    <row r="15" spans="1:6" ht="14.25" customHeight="1">
      <c r="A15" s="175" t="s">
        <v>131</v>
      </c>
      <c r="B15" s="196">
        <f>'Inst summary and ER calculation'!N17+'Inst summary and ER calculation'!Q17</f>
        <v>9941</v>
      </c>
      <c r="C15" s="168"/>
      <c r="D15" s="175" t="s">
        <v>131</v>
      </c>
      <c r="E15" s="176">
        <f>'Inst summary and ER calculation'!L17+'Inst summary and ER calculation'!M17</f>
        <v>6266</v>
      </c>
      <c r="F15" s="190"/>
    </row>
    <row r="16" spans="1:6" ht="14.25" customHeight="1">
      <c r="A16" s="175" t="s">
        <v>132</v>
      </c>
      <c r="B16" s="196">
        <f>'Inst summary and ER calculation'!N18+'Inst summary and ER calculation'!Q18</f>
        <v>6159</v>
      </c>
      <c r="C16" s="168"/>
      <c r="D16" s="175" t="s">
        <v>132</v>
      </c>
      <c r="E16" s="176">
        <f>'Inst summary and ER calculation'!L18+'Inst summary and ER calculation'!M18</f>
        <v>3882</v>
      </c>
      <c r="F16" s="190"/>
    </row>
    <row r="17" spans="1:6" ht="14.25" customHeight="1">
      <c r="A17" s="175" t="s">
        <v>133</v>
      </c>
      <c r="B17" s="196">
        <f>'Inst summary and ER calculation'!N19+'Inst summary and ER calculation'!Q19</f>
        <v>4889</v>
      </c>
      <c r="C17" s="168"/>
      <c r="D17" s="175" t="s">
        <v>133</v>
      </c>
      <c r="E17" s="176">
        <f>'Inst summary and ER calculation'!L19+'Inst summary and ER calculation'!M19</f>
        <v>3082</v>
      </c>
      <c r="F17" s="190"/>
    </row>
    <row r="18" spans="1:6" ht="14.25" customHeight="1">
      <c r="A18" s="175" t="s">
        <v>134</v>
      </c>
      <c r="B18" s="196">
        <f>'Inst summary and ER calculation'!N20+'Inst summary and ER calculation'!Q20</f>
        <v>7464</v>
      </c>
      <c r="C18" s="168"/>
      <c r="D18" s="175" t="s">
        <v>134</v>
      </c>
      <c r="E18" s="176">
        <f>'Inst summary and ER calculation'!L20+'Inst summary and ER calculation'!M20</f>
        <v>4705</v>
      </c>
      <c r="F18" s="190"/>
    </row>
    <row r="19" spans="1:6" ht="14.25" customHeight="1">
      <c r="A19" s="175" t="s">
        <v>135</v>
      </c>
      <c r="B19" s="196">
        <f>'Inst summary and ER calculation'!N21+'Inst summary and ER calculation'!Q21</f>
        <v>4510</v>
      </c>
      <c r="C19" s="168"/>
      <c r="D19" s="175" t="s">
        <v>135</v>
      </c>
      <c r="E19" s="176">
        <f>'Inst summary and ER calculation'!L21+'Inst summary and ER calculation'!M21</f>
        <v>2843</v>
      </c>
      <c r="F19" s="190"/>
    </row>
    <row r="20" spans="1:6" ht="14.25" customHeight="1">
      <c r="A20" s="175" t="s">
        <v>136</v>
      </c>
      <c r="B20" s="196">
        <f>'Inst summary and ER calculation'!N22+'Inst summary and ER calculation'!Q22</f>
        <v>6869</v>
      </c>
      <c r="C20" s="168"/>
      <c r="D20" s="175" t="s">
        <v>136</v>
      </c>
      <c r="E20" s="176">
        <f>'Inst summary and ER calculation'!L22+'Inst summary and ER calculation'!M22</f>
        <v>4330</v>
      </c>
      <c r="F20" s="190"/>
    </row>
    <row r="21" spans="1:6" ht="14.25" customHeight="1">
      <c r="A21" s="175" t="s">
        <v>137</v>
      </c>
      <c r="B21" s="196">
        <f>'Inst summary and ER calculation'!N23+'Inst summary and ER calculation'!Q23</f>
        <v>6030</v>
      </c>
      <c r="C21" s="168"/>
      <c r="D21" s="175" t="s">
        <v>137</v>
      </c>
      <c r="E21" s="176">
        <f>'Inst summary and ER calculation'!L23+'Inst summary and ER calculation'!M23</f>
        <v>3801</v>
      </c>
      <c r="F21" s="190"/>
    </row>
    <row r="22" spans="1:6" ht="14.25" customHeight="1">
      <c r="A22" s="175" t="s">
        <v>138</v>
      </c>
      <c r="B22" s="196">
        <f>'Inst summary and ER calculation'!N24+'Inst summary and ER calculation'!Q24</f>
        <v>12092</v>
      </c>
      <c r="C22" s="168"/>
      <c r="D22" s="175" t="s">
        <v>138</v>
      </c>
      <c r="E22" s="176">
        <f>'Inst summary and ER calculation'!L24+'Inst summary and ER calculation'!M24</f>
        <v>7622</v>
      </c>
      <c r="F22" s="191"/>
    </row>
    <row r="23" spans="1:6" ht="14.25" customHeight="1">
      <c r="A23" s="175" t="s">
        <v>139</v>
      </c>
      <c r="B23" s="196">
        <f>'Inst summary and ER calculation'!N25+'Inst summary and ER calculation'!Q25</f>
        <v>8459</v>
      </c>
      <c r="C23" s="168"/>
      <c r="D23" s="175" t="s">
        <v>139</v>
      </c>
      <c r="E23" s="176">
        <f>'Inst summary and ER calculation'!L25+'Inst summary and ER calculation'!M25</f>
        <v>5332</v>
      </c>
      <c r="F23" s="191"/>
    </row>
    <row r="24" spans="1:6" ht="14.25" customHeight="1">
      <c r="A24" s="175" t="s">
        <v>140</v>
      </c>
      <c r="B24" s="196">
        <f>'Inst summary and ER calculation'!N26+'Inst summary and ER calculation'!Q26</f>
        <v>9199</v>
      </c>
      <c r="C24" s="168"/>
      <c r="D24" s="175" t="s">
        <v>140</v>
      </c>
      <c r="E24" s="176">
        <f>'Inst summary and ER calculation'!L26+'Inst summary and ER calculation'!M26</f>
        <v>5799</v>
      </c>
      <c r="F24" s="191"/>
    </row>
    <row r="25" spans="1:6" ht="14.25" customHeight="1">
      <c r="A25" s="175" t="s">
        <v>141</v>
      </c>
      <c r="B25" s="196">
        <f>'Inst summary and ER calculation'!N27+'Inst summary and ER calculation'!Q27</f>
        <v>7603</v>
      </c>
      <c r="C25" s="168"/>
      <c r="D25" s="175" t="s">
        <v>141</v>
      </c>
      <c r="E25" s="176">
        <f>'Inst summary and ER calculation'!L27+'Inst summary and ER calculation'!M27</f>
        <v>4793</v>
      </c>
      <c r="F25" s="191"/>
    </row>
    <row r="26" spans="1:6" ht="14.25" customHeight="1">
      <c r="A26" s="175" t="s">
        <v>142</v>
      </c>
      <c r="B26" s="196">
        <f>'Inst summary and ER calculation'!N28+'Inst summary and ER calculation'!Q28</f>
        <v>981</v>
      </c>
      <c r="C26" s="168"/>
      <c r="D26" s="175" t="s">
        <v>142</v>
      </c>
      <c r="E26" s="176">
        <f>'Inst summary and ER calculation'!L28+'Inst summary and ER calculation'!M28</f>
        <v>619</v>
      </c>
      <c r="F26" s="191"/>
    </row>
    <row r="27" spans="1:6" ht="14.25" customHeight="1">
      <c r="A27" s="175" t="s">
        <v>143</v>
      </c>
      <c r="B27" s="196">
        <f>'Inst summary and ER calculation'!N29+'Inst summary and ER calculation'!Q29</f>
        <v>9603</v>
      </c>
      <c r="C27" s="168"/>
      <c r="D27" s="175" t="s">
        <v>143</v>
      </c>
      <c r="E27" s="176">
        <f>'Inst summary and ER calculation'!L29+'Inst summary and ER calculation'!M29</f>
        <v>5968</v>
      </c>
      <c r="F27" s="191"/>
    </row>
    <row r="28" spans="1:6" ht="14.25" customHeight="1">
      <c r="A28" s="175" t="s">
        <v>144</v>
      </c>
      <c r="B28" s="196">
        <f>'Inst summary and ER calculation'!N30+'Inst summary and ER calculation'!Q30</f>
        <v>2666</v>
      </c>
      <c r="C28" s="168"/>
      <c r="D28" s="175" t="s">
        <v>144</v>
      </c>
      <c r="E28" s="176">
        <f>'Inst summary and ER calculation'!L30+'Inst summary and ER calculation'!M30</f>
        <v>1642</v>
      </c>
      <c r="F28" s="191"/>
    </row>
    <row r="29" spans="1:6" ht="14.25" customHeight="1">
      <c r="A29" s="175" t="s">
        <v>145</v>
      </c>
      <c r="B29" s="196">
        <f>'Inst summary and ER calculation'!N31+'Inst summary and ER calculation'!Q31</f>
        <v>6441</v>
      </c>
      <c r="C29" s="168"/>
      <c r="D29" s="175" t="s">
        <v>145</v>
      </c>
      <c r="E29" s="176">
        <f>'Inst summary and ER calculation'!L31+'Inst summary and ER calculation'!M31</f>
        <v>3966</v>
      </c>
      <c r="F29" s="191"/>
    </row>
    <row r="30" spans="1:6" ht="14.25" customHeight="1">
      <c r="A30" s="175" t="s">
        <v>146</v>
      </c>
      <c r="B30" s="196">
        <f>'Inst summary and ER calculation'!N32+'Inst summary and ER calculation'!Q32</f>
        <v>14348</v>
      </c>
      <c r="C30" s="168"/>
      <c r="D30" s="175" t="s">
        <v>146</v>
      </c>
      <c r="E30" s="176">
        <f>'Inst summary and ER calculation'!L32+'Inst summary and ER calculation'!M32</f>
        <v>8834</v>
      </c>
      <c r="F30" s="191"/>
    </row>
    <row r="31" spans="1:6" ht="14.25" customHeight="1">
      <c r="A31" s="175" t="s">
        <v>147</v>
      </c>
      <c r="B31" s="196">
        <f>'Inst summary and ER calculation'!N33+'Inst summary and ER calculation'!Q33</f>
        <v>8463</v>
      </c>
      <c r="C31" s="168"/>
      <c r="D31" s="175" t="s">
        <v>147</v>
      </c>
      <c r="E31" s="176">
        <f>'Inst summary and ER calculation'!L33+'Inst summary and ER calculation'!M33</f>
        <v>5211</v>
      </c>
      <c r="F31" s="191"/>
    </row>
    <row r="32" spans="1:6" ht="14.25" customHeight="1">
      <c r="A32" s="175" t="s">
        <v>148</v>
      </c>
      <c r="B32" s="196">
        <f>'Inst summary and ER calculation'!N34+'Inst summary and ER calculation'!Q34</f>
        <v>10475</v>
      </c>
      <c r="C32" s="168"/>
      <c r="D32" s="175" t="s">
        <v>148</v>
      </c>
      <c r="E32" s="176">
        <f>'Inst summary and ER calculation'!L34+'Inst summary and ER calculation'!M34</f>
        <v>6449</v>
      </c>
      <c r="F32" s="191"/>
    </row>
    <row r="33" spans="1:13" ht="14.25" customHeight="1">
      <c r="A33" s="175" t="s">
        <v>149</v>
      </c>
      <c r="B33" s="196">
        <f>'Inst summary and ER calculation'!N35+'Inst summary and ER calculation'!Q35</f>
        <v>14680</v>
      </c>
      <c r="C33" s="168"/>
      <c r="D33" s="175" t="s">
        <v>149</v>
      </c>
      <c r="E33" s="176">
        <f>'Inst summary and ER calculation'!L35+'Inst summary and ER calculation'!M35</f>
        <v>9038</v>
      </c>
      <c r="F33" s="191"/>
    </row>
    <row r="34" spans="1:13" ht="14.25" customHeight="1">
      <c r="A34" s="175" t="s">
        <v>150</v>
      </c>
      <c r="B34" s="196">
        <f>'Inst summary and ER calculation'!N36+'Inst summary and ER calculation'!Q36</f>
        <v>3292</v>
      </c>
      <c r="C34" s="168"/>
      <c r="D34" s="175" t="s">
        <v>150</v>
      </c>
      <c r="E34" s="176">
        <f>'Inst summary and ER calculation'!L36+'Inst summary and ER calculation'!M36</f>
        <v>2027</v>
      </c>
      <c r="F34" s="191"/>
    </row>
    <row r="35" spans="1:13" ht="16" customHeight="1">
      <c r="A35" s="175" t="s">
        <v>151</v>
      </c>
      <c r="B35" s="196">
        <f>'Inst summary and ER calculation'!N37+'Inst summary and ER calculation'!Q37</f>
        <v>466</v>
      </c>
      <c r="C35" s="168"/>
      <c r="D35" s="175" t="s">
        <v>151</v>
      </c>
      <c r="E35" s="176">
        <f>'Inst summary and ER calculation'!L37+'Inst summary and ER calculation'!M37</f>
        <v>287</v>
      </c>
      <c r="F35" s="191"/>
    </row>
    <row r="36" spans="1:13" ht="14" customHeight="1">
      <c r="A36" s="175" t="s">
        <v>152</v>
      </c>
      <c r="B36" s="196">
        <f>'Inst summary and ER calculation'!N38+'Inst summary and ER calculation'!Q38</f>
        <v>14929</v>
      </c>
      <c r="C36" s="168"/>
      <c r="D36" s="175" t="s">
        <v>152</v>
      </c>
      <c r="E36" s="176">
        <f>'Inst summary and ER calculation'!L38+'Inst summary and ER calculation'!M38</f>
        <v>9192</v>
      </c>
      <c r="F36" s="191"/>
    </row>
    <row r="37" spans="1:13" ht="14.25" customHeight="1">
      <c r="A37" s="175" t="s">
        <v>153</v>
      </c>
      <c r="B37" s="196">
        <f>'Inst summary and ER calculation'!N39+'Inst summary and ER calculation'!Q39</f>
        <v>14974</v>
      </c>
      <c r="C37" s="168"/>
      <c r="D37" s="175" t="s">
        <v>153</v>
      </c>
      <c r="E37" s="176">
        <f>'Inst summary and ER calculation'!L39+'Inst summary and ER calculation'!M39</f>
        <v>9219</v>
      </c>
      <c r="F37" s="191"/>
    </row>
    <row r="38" spans="1:13" ht="14.25" customHeight="1">
      <c r="A38" s="178" t="s">
        <v>6</v>
      </c>
      <c r="B38" s="219">
        <f>SUM(B2:B37)</f>
        <v>312714</v>
      </c>
      <c r="C38" s="168"/>
      <c r="D38" s="178" t="s">
        <v>6</v>
      </c>
      <c r="E38" s="177">
        <f>SUM(E2:E37)</f>
        <v>183882</v>
      </c>
      <c r="F38" s="191"/>
    </row>
    <row r="39" spans="1:13" ht="14.25" customHeight="1">
      <c r="A39" s="167"/>
      <c r="B39" s="169"/>
      <c r="C39" s="169"/>
      <c r="D39" s="169"/>
      <c r="E39" s="169"/>
      <c r="F39" s="190"/>
    </row>
    <row r="40" spans="1:13" ht="14.25" customHeight="1">
      <c r="A40" s="167"/>
      <c r="B40" s="169"/>
      <c r="C40" s="169"/>
      <c r="D40" s="169"/>
      <c r="E40" s="169"/>
      <c r="F40" s="190"/>
    </row>
    <row r="41" spans="1:13" ht="15.5">
      <c r="A41" s="295" t="s">
        <v>1511</v>
      </c>
      <c r="B41" s="295" t="s">
        <v>1512</v>
      </c>
      <c r="C41" s="295"/>
      <c r="D41" s="295"/>
      <c r="E41" s="295"/>
      <c r="F41" s="295"/>
      <c r="H41" s="295" t="s">
        <v>1511</v>
      </c>
      <c r="I41" s="295" t="s">
        <v>1521</v>
      </c>
      <c r="J41" s="295"/>
      <c r="K41" s="295"/>
      <c r="L41" s="295"/>
      <c r="M41" s="295"/>
    </row>
    <row r="42" spans="1:13" ht="15.5">
      <c r="A42" s="295"/>
      <c r="B42" s="295" t="s">
        <v>1518</v>
      </c>
      <c r="C42" s="295"/>
      <c r="D42" s="295"/>
      <c r="E42" s="295"/>
      <c r="F42" s="295"/>
      <c r="H42" s="295"/>
      <c r="I42" s="295" t="s">
        <v>1522</v>
      </c>
      <c r="J42" s="295"/>
      <c r="K42" s="295"/>
      <c r="L42" s="295"/>
      <c r="M42" s="295"/>
    </row>
    <row r="43" spans="1:13" ht="31">
      <c r="A43" s="295"/>
      <c r="B43" s="295" t="s">
        <v>1513</v>
      </c>
      <c r="C43" s="295" t="s">
        <v>1514</v>
      </c>
      <c r="D43" s="295"/>
      <c r="E43" s="295"/>
      <c r="F43" s="296" t="s">
        <v>1515</v>
      </c>
      <c r="H43" s="295"/>
      <c r="I43" s="290" t="s">
        <v>1520</v>
      </c>
      <c r="J43" s="291"/>
      <c r="K43" s="292"/>
      <c r="L43" s="293" t="s">
        <v>1519</v>
      </c>
      <c r="M43" s="193" t="s">
        <v>1523</v>
      </c>
    </row>
    <row r="44" spans="1:13" ht="15.5">
      <c r="A44" s="295"/>
      <c r="B44" s="295"/>
      <c r="C44" s="183">
        <v>2016</v>
      </c>
      <c r="D44" s="183">
        <v>2017</v>
      </c>
      <c r="E44" s="183">
        <v>2018</v>
      </c>
      <c r="F44" s="296"/>
      <c r="H44" s="295"/>
      <c r="I44" s="183">
        <v>2016</v>
      </c>
      <c r="J44" s="183">
        <v>2017</v>
      </c>
      <c r="K44" s="183">
        <v>2018</v>
      </c>
      <c r="L44" s="294"/>
      <c r="M44" s="193" t="s">
        <v>1516</v>
      </c>
    </row>
    <row r="45" spans="1:13" ht="14.25" customHeight="1">
      <c r="A45" s="175" t="s">
        <v>1441</v>
      </c>
      <c r="B45" s="179">
        <v>0</v>
      </c>
      <c r="C45" s="181">
        <f>ROUNDDOWN('Inst summary and ER calculation'!N4*(DATE(2016,12,31)-'Inst summary and ER calculation'!$T$4+1)/('Inst summary and ER calculation'!$T$6-'Inst summary and ER calculation'!$T$4+1),0)</f>
        <v>7686</v>
      </c>
      <c r="D45" s="181">
        <f>ROUNDDOWN(('Inst summary and ER calculation'!N4-'Monitoring Report Tables'!C45)+'Inst summary and ER calculation'!Q4*(DATE(2017,12,31)-'Inst summary and ER calculation'!$U$4+1)/('Inst summary and ER calculation'!$U$6-'Inst summary and ER calculation'!$U$4+1),0)</f>
        <v>9015</v>
      </c>
      <c r="E45" s="181">
        <f>ROUNDDOWN(('Inst summary and ER calculation'!Q4+'Inst summary and ER calculation'!N4-'Monitoring Report Tables'!D45-'Monitoring Report Tables'!C45),0)</f>
        <v>1453</v>
      </c>
      <c r="F45" s="182">
        <f t="shared" ref="F45:F80" si="0">SUM(C45:E45)</f>
        <v>18154</v>
      </c>
      <c r="H45" s="175" t="s">
        <v>1441</v>
      </c>
      <c r="I45" s="176">
        <v>9397</v>
      </c>
      <c r="J45" s="176">
        <v>9315</v>
      </c>
      <c r="K45" s="176">
        <v>9231</v>
      </c>
      <c r="L45" s="176">
        <f>(I45*(DATE(2016,12,31)-'Inst summary and ER calculation'!$T$4+1)/366)+J45+(K45*('Inst summary and ER calculation'!$U$6-DATE(2018,1,1)+1)/365)</f>
        <v>18663.642443296656</v>
      </c>
      <c r="M45" s="176">
        <f t="shared" ref="M45:M80" si="1">F45</f>
        <v>18154</v>
      </c>
    </row>
    <row r="46" spans="1:13" ht="14.25" customHeight="1">
      <c r="A46" s="175" t="s">
        <v>1443</v>
      </c>
      <c r="B46" s="179">
        <v>0</v>
      </c>
      <c r="C46" s="181">
        <f>ROUNDDOWN('Inst summary and ER calculation'!N5*(DATE(2016,12,31)-'Inst summary and ER calculation'!$T$4+1)/('Inst summary and ER calculation'!$T$6-'Inst summary and ER calculation'!$T$4+1),0)</f>
        <v>7341</v>
      </c>
      <c r="D46" s="181">
        <f>ROUNDDOWN(('Inst summary and ER calculation'!N5-'Monitoring Report Tables'!C46)+'Inst summary and ER calculation'!Q5*(DATE(2017,12,31)-'Inst summary and ER calculation'!$U$4+1)/('Inst summary and ER calculation'!$U$6-'Inst summary and ER calculation'!$U$4+1),0)</f>
        <v>8609</v>
      </c>
      <c r="E46" s="181">
        <f>ROUNDDOWN(('Inst summary and ER calculation'!Q5+'Inst summary and ER calculation'!N5-'Monitoring Report Tables'!D46-'Monitoring Report Tables'!C46),0)</f>
        <v>1388</v>
      </c>
      <c r="F46" s="182">
        <f t="shared" si="0"/>
        <v>17338</v>
      </c>
      <c r="H46" s="175" t="s">
        <v>1443</v>
      </c>
      <c r="I46" s="176">
        <v>9397</v>
      </c>
      <c r="J46" s="176">
        <v>9315</v>
      </c>
      <c r="K46" s="176">
        <v>9231</v>
      </c>
      <c r="L46" s="176">
        <f>(I46*(DATE(2016,12,31)-'Inst summary and ER calculation'!$T$4+1)/366)+J46+(K46*('Inst summary and ER calculation'!$U$6-DATE(2018,1,1)+1)/365)</f>
        <v>18663.642443296656</v>
      </c>
      <c r="M46" s="176">
        <f t="shared" si="1"/>
        <v>17338</v>
      </c>
    </row>
    <row r="47" spans="1:13" ht="14.25" customHeight="1">
      <c r="A47" s="175" t="s">
        <v>1442</v>
      </c>
      <c r="B47" s="179">
        <v>0</v>
      </c>
      <c r="C47" s="181">
        <f>ROUNDDOWN('Inst summary and ER calculation'!N6*(DATE(2016,12,31)-'Inst summary and ER calculation'!$T$4+1)/('Inst summary and ER calculation'!$T$6-'Inst summary and ER calculation'!$T$4+1),0)</f>
        <v>0</v>
      </c>
      <c r="D47" s="181">
        <f>ROUNDDOWN(('Inst summary and ER calculation'!N6-'Monitoring Report Tables'!C47)+'Inst summary and ER calculation'!Q6*(DATE(2017,12,31)-'Inst summary and ER calculation'!$U$4+1)/('Inst summary and ER calculation'!$U$6-'Inst summary and ER calculation'!$U$4+1),0)</f>
        <v>0</v>
      </c>
      <c r="E47" s="181">
        <f>ROUNDDOWN(('Inst summary and ER calculation'!Q6+'Inst summary and ER calculation'!N6-'Monitoring Report Tables'!D47-'Monitoring Report Tables'!C47),0)</f>
        <v>0</v>
      </c>
      <c r="F47" s="182">
        <f t="shared" si="0"/>
        <v>0</v>
      </c>
      <c r="H47" s="175" t="s">
        <v>1442</v>
      </c>
      <c r="I47" s="176">
        <v>0</v>
      </c>
      <c r="J47" s="176">
        <v>0</v>
      </c>
      <c r="K47" s="176">
        <v>0</v>
      </c>
      <c r="L47" s="176">
        <f>(I47*(DATE(2016,12,31)-'Inst summary and ER calculation'!$T$4+1)/366)+J47+(K47*('Inst summary and ER calculation'!$U$6-DATE(2018,1,1)+1)/365)</f>
        <v>0</v>
      </c>
      <c r="M47" s="176">
        <f t="shared" si="1"/>
        <v>0</v>
      </c>
    </row>
    <row r="48" spans="1:13" ht="14.25" customHeight="1">
      <c r="A48" s="175" t="s">
        <v>1444</v>
      </c>
      <c r="B48" s="179">
        <v>0</v>
      </c>
      <c r="C48" s="181">
        <f>ROUNDDOWN('Inst summary and ER calculation'!N7*(DATE(2016,12,31)-'Inst summary and ER calculation'!$T$4+1)/('Inst summary and ER calculation'!$T$6-'Inst summary and ER calculation'!$T$4+1),0)</f>
        <v>7732</v>
      </c>
      <c r="D48" s="181">
        <f>ROUNDDOWN(('Inst summary and ER calculation'!N7-'Monitoring Report Tables'!C48)+'Inst summary and ER calculation'!Q7*(DATE(2017,12,31)-'Inst summary and ER calculation'!$U$4+1)/('Inst summary and ER calculation'!$U$6-'Inst summary and ER calculation'!$U$4+1),0)</f>
        <v>9069</v>
      </c>
      <c r="E48" s="181">
        <f>ROUNDDOWN(('Inst summary and ER calculation'!Q7+'Inst summary and ER calculation'!N7-'Monitoring Report Tables'!D48-'Monitoring Report Tables'!C48),0)</f>
        <v>1461</v>
      </c>
      <c r="F48" s="182">
        <f t="shared" si="0"/>
        <v>18262</v>
      </c>
      <c r="H48" s="175" t="s">
        <v>1444</v>
      </c>
      <c r="I48" s="176">
        <v>9397</v>
      </c>
      <c r="J48" s="176">
        <v>9315</v>
      </c>
      <c r="K48" s="176">
        <v>9231</v>
      </c>
      <c r="L48" s="176">
        <f>(I48*(DATE(2016,12,31)-'Inst summary and ER calculation'!$T$4+1)/366)+J48+(K48*('Inst summary and ER calculation'!$U$6-DATE(2018,1,1)+1)/365)</f>
        <v>18663.642443296656</v>
      </c>
      <c r="M48" s="176">
        <f t="shared" si="1"/>
        <v>18262</v>
      </c>
    </row>
    <row r="49" spans="1:13" ht="14.25" customHeight="1">
      <c r="A49" s="175" t="s">
        <v>1445</v>
      </c>
      <c r="B49" s="179">
        <v>0</v>
      </c>
      <c r="C49" s="181">
        <f>ROUNDDOWN('Inst summary and ER calculation'!N8*(DATE(2016,12,31)-'Inst summary and ER calculation'!$T$4+1)/('Inst summary and ER calculation'!$T$6-'Inst summary and ER calculation'!$T$4+1),0)</f>
        <v>7523</v>
      </c>
      <c r="D49" s="181">
        <f>ROUNDDOWN(('Inst summary and ER calculation'!N8-'Monitoring Report Tables'!C49)+'Inst summary and ER calculation'!Q8*(DATE(2017,12,31)-'Inst summary and ER calculation'!$U$4+1)/('Inst summary and ER calculation'!$U$6-'Inst summary and ER calculation'!$U$4+1),0)</f>
        <v>8823</v>
      </c>
      <c r="E49" s="181">
        <f>ROUNDDOWN(('Inst summary and ER calculation'!Q8+'Inst summary and ER calculation'!N8-'Monitoring Report Tables'!D49-'Monitoring Report Tables'!C49),0)</f>
        <v>1422</v>
      </c>
      <c r="F49" s="182">
        <f t="shared" si="0"/>
        <v>17768</v>
      </c>
      <c r="H49" s="175" t="s">
        <v>1445</v>
      </c>
      <c r="I49" s="176">
        <v>9397</v>
      </c>
      <c r="J49" s="176">
        <v>9315</v>
      </c>
      <c r="K49" s="176">
        <v>9231</v>
      </c>
      <c r="L49" s="176">
        <f>(I49*(DATE(2016,12,31)-'Inst summary and ER calculation'!$T$4+1)/366)+J49+(K49*('Inst summary and ER calculation'!$U$6-DATE(2018,1,1)+1)/365)</f>
        <v>18663.642443296656</v>
      </c>
      <c r="M49" s="176">
        <f t="shared" si="1"/>
        <v>17768</v>
      </c>
    </row>
    <row r="50" spans="1:13" ht="14.25" customHeight="1">
      <c r="A50" s="175" t="s">
        <v>1446</v>
      </c>
      <c r="B50" s="179">
        <v>0</v>
      </c>
      <c r="C50" s="181">
        <f>ROUNDDOWN('Inst summary and ER calculation'!N9*(DATE(2016,12,31)-'Inst summary and ER calculation'!$T$4+1)/('Inst summary and ER calculation'!$T$6-'Inst summary and ER calculation'!$T$4+1),0)</f>
        <v>7369</v>
      </c>
      <c r="D50" s="181">
        <f>ROUNDDOWN(('Inst summary and ER calculation'!N9-'Monitoring Report Tables'!C50)+'Inst summary and ER calculation'!Q9*(DATE(2017,12,31)-'Inst summary and ER calculation'!$U$4+1)/('Inst summary and ER calculation'!$U$6-'Inst summary and ER calculation'!$U$4+1),0)</f>
        <v>8641</v>
      </c>
      <c r="E50" s="181">
        <f>ROUNDDOWN(('Inst summary and ER calculation'!Q9+'Inst summary and ER calculation'!N9-'Monitoring Report Tables'!D50-'Monitoring Report Tables'!C50),0)</f>
        <v>1393</v>
      </c>
      <c r="F50" s="182">
        <f t="shared" si="0"/>
        <v>17403</v>
      </c>
      <c r="H50" s="175" t="s">
        <v>1446</v>
      </c>
      <c r="I50" s="176">
        <v>9397</v>
      </c>
      <c r="J50" s="176">
        <v>9315</v>
      </c>
      <c r="K50" s="176">
        <v>9231</v>
      </c>
      <c r="L50" s="176">
        <f>(I50*(DATE(2016,12,31)-'Inst summary and ER calculation'!$T$4+1)/366)+J50+(K50*('Inst summary and ER calculation'!$U$6-DATE(2018,1,1)+1)/365)</f>
        <v>18663.642443296656</v>
      </c>
      <c r="M50" s="176">
        <f t="shared" si="1"/>
        <v>17403</v>
      </c>
    </row>
    <row r="51" spans="1:13" ht="14.25" customHeight="1">
      <c r="A51" s="175" t="s">
        <v>1447</v>
      </c>
      <c r="B51" s="179">
        <v>0</v>
      </c>
      <c r="C51" s="181">
        <f>ROUNDDOWN('Inst summary and ER calculation'!N10*(DATE(2016,12,31)-'Inst summary and ER calculation'!$T$5+1)/('Inst summary and ER calculation'!$T$6-'Inst summary and ER calculation'!$T$5+1),0)</f>
        <v>1461</v>
      </c>
      <c r="D51" s="181">
        <f>ROUNDDOWN(('Inst summary and ER calculation'!N10-'Monitoring Report Tables'!C51)+'Inst summary and ER calculation'!Q10*(DATE(2017,12,31)-'Inst summary and ER calculation'!$U$4+1)/('Inst summary and ER calculation'!$U$6-'Inst summary and ER calculation'!$U$4+1),0)</f>
        <v>3421</v>
      </c>
      <c r="E51" s="181">
        <f>ROUNDDOWN(('Inst summary and ER calculation'!Q10+'Inst summary and ER calculation'!N10-'Monitoring Report Tables'!D51-'Monitoring Report Tables'!C51),0)</f>
        <v>551</v>
      </c>
      <c r="F51" s="182">
        <f t="shared" si="0"/>
        <v>5433</v>
      </c>
      <c r="H51" s="175" t="s">
        <v>1447</v>
      </c>
      <c r="I51" s="176">
        <v>9605</v>
      </c>
      <c r="J51" s="176">
        <v>9301</v>
      </c>
      <c r="K51" s="176">
        <v>9028</v>
      </c>
      <c r="L51" s="176">
        <f>(I51*(DATE(2016,12,31)-'Inst summary and ER calculation'!$T$5+1)/366)+J51+(K51*('Inst summary and ER calculation'!$U$6-DATE(2018,1,1)+1)/365)</f>
        <v>14775.525465977993</v>
      </c>
      <c r="M51" s="176">
        <f t="shared" si="1"/>
        <v>5433</v>
      </c>
    </row>
    <row r="52" spans="1:13" ht="14.25" customHeight="1">
      <c r="A52" s="175" t="s">
        <v>1448</v>
      </c>
      <c r="B52" s="179">
        <v>0</v>
      </c>
      <c r="C52" s="181">
        <f>ROUNDDOWN('Inst summary and ER calculation'!N11*(DATE(2016,12,31)-'Inst summary and ER calculation'!$T$5+1)/('Inst summary and ER calculation'!$T$6-'Inst summary and ER calculation'!$T$5+1),0)</f>
        <v>1858</v>
      </c>
      <c r="D52" s="181">
        <f>ROUNDDOWN(('Inst summary and ER calculation'!N11-'Monitoring Report Tables'!C52)+'Inst summary and ER calculation'!Q11*(DATE(2017,12,31)-'Inst summary and ER calculation'!$U$4+1)/('Inst summary and ER calculation'!$U$6-'Inst summary and ER calculation'!$U$4+1),0)</f>
        <v>4348</v>
      </c>
      <c r="E52" s="181">
        <f>ROUNDDOWN(('Inst summary and ER calculation'!Q11+'Inst summary and ER calculation'!N11-'Monitoring Report Tables'!D52-'Monitoring Report Tables'!C52),0)</f>
        <v>701</v>
      </c>
      <c r="F52" s="182">
        <f t="shared" si="0"/>
        <v>6907</v>
      </c>
      <c r="H52" s="175" t="s">
        <v>1448</v>
      </c>
      <c r="I52" s="176">
        <v>9617</v>
      </c>
      <c r="J52" s="176">
        <v>9313</v>
      </c>
      <c r="K52" s="176">
        <v>9040</v>
      </c>
      <c r="L52" s="176">
        <f>(I52*(DATE(2016,12,31)-'Inst summary and ER calculation'!$T$5+1)/366)+J52+(K52*('Inst summary and ER calculation'!$U$6-DATE(2018,1,1)+1)/365)</f>
        <v>14794.481585448013</v>
      </c>
      <c r="M52" s="176">
        <f t="shared" si="1"/>
        <v>6907</v>
      </c>
    </row>
    <row r="53" spans="1:13" ht="14.25" customHeight="1">
      <c r="A53" s="175" t="s">
        <v>1449</v>
      </c>
      <c r="B53" s="179">
        <v>0</v>
      </c>
      <c r="C53" s="181">
        <f>ROUNDDOWN('Inst summary and ER calculation'!N12*(DATE(2016,12,31)-'Inst summary and ER calculation'!$T$5+1)/('Inst summary and ER calculation'!$T$6-'Inst summary and ER calculation'!$T$5+1),0)</f>
        <v>1255</v>
      </c>
      <c r="D53" s="181">
        <f>ROUNDDOWN(('Inst summary and ER calculation'!N12-'Monitoring Report Tables'!C53)+'Inst summary and ER calculation'!Q12*(DATE(2017,12,31)-'Inst summary and ER calculation'!$U$4+1)/('Inst summary and ER calculation'!$U$6-'Inst summary and ER calculation'!$U$4+1),0)</f>
        <v>2939</v>
      </c>
      <c r="E53" s="181">
        <f>ROUNDDOWN(('Inst summary and ER calculation'!Q12+'Inst summary and ER calculation'!N12-'Monitoring Report Tables'!D53-'Monitoring Report Tables'!C53),0)</f>
        <v>474</v>
      </c>
      <c r="F53" s="182">
        <f t="shared" si="0"/>
        <v>4668</v>
      </c>
      <c r="H53" s="175" t="s">
        <v>1449</v>
      </c>
      <c r="I53" s="176">
        <v>9625</v>
      </c>
      <c r="J53" s="176">
        <v>9321</v>
      </c>
      <c r="K53" s="176">
        <v>9048</v>
      </c>
      <c r="L53" s="176">
        <f>(I53*(DATE(2016,12,31)-'Inst summary and ER calculation'!$T$5+1)/366)+J53+(K53*('Inst summary and ER calculation'!$U$6-DATE(2018,1,1)+1)/365)</f>
        <v>14807.118998428024</v>
      </c>
      <c r="M53" s="176">
        <f t="shared" si="1"/>
        <v>4668</v>
      </c>
    </row>
    <row r="54" spans="1:13" ht="14.25" customHeight="1">
      <c r="A54" s="175" t="s">
        <v>127</v>
      </c>
      <c r="B54" s="179">
        <v>0</v>
      </c>
      <c r="C54" s="181">
        <f>ROUNDDOWN('Inst summary and ER calculation'!N13*(DATE(2016,12,31)-'Inst summary and ER calculation'!$T$5+1)/('Inst summary and ER calculation'!$T$6-'Inst summary and ER calculation'!$T$5+1),0)</f>
        <v>1461</v>
      </c>
      <c r="D54" s="181">
        <f>ROUNDDOWN(('Inst summary and ER calculation'!N13-'Monitoring Report Tables'!C54)+'Inst summary and ER calculation'!Q13*(DATE(2017,12,31)-'Inst summary and ER calculation'!$U$4+1)/('Inst summary and ER calculation'!$U$6-'Inst summary and ER calculation'!$U$4+1),0)</f>
        <v>3420</v>
      </c>
      <c r="E54" s="181">
        <f>ROUNDDOWN(('Inst summary and ER calculation'!Q13+'Inst summary and ER calculation'!N13-'Monitoring Report Tables'!D54-'Monitoring Report Tables'!C54),0)</f>
        <v>551</v>
      </c>
      <c r="F54" s="182">
        <f t="shared" si="0"/>
        <v>5432</v>
      </c>
      <c r="H54" s="175" t="s">
        <v>127</v>
      </c>
      <c r="I54" s="176">
        <v>9642</v>
      </c>
      <c r="J54" s="176">
        <v>9337</v>
      </c>
      <c r="K54" s="176">
        <v>9064</v>
      </c>
      <c r="L54" s="176">
        <f>(I54*(DATE(2016,12,31)-'Inst summary and ER calculation'!$T$5+1)/366)+J54+(K54*('Inst summary and ER calculation'!$U$6-DATE(2018,1,1)+1)/365)</f>
        <v>14832.811857174938</v>
      </c>
      <c r="M54" s="176">
        <f t="shared" si="1"/>
        <v>5432</v>
      </c>
    </row>
    <row r="55" spans="1:13" ht="14.25" customHeight="1">
      <c r="A55" s="175" t="s">
        <v>128</v>
      </c>
      <c r="B55" s="179">
        <v>0</v>
      </c>
      <c r="C55" s="181">
        <f>ROUNDDOWN('Inst summary and ER calculation'!N14*(DATE(2016,12,31)-'Inst summary and ER calculation'!$T$5+1)/('Inst summary and ER calculation'!$T$6-'Inst summary and ER calculation'!$T$5+1),0)</f>
        <v>1002</v>
      </c>
      <c r="D55" s="181">
        <f>ROUNDDOWN(('Inst summary and ER calculation'!N14-'Monitoring Report Tables'!C55)+'Inst summary and ER calculation'!Q14*(DATE(2017,12,31)-'Inst summary and ER calculation'!$U$4+1)/('Inst summary and ER calculation'!$U$6-'Inst summary and ER calculation'!$U$4+1),0)</f>
        <v>2347</v>
      </c>
      <c r="E55" s="181">
        <f>ROUNDDOWN(('Inst summary and ER calculation'!Q14+'Inst summary and ER calculation'!N14-'Monitoring Report Tables'!D55-'Monitoring Report Tables'!C55),0)</f>
        <v>378</v>
      </c>
      <c r="F55" s="182">
        <f t="shared" si="0"/>
        <v>3727</v>
      </c>
      <c r="H55" s="175" t="s">
        <v>128</v>
      </c>
      <c r="I55" s="176">
        <v>9649</v>
      </c>
      <c r="J55" s="176">
        <v>9344</v>
      </c>
      <c r="K55" s="176">
        <v>9071</v>
      </c>
      <c r="L55" s="176">
        <f>(I55*(DATE(2016,12,31)-'Inst summary and ER calculation'!$T$5+1)/366)+J55+(K55*('Inst summary and ER calculation'!$U$6-DATE(2018,1,1)+1)/365)</f>
        <v>14843.86959353245</v>
      </c>
      <c r="M55" s="176">
        <f t="shared" si="1"/>
        <v>3727</v>
      </c>
    </row>
    <row r="56" spans="1:13" ht="14.25" customHeight="1">
      <c r="A56" s="175" t="s">
        <v>129</v>
      </c>
      <c r="B56" s="179">
        <v>0</v>
      </c>
      <c r="C56" s="181">
        <f>ROUNDDOWN('Inst summary and ER calculation'!N15*(DATE(2016,12,31)-'Inst summary and ER calculation'!$T$5+1)/('Inst summary and ER calculation'!$T$6-'Inst summary and ER calculation'!$T$5+1),0)</f>
        <v>1923</v>
      </c>
      <c r="D56" s="181">
        <f>ROUNDDOWN(('Inst summary and ER calculation'!N15-'Monitoring Report Tables'!C56)+'Inst summary and ER calculation'!Q15*(DATE(2017,12,31)-'Inst summary and ER calculation'!$U$4+1)/('Inst summary and ER calculation'!$U$6-'Inst summary and ER calculation'!$U$4+1),0)</f>
        <v>4502</v>
      </c>
      <c r="E56" s="181">
        <f>ROUNDDOWN(('Inst summary and ER calculation'!Q15+'Inst summary and ER calculation'!N15-'Monitoring Report Tables'!D56-'Monitoring Report Tables'!C56),0)</f>
        <v>725</v>
      </c>
      <c r="F56" s="182">
        <f t="shared" si="0"/>
        <v>7150</v>
      </c>
      <c r="H56" s="175" t="s">
        <v>129</v>
      </c>
      <c r="I56" s="176">
        <v>9659</v>
      </c>
      <c r="J56" s="176">
        <v>9354</v>
      </c>
      <c r="K56" s="176">
        <v>9081</v>
      </c>
      <c r="L56" s="176">
        <f>(I56*(DATE(2016,12,31)-'Inst summary and ER calculation'!$T$5+1)/366)+J56+(K56*('Inst summary and ER calculation'!$U$6-DATE(2018,1,1)+1)/365)</f>
        <v>14859.666359757466</v>
      </c>
      <c r="M56" s="176">
        <f t="shared" si="1"/>
        <v>7150</v>
      </c>
    </row>
    <row r="57" spans="1:13" ht="14.25" customHeight="1">
      <c r="A57" s="175" t="s">
        <v>130</v>
      </c>
      <c r="B57" s="179">
        <v>0</v>
      </c>
      <c r="C57" s="181">
        <f>ROUNDDOWN('Inst summary and ER calculation'!N16*(DATE(2016,12,31)-'Inst summary and ER calculation'!$T$5+1)/('Inst summary and ER calculation'!$T$6-'Inst summary and ER calculation'!$T$5+1),0)</f>
        <v>1597</v>
      </c>
      <c r="D57" s="181">
        <f>ROUNDDOWN(('Inst summary and ER calculation'!N16-'Monitoring Report Tables'!C57)+'Inst summary and ER calculation'!Q16*(DATE(2017,12,31)-'Inst summary and ER calculation'!$U$4+1)/('Inst summary and ER calculation'!$U$6-'Inst summary and ER calculation'!$U$4+1),0)</f>
        <v>3739</v>
      </c>
      <c r="E57" s="181">
        <f>ROUNDDOWN(('Inst summary and ER calculation'!Q16+'Inst summary and ER calculation'!N16-'Monitoring Report Tables'!D57-'Monitoring Report Tables'!C57),0)</f>
        <v>603</v>
      </c>
      <c r="F57" s="182">
        <f t="shared" si="0"/>
        <v>5939</v>
      </c>
      <c r="H57" s="175" t="s">
        <v>130</v>
      </c>
      <c r="I57" s="176">
        <v>9669</v>
      </c>
      <c r="J57" s="176">
        <v>9364</v>
      </c>
      <c r="K57" s="176">
        <v>9090</v>
      </c>
      <c r="L57" s="176">
        <f>(I57*(DATE(2016,12,31)-'Inst summary and ER calculation'!$T$5+1)/366)+J57+(K57*('Inst summary and ER calculation'!$U$6-DATE(2018,1,1)+1)/365)</f>
        <v>14875.301482146868</v>
      </c>
      <c r="M57" s="176">
        <f t="shared" si="1"/>
        <v>5939</v>
      </c>
    </row>
    <row r="58" spans="1:13" ht="14.25" customHeight="1">
      <c r="A58" s="175" t="s">
        <v>131</v>
      </c>
      <c r="B58" s="179">
        <v>0</v>
      </c>
      <c r="C58" s="181">
        <f>ROUNDDOWN('Inst summary and ER calculation'!N17*(DATE(2016,12,31)-'Inst summary and ER calculation'!$T$5+1)/('Inst summary and ER calculation'!$T$6-'Inst summary and ER calculation'!$T$5+1),0)</f>
        <v>2674</v>
      </c>
      <c r="D58" s="181">
        <f>ROUNDDOWN(('Inst summary and ER calculation'!N17-'Monitoring Report Tables'!C58)+'Inst summary and ER calculation'!Q17*(DATE(2017,12,31)-'Inst summary and ER calculation'!$U$4+1)/('Inst summary and ER calculation'!$U$6-'Inst summary and ER calculation'!$U$4+1),0)</f>
        <v>6259</v>
      </c>
      <c r="E58" s="181">
        <f>ROUNDDOWN(('Inst summary and ER calculation'!Q17+'Inst summary and ER calculation'!N17-'Monitoring Report Tables'!D58-'Monitoring Report Tables'!C58),0)</f>
        <v>1008</v>
      </c>
      <c r="F58" s="182">
        <f t="shared" si="0"/>
        <v>9941</v>
      </c>
      <c r="H58" s="175" t="s">
        <v>131</v>
      </c>
      <c r="I58" s="176">
        <v>9680</v>
      </c>
      <c r="J58" s="176">
        <v>9375</v>
      </c>
      <c r="K58" s="176">
        <v>9101</v>
      </c>
      <c r="L58" s="176">
        <f>(I58*(DATE(2016,12,31)-'Inst summary and ER calculation'!$T$5+1)/366)+J58+(K58*('Inst summary and ER calculation'!$U$6-DATE(2018,1,1)+1)/365)</f>
        <v>14892.677924994385</v>
      </c>
      <c r="M58" s="176">
        <f t="shared" si="1"/>
        <v>9941</v>
      </c>
    </row>
    <row r="59" spans="1:13" ht="14.25" customHeight="1">
      <c r="A59" s="175" t="s">
        <v>132</v>
      </c>
      <c r="B59" s="179">
        <v>0</v>
      </c>
      <c r="C59" s="181">
        <f>ROUNDDOWN('Inst summary and ER calculation'!N18*(DATE(2016,12,31)-'Inst summary and ER calculation'!$T$5+1)/('Inst summary and ER calculation'!$T$6-'Inst summary and ER calculation'!$T$5+1),0)</f>
        <v>1657</v>
      </c>
      <c r="D59" s="181">
        <f>ROUNDDOWN(('Inst summary and ER calculation'!N18-'Monitoring Report Tables'!C59)+'Inst summary and ER calculation'!Q18*(DATE(2017,12,31)-'Inst summary and ER calculation'!$U$4+1)/('Inst summary and ER calculation'!$U$6-'Inst summary and ER calculation'!$U$4+1),0)</f>
        <v>3877</v>
      </c>
      <c r="E59" s="181">
        <f>ROUNDDOWN(('Inst summary and ER calculation'!Q18+'Inst summary and ER calculation'!N18-'Monitoring Report Tables'!D59-'Monitoring Report Tables'!C59),0)</f>
        <v>625</v>
      </c>
      <c r="F59" s="182">
        <f t="shared" si="0"/>
        <v>6159</v>
      </c>
      <c r="H59" s="175" t="s">
        <v>132</v>
      </c>
      <c r="I59" s="176">
        <v>9668</v>
      </c>
      <c r="J59" s="176">
        <v>9381</v>
      </c>
      <c r="K59" s="176">
        <v>9107</v>
      </c>
      <c r="L59" s="176">
        <f>(I59*(DATE(2016,12,31)-'Inst summary and ER calculation'!$T$5+1)/366)+J59+(K59*('Inst summary and ER calculation'!$U$6-DATE(2018,1,1)+1)/365)</f>
        <v>14894.631394565462</v>
      </c>
      <c r="M59" s="176">
        <f t="shared" si="1"/>
        <v>6159</v>
      </c>
    </row>
    <row r="60" spans="1:13" ht="14.25" customHeight="1">
      <c r="A60" s="175" t="s">
        <v>133</v>
      </c>
      <c r="B60" s="179">
        <v>0</v>
      </c>
      <c r="C60" s="181">
        <f>ROUNDDOWN('Inst summary and ER calculation'!N19*(DATE(2016,12,31)-'Inst summary and ER calculation'!$T$5+1)/('Inst summary and ER calculation'!$T$6-'Inst summary and ER calculation'!$T$5+1),0)</f>
        <v>1314</v>
      </c>
      <c r="D60" s="181">
        <f>ROUNDDOWN(('Inst summary and ER calculation'!N19-'Monitoring Report Tables'!C60)+'Inst summary and ER calculation'!Q19*(DATE(2017,12,31)-'Inst summary and ER calculation'!$U$4+1)/('Inst summary and ER calculation'!$U$6-'Inst summary and ER calculation'!$U$4+1),0)</f>
        <v>3079</v>
      </c>
      <c r="E60" s="181">
        <f>ROUNDDOWN(('Inst summary and ER calculation'!Q19+'Inst summary and ER calculation'!N19-'Monitoring Report Tables'!D60-'Monitoring Report Tables'!C60),0)</f>
        <v>496</v>
      </c>
      <c r="F60" s="182">
        <f t="shared" si="0"/>
        <v>4889</v>
      </c>
      <c r="H60" s="175" t="s">
        <v>133</v>
      </c>
      <c r="I60" s="176">
        <v>9693</v>
      </c>
      <c r="J60" s="176">
        <v>9387</v>
      </c>
      <c r="K60" s="176">
        <v>9113</v>
      </c>
      <c r="L60" s="176">
        <f>(I60*(DATE(2016,12,31)-'Inst summary and ER calculation'!$T$5+1)/366)+J60+(K60*('Inst summary and ER calculation'!$U$6-DATE(2018,1,1)+1)/365)</f>
        <v>14912.05207725129</v>
      </c>
      <c r="M60" s="176">
        <f t="shared" si="1"/>
        <v>4889</v>
      </c>
    </row>
    <row r="61" spans="1:13" ht="14.25" customHeight="1">
      <c r="A61" s="175" t="s">
        <v>134</v>
      </c>
      <c r="B61" s="179">
        <v>0</v>
      </c>
      <c r="C61" s="181">
        <f>ROUNDDOWN('Inst summary and ER calculation'!N20*(DATE(2016,12,31)-'Inst summary and ER calculation'!$T$5+1)/('Inst summary and ER calculation'!$T$6-'Inst summary and ER calculation'!$T$5+1),0)</f>
        <v>2007</v>
      </c>
      <c r="D61" s="181">
        <f>ROUNDDOWN(('Inst summary and ER calculation'!N20-'Monitoring Report Tables'!C61)+'Inst summary and ER calculation'!Q20*(DATE(2017,12,31)-'Inst summary and ER calculation'!$U$4+1)/('Inst summary and ER calculation'!$U$6-'Inst summary and ER calculation'!$U$4+1),0)</f>
        <v>4700</v>
      </c>
      <c r="E61" s="181">
        <f>ROUNDDOWN(('Inst summary and ER calculation'!Q20+'Inst summary and ER calculation'!N20-'Monitoring Report Tables'!D61-'Monitoring Report Tables'!C61),0)</f>
        <v>757</v>
      </c>
      <c r="F61" s="182">
        <f t="shared" si="0"/>
        <v>7464</v>
      </c>
      <c r="H61" s="175" t="s">
        <v>134</v>
      </c>
      <c r="I61" s="176">
        <v>9703</v>
      </c>
      <c r="J61" s="176">
        <v>9398</v>
      </c>
      <c r="K61" s="176">
        <v>9124</v>
      </c>
      <c r="L61" s="176">
        <f>(I61*(DATE(2016,12,31)-'Inst summary and ER calculation'!$T$5+1)/366)+J61+(K61*('Inst summary and ER calculation'!$U$6-DATE(2018,1,1)+1)/365)</f>
        <v>14929.010487311925</v>
      </c>
      <c r="M61" s="176">
        <f t="shared" si="1"/>
        <v>7464</v>
      </c>
    </row>
    <row r="62" spans="1:13" ht="14.25" customHeight="1">
      <c r="A62" s="175" t="s">
        <v>135</v>
      </c>
      <c r="B62" s="179">
        <v>0</v>
      </c>
      <c r="C62" s="181">
        <f>ROUNDDOWN('Inst summary and ER calculation'!N21*(DATE(2016,12,31)-'Inst summary and ER calculation'!$T$5+1)/('Inst summary and ER calculation'!$T$6-'Inst summary and ER calculation'!$T$5+1),0)</f>
        <v>1213</v>
      </c>
      <c r="D62" s="181">
        <f>ROUNDDOWN(('Inst summary and ER calculation'!N21-'Monitoring Report Tables'!C62)+'Inst summary and ER calculation'!Q21*(DATE(2017,12,31)-'Inst summary and ER calculation'!$U$4+1)/('Inst summary and ER calculation'!$U$6-'Inst summary and ER calculation'!$U$4+1),0)</f>
        <v>2839</v>
      </c>
      <c r="E62" s="181">
        <f>ROUNDDOWN(('Inst summary and ER calculation'!Q21+'Inst summary and ER calculation'!N21-'Monitoring Report Tables'!D62-'Monitoring Report Tables'!C62),0)</f>
        <v>458</v>
      </c>
      <c r="F62" s="182">
        <f t="shared" si="0"/>
        <v>4510</v>
      </c>
      <c r="H62" s="175" t="s">
        <v>135</v>
      </c>
      <c r="I62" s="176">
        <v>9707</v>
      </c>
      <c r="J62" s="176">
        <v>9401</v>
      </c>
      <c r="K62" s="176">
        <v>9127</v>
      </c>
      <c r="L62" s="176">
        <f>(I62*(DATE(2016,12,31)-'Inst summary and ER calculation'!$T$5+1)/366)+J62+(K62*('Inst summary and ER calculation'!$U$6-DATE(2018,1,1)+1)/365)</f>
        <v>14934.167549966316</v>
      </c>
      <c r="M62" s="176">
        <f t="shared" si="1"/>
        <v>4510</v>
      </c>
    </row>
    <row r="63" spans="1:13" ht="14.25" customHeight="1">
      <c r="A63" s="175" t="s">
        <v>136</v>
      </c>
      <c r="B63" s="179">
        <v>0</v>
      </c>
      <c r="C63" s="181">
        <f>ROUNDDOWN('Inst summary and ER calculation'!N22*(DATE(2016,12,31)-'Inst summary and ER calculation'!$T$5+1)/('Inst summary and ER calculation'!$T$6-'Inst summary and ER calculation'!$T$5+1),0)</f>
        <v>1848</v>
      </c>
      <c r="D63" s="181">
        <f>ROUNDDOWN(('Inst summary and ER calculation'!N22-'Monitoring Report Tables'!C63)+'Inst summary and ER calculation'!Q22*(DATE(2017,12,31)-'Inst summary and ER calculation'!$U$4+1)/('Inst summary and ER calculation'!$U$6-'Inst summary and ER calculation'!$U$4+1),0)</f>
        <v>4324</v>
      </c>
      <c r="E63" s="181">
        <f>ROUNDDOWN(('Inst summary and ER calculation'!Q22+'Inst summary and ER calculation'!N22-'Monitoring Report Tables'!D63-'Monitoring Report Tables'!C63),0)</f>
        <v>697</v>
      </c>
      <c r="F63" s="182">
        <f t="shared" si="0"/>
        <v>6869</v>
      </c>
      <c r="H63" s="175" t="s">
        <v>136</v>
      </c>
      <c r="I63" s="176">
        <v>9713</v>
      </c>
      <c r="J63" s="176">
        <v>9407</v>
      </c>
      <c r="K63" s="176">
        <v>9133</v>
      </c>
      <c r="L63" s="176">
        <f>(I63*(DATE(2016,12,31)-'Inst summary and ER calculation'!$T$5+1)/366)+J63+(K63*('Inst summary and ER calculation'!$U$6-DATE(2018,1,1)+1)/365)</f>
        <v>14943.645609701325</v>
      </c>
      <c r="M63" s="176">
        <f t="shared" si="1"/>
        <v>6869</v>
      </c>
    </row>
    <row r="64" spans="1:13" ht="14.25" customHeight="1">
      <c r="A64" s="175" t="s">
        <v>137</v>
      </c>
      <c r="B64" s="179">
        <v>0</v>
      </c>
      <c r="C64" s="181">
        <f>ROUNDDOWN('Inst summary and ER calculation'!N23*(DATE(2016,12,31)-'Inst summary and ER calculation'!$T$5+1)/('Inst summary and ER calculation'!$T$6-'Inst summary and ER calculation'!$T$5+1),0)</f>
        <v>1622</v>
      </c>
      <c r="D64" s="181">
        <f>ROUNDDOWN(('Inst summary and ER calculation'!N23-'Monitoring Report Tables'!C64)+'Inst summary and ER calculation'!Q23*(DATE(2017,12,31)-'Inst summary and ER calculation'!$U$4+1)/('Inst summary and ER calculation'!$U$6-'Inst summary and ER calculation'!$U$4+1),0)</f>
        <v>3796</v>
      </c>
      <c r="E64" s="181">
        <f>ROUNDDOWN(('Inst summary and ER calculation'!Q23+'Inst summary and ER calculation'!N23-'Monitoring Report Tables'!D64-'Monitoring Report Tables'!C64),0)</f>
        <v>612</v>
      </c>
      <c r="F64" s="182">
        <f t="shared" si="0"/>
        <v>6030</v>
      </c>
      <c r="H64" s="175" t="s">
        <v>137</v>
      </c>
      <c r="I64" s="176">
        <v>9717</v>
      </c>
      <c r="J64" s="176">
        <v>9411</v>
      </c>
      <c r="K64" s="176">
        <v>9137</v>
      </c>
      <c r="L64" s="176">
        <f>(I64*(DATE(2016,12,31)-'Inst summary and ER calculation'!$T$5+1)/366)+J64+(K64*('Inst summary and ER calculation'!$U$6-DATE(2018,1,1)+1)/365)</f>
        <v>14949.964316191334</v>
      </c>
      <c r="M64" s="176">
        <f t="shared" si="1"/>
        <v>6030</v>
      </c>
    </row>
    <row r="65" spans="1:13" ht="14.25" customHeight="1">
      <c r="A65" s="175" t="s">
        <v>138</v>
      </c>
      <c r="B65" s="179">
        <v>0</v>
      </c>
      <c r="C65" s="181">
        <f>ROUNDDOWN('Inst summary and ER calculation'!N24*(DATE(2016,12,31)-'Inst summary and ER calculation'!$T$5+1)/('Inst summary and ER calculation'!$T$6-'Inst summary and ER calculation'!$T$5+1),0)</f>
        <v>3253</v>
      </c>
      <c r="D65" s="181">
        <f>ROUNDDOWN(('Inst summary and ER calculation'!N24-'Monitoring Report Tables'!C65)+'Inst summary and ER calculation'!Q24*(DATE(2017,12,31)-'Inst summary and ER calculation'!$U$4+1)/('Inst summary and ER calculation'!$U$6-'Inst summary and ER calculation'!$U$4+1),0)</f>
        <v>7613</v>
      </c>
      <c r="E65" s="181">
        <f>ROUNDDOWN(('Inst summary and ER calculation'!Q24+'Inst summary and ER calculation'!N24-'Monitoring Report Tables'!D65-'Monitoring Report Tables'!C65),0)</f>
        <v>1226</v>
      </c>
      <c r="F65" s="182">
        <f t="shared" si="0"/>
        <v>12092</v>
      </c>
      <c r="H65" s="175" t="s">
        <v>138</v>
      </c>
      <c r="I65" s="176">
        <v>9727</v>
      </c>
      <c r="J65" s="176">
        <v>9421</v>
      </c>
      <c r="K65" s="176">
        <v>9146</v>
      </c>
      <c r="L65" s="176">
        <f>(I65*(DATE(2016,12,31)-'Inst summary and ER calculation'!$T$5+1)/366)+J65+(K65*('Inst summary and ER calculation'!$U$6-DATE(2018,1,1)+1)/365)</f>
        <v>14965.599438580732</v>
      </c>
      <c r="M65" s="176">
        <f t="shared" si="1"/>
        <v>12092</v>
      </c>
    </row>
    <row r="66" spans="1:13" ht="14.25" customHeight="1">
      <c r="A66" s="175" t="s">
        <v>139</v>
      </c>
      <c r="B66" s="179">
        <v>0</v>
      </c>
      <c r="C66" s="181">
        <f>ROUNDDOWN('Inst summary and ER calculation'!N25*(DATE(2016,12,31)-'Inst summary and ER calculation'!$T$5+1)/('Inst summary and ER calculation'!$T$6-'Inst summary and ER calculation'!$T$5+1),0)</f>
        <v>2275</v>
      </c>
      <c r="D66" s="181">
        <f>ROUNDDOWN(('Inst summary and ER calculation'!N25-'Monitoring Report Tables'!C66)+'Inst summary and ER calculation'!Q25*(DATE(2017,12,31)-'Inst summary and ER calculation'!$U$4+1)/('Inst summary and ER calculation'!$U$6-'Inst summary and ER calculation'!$U$4+1),0)</f>
        <v>5326</v>
      </c>
      <c r="E66" s="181">
        <f>ROUNDDOWN(('Inst summary and ER calculation'!Q25+'Inst summary and ER calculation'!N25-'Monitoring Report Tables'!D66-'Monitoring Report Tables'!C66),0)</f>
        <v>858</v>
      </c>
      <c r="F66" s="182">
        <f t="shared" si="0"/>
        <v>8459</v>
      </c>
      <c r="H66" s="175" t="s">
        <v>139</v>
      </c>
      <c r="I66" s="176">
        <v>9733</v>
      </c>
      <c r="J66" s="180">
        <v>9427</v>
      </c>
      <c r="K66" s="180">
        <v>9152</v>
      </c>
      <c r="L66" s="176">
        <f>(I66*(DATE(2016,12,31)-'Inst summary and ER calculation'!$T$5+1)/366)+J66+(K66*('Inst summary and ER calculation'!$U$6-DATE(2018,1,1)+1)/365)</f>
        <v>14975.077498315743</v>
      </c>
      <c r="M66" s="176">
        <f t="shared" si="1"/>
        <v>8459</v>
      </c>
    </row>
    <row r="67" spans="1:13" ht="14.25" customHeight="1">
      <c r="A67" s="175" t="s">
        <v>140</v>
      </c>
      <c r="B67" s="179">
        <v>0</v>
      </c>
      <c r="C67" s="181">
        <f>ROUNDDOWN('Inst summary and ER calculation'!N26*(DATE(2016,12,31)-'Inst summary and ER calculation'!$T$5+1)/('Inst summary and ER calculation'!$T$6-'Inst summary and ER calculation'!$T$5+1),0)</f>
        <v>2474</v>
      </c>
      <c r="D67" s="181">
        <f>ROUNDDOWN(('Inst summary and ER calculation'!N26-'Monitoring Report Tables'!C67)+'Inst summary and ER calculation'!Q26*(DATE(2017,12,31)-'Inst summary and ER calculation'!$U$4+1)/('Inst summary and ER calculation'!$U$6-'Inst summary and ER calculation'!$U$4+1),0)</f>
        <v>5792</v>
      </c>
      <c r="E67" s="181">
        <f>ROUNDDOWN(('Inst summary and ER calculation'!Q26+'Inst summary and ER calculation'!N26-'Monitoring Report Tables'!D67-'Monitoring Report Tables'!C67),0)</f>
        <v>933</v>
      </c>
      <c r="F67" s="182">
        <f t="shared" si="0"/>
        <v>9199</v>
      </c>
      <c r="H67" s="175" t="s">
        <v>140</v>
      </c>
      <c r="I67" s="176">
        <v>9741</v>
      </c>
      <c r="J67" s="180">
        <v>9435</v>
      </c>
      <c r="K67" s="180">
        <v>9160</v>
      </c>
      <c r="L67" s="176">
        <f>(I67*(DATE(2016,12,31)-'Inst summary and ER calculation'!$T$5+1)/366)+J67+(K67*('Inst summary and ER calculation'!$U$6-DATE(2018,1,1)+1)/365)</f>
        <v>14987.714911295754</v>
      </c>
      <c r="M67" s="176">
        <f t="shared" si="1"/>
        <v>9199</v>
      </c>
    </row>
    <row r="68" spans="1:13" ht="14.25" customHeight="1">
      <c r="A68" s="175" t="s">
        <v>141</v>
      </c>
      <c r="B68" s="179">
        <v>0</v>
      </c>
      <c r="C68" s="181">
        <f>ROUNDDOWN('Inst summary and ER calculation'!N27*(DATE(2016,12,31)-'Inst summary and ER calculation'!$T$5+1)/('Inst summary and ER calculation'!$T$6-'Inst summary and ER calculation'!$T$5+1),0)</f>
        <v>2045</v>
      </c>
      <c r="D68" s="181">
        <f>ROUNDDOWN(('Inst summary and ER calculation'!N27-'Monitoring Report Tables'!C68)+'Inst summary and ER calculation'!Q27*(DATE(2017,12,31)-'Inst summary and ER calculation'!$U$4+1)/('Inst summary and ER calculation'!$U$6-'Inst summary and ER calculation'!$U$4+1),0)</f>
        <v>4787</v>
      </c>
      <c r="E68" s="181">
        <f>ROUNDDOWN(('Inst summary and ER calculation'!Q27+'Inst summary and ER calculation'!N27-'Monitoring Report Tables'!D68-'Monitoring Report Tables'!C68),0)</f>
        <v>771</v>
      </c>
      <c r="F68" s="182">
        <f t="shared" si="0"/>
        <v>7603</v>
      </c>
      <c r="H68" s="175" t="s">
        <v>141</v>
      </c>
      <c r="I68" s="176">
        <v>9756</v>
      </c>
      <c r="J68" s="180">
        <v>9450</v>
      </c>
      <c r="K68" s="180">
        <v>9175</v>
      </c>
      <c r="L68" s="176">
        <f>(I68*(DATE(2016,12,31)-'Inst summary and ER calculation'!$T$5+1)/366)+J68+(K68*('Inst summary and ER calculation'!$U$6-DATE(2018,1,1)+1)/365)</f>
        <v>15011.410060633281</v>
      </c>
      <c r="M68" s="176">
        <f t="shared" si="1"/>
        <v>7603</v>
      </c>
    </row>
    <row r="69" spans="1:13" ht="14.25" customHeight="1">
      <c r="A69" s="175" t="s">
        <v>142</v>
      </c>
      <c r="B69" s="179">
        <v>0</v>
      </c>
      <c r="C69" s="181">
        <f>ROUNDDOWN('Inst summary and ER calculation'!N28*(DATE(2016,12,31)-'Inst summary and ER calculation'!$T$5+1)/('Inst summary and ER calculation'!$T$6-'Inst summary and ER calculation'!$T$5+1),0)</f>
        <v>264</v>
      </c>
      <c r="D69" s="181">
        <f>ROUNDDOWN(('Inst summary and ER calculation'!N28-'Monitoring Report Tables'!C69)+'Inst summary and ER calculation'!Q28*(DATE(2017,12,31)-'Inst summary and ER calculation'!$U$4+1)/('Inst summary and ER calculation'!$U$6-'Inst summary and ER calculation'!$U$4+1),0)</f>
        <v>617</v>
      </c>
      <c r="E69" s="181">
        <f>ROUNDDOWN(('Inst summary and ER calculation'!Q28+'Inst summary and ER calculation'!N28-'Monitoring Report Tables'!D69-'Monitoring Report Tables'!C69),0)</f>
        <v>100</v>
      </c>
      <c r="F69" s="182">
        <f t="shared" si="0"/>
        <v>981</v>
      </c>
      <c r="H69" s="175" t="s">
        <v>142</v>
      </c>
      <c r="I69" s="176">
        <v>9758</v>
      </c>
      <c r="J69" s="180">
        <v>9451</v>
      </c>
      <c r="K69" s="180">
        <v>9176</v>
      </c>
      <c r="L69" s="176">
        <f>(I69*(DATE(2016,12,31)-'Inst summary and ER calculation'!$T$5+1)/366)+J69+(K69*('Inst summary and ER calculation'!$U$6-DATE(2018,1,1)+1)/365)</f>
        <v>15013.407770042668</v>
      </c>
      <c r="M69" s="176">
        <f t="shared" si="1"/>
        <v>981</v>
      </c>
    </row>
    <row r="70" spans="1:13" ht="14.25" customHeight="1">
      <c r="A70" s="175" t="s">
        <v>143</v>
      </c>
      <c r="B70" s="179">
        <v>0</v>
      </c>
      <c r="C70" s="181">
        <f>ROUNDDOWN('Inst summary and ER calculation'!N29*(DATE(2016,12,31)-'Inst summary and ER calculation'!$T$5+1)/('Inst summary and ER calculation'!$T$6-'Inst summary and ER calculation'!$T$5+1),0)</f>
        <v>2585</v>
      </c>
      <c r="D70" s="181">
        <f>ROUNDDOWN(('Inst summary and ER calculation'!N29-'Monitoring Report Tables'!C70)+'Inst summary and ER calculation'!Q29*(DATE(2017,12,31)-'Inst summary and ER calculation'!$U$4+1)/('Inst summary and ER calculation'!$U$6-'Inst summary and ER calculation'!$U$4+1),0)</f>
        <v>6044</v>
      </c>
      <c r="E70" s="181">
        <f>ROUNDDOWN(('Inst summary and ER calculation'!Q29+'Inst summary and ER calculation'!N29-'Monitoring Report Tables'!D70-'Monitoring Report Tables'!C70),0)</f>
        <v>974</v>
      </c>
      <c r="F70" s="182">
        <f t="shared" si="0"/>
        <v>9603</v>
      </c>
      <c r="G70" s="186"/>
      <c r="H70" s="175" t="s">
        <v>143</v>
      </c>
      <c r="I70" s="176">
        <v>9768</v>
      </c>
      <c r="J70" s="180">
        <v>9461</v>
      </c>
      <c r="K70" s="180">
        <v>9186</v>
      </c>
      <c r="L70" s="176">
        <f>(I70*(DATE(2016,12,31)-'Inst summary and ER calculation'!$T$5+1)/366)+J70+(K70*('Inst summary and ER calculation'!$U$6-DATE(2018,1,1)+1)/365)</f>
        <v>15029.204536267685</v>
      </c>
      <c r="M70" s="176">
        <f t="shared" si="1"/>
        <v>9603</v>
      </c>
    </row>
    <row r="71" spans="1:13" ht="14.25" customHeight="1">
      <c r="A71" s="175" t="s">
        <v>144</v>
      </c>
      <c r="B71" s="179">
        <v>0</v>
      </c>
      <c r="C71" s="181">
        <f>ROUNDDOWN('Inst summary and ER calculation'!N30*(DATE(2016,12,31)-'Inst summary and ER calculation'!$T$5+1)/('Inst summary and ER calculation'!$T$6-'Inst summary and ER calculation'!$T$5+1),0)</f>
        <v>718</v>
      </c>
      <c r="D71" s="181">
        <f>ROUNDDOWN(('Inst summary and ER calculation'!N30-'Monitoring Report Tables'!C71)+'Inst summary and ER calculation'!Q30*(DATE(2017,12,31)-'Inst summary and ER calculation'!$U$4+1)/('Inst summary and ER calculation'!$U$6-'Inst summary and ER calculation'!$U$4+1),0)</f>
        <v>1677</v>
      </c>
      <c r="E71" s="181">
        <f>ROUNDDOWN(('Inst summary and ER calculation'!Q30+'Inst summary and ER calculation'!N30-'Monitoring Report Tables'!D71-'Monitoring Report Tables'!C71),0)</f>
        <v>271</v>
      </c>
      <c r="F71" s="182">
        <f t="shared" si="0"/>
        <v>2666</v>
      </c>
      <c r="G71" s="186"/>
      <c r="H71" s="175" t="s">
        <v>144</v>
      </c>
      <c r="I71" s="176">
        <v>9776</v>
      </c>
      <c r="J71" s="180">
        <v>9468</v>
      </c>
      <c r="K71" s="180">
        <v>9193</v>
      </c>
      <c r="L71" s="176">
        <f>(I71*(DATE(2016,12,31)-'Inst summary and ER calculation'!$T$5+1)/366)+J71+(K71*('Inst summary and ER calculation'!$U$6-DATE(2018,1,1)+1)/365)</f>
        <v>15040.680305412083</v>
      </c>
      <c r="M71" s="176">
        <f t="shared" si="1"/>
        <v>2666</v>
      </c>
    </row>
    <row r="72" spans="1:13" ht="14.25" customHeight="1">
      <c r="A72" s="175" t="s">
        <v>145</v>
      </c>
      <c r="B72" s="179">
        <v>0</v>
      </c>
      <c r="C72" s="181">
        <f>ROUNDDOWN('Inst summary and ER calculation'!N31*(DATE(2016,12,31)-'Inst summary and ER calculation'!$T$5+1)/('Inst summary and ER calculation'!$T$6-'Inst summary and ER calculation'!$T$5+1),0)</f>
        <v>1735</v>
      </c>
      <c r="D72" s="181">
        <f>ROUNDDOWN(('Inst summary and ER calculation'!N31-'Monitoring Report Tables'!C72)+'Inst summary and ER calculation'!Q31*(DATE(2017,12,31)-'Inst summary and ER calculation'!$U$4+1)/('Inst summary and ER calculation'!$U$6-'Inst summary and ER calculation'!$U$4+1),0)</f>
        <v>4053</v>
      </c>
      <c r="E72" s="181">
        <f>ROUNDDOWN(('Inst summary and ER calculation'!Q31+'Inst summary and ER calculation'!N31-'Monitoring Report Tables'!D72-'Monitoring Report Tables'!C72),0)</f>
        <v>653</v>
      </c>
      <c r="F72" s="182">
        <f t="shared" si="0"/>
        <v>6441</v>
      </c>
      <c r="G72" s="186"/>
      <c r="H72" s="175" t="s">
        <v>145</v>
      </c>
      <c r="I72" s="176">
        <v>9777</v>
      </c>
      <c r="J72" s="180">
        <v>9468</v>
      </c>
      <c r="K72" s="180">
        <v>9194</v>
      </c>
      <c r="L72" s="176">
        <f>(I72*(DATE(2016,12,31)-'Inst summary and ER calculation'!$T$5+1)/366)+J72+(K72*('Inst summary and ER calculation'!$U$6-DATE(2018,1,1)+1)/365)</f>
        <v>15041.259982034584</v>
      </c>
      <c r="M72" s="176">
        <f t="shared" si="1"/>
        <v>6441</v>
      </c>
    </row>
    <row r="73" spans="1:13" ht="14.25" customHeight="1">
      <c r="A73" s="175" t="s">
        <v>146</v>
      </c>
      <c r="B73" s="179">
        <v>0</v>
      </c>
      <c r="C73" s="181">
        <f>ROUNDDOWN('Inst summary and ER calculation'!N32*(DATE(2016,12,31)-'Inst summary and ER calculation'!$T$5+1)/('Inst summary and ER calculation'!$T$6-'Inst summary and ER calculation'!$T$5+1),0)</f>
        <v>3866</v>
      </c>
      <c r="D73" s="181">
        <f>ROUNDDOWN(('Inst summary and ER calculation'!N32-'Monitoring Report Tables'!C73)+'Inst summary and ER calculation'!Q32*(DATE(2017,12,31)-'Inst summary and ER calculation'!$U$4+1)/('Inst summary and ER calculation'!$U$6-'Inst summary and ER calculation'!$U$4+1),0)</f>
        <v>9028</v>
      </c>
      <c r="E73" s="181">
        <f>ROUNDDOWN(('Inst summary and ER calculation'!Q32+'Inst summary and ER calculation'!N32-'Monitoring Report Tables'!D73-'Monitoring Report Tables'!C73),0)</f>
        <v>1454</v>
      </c>
      <c r="F73" s="182">
        <f t="shared" si="0"/>
        <v>14348</v>
      </c>
      <c r="G73" s="186"/>
      <c r="H73" s="175" t="s">
        <v>146</v>
      </c>
      <c r="I73" s="176">
        <v>9794</v>
      </c>
      <c r="J73" s="180">
        <v>9486</v>
      </c>
      <c r="K73" s="180">
        <v>9210</v>
      </c>
      <c r="L73" s="176">
        <f>(I73*(DATE(2016,12,31)-'Inst summary and ER calculation'!$T$5+1)/366)+J73+(K73*('Inst summary and ER calculation'!$U$6-DATE(2018,1,1)+1)/365)</f>
        <v>15068.952840781496</v>
      </c>
      <c r="M73" s="176">
        <f t="shared" si="1"/>
        <v>14348</v>
      </c>
    </row>
    <row r="74" spans="1:13" ht="14.25" customHeight="1">
      <c r="A74" s="175" t="s">
        <v>147</v>
      </c>
      <c r="B74" s="179">
        <v>0</v>
      </c>
      <c r="C74" s="181">
        <f>ROUNDDOWN('Inst summary and ER calculation'!N33*(DATE(2016,12,31)-'Inst summary and ER calculation'!$T$5+1)/('Inst summary and ER calculation'!$T$6-'Inst summary and ER calculation'!$T$5+1),0)</f>
        <v>2280</v>
      </c>
      <c r="D74" s="181">
        <f>ROUNDDOWN(('Inst summary and ER calculation'!N33-'Monitoring Report Tables'!C74)+'Inst summary and ER calculation'!Q33*(DATE(2017,12,31)-'Inst summary and ER calculation'!$U$4+1)/('Inst summary and ER calculation'!$U$6-'Inst summary and ER calculation'!$U$4+1),0)</f>
        <v>5325</v>
      </c>
      <c r="E74" s="181">
        <f>ROUNDDOWN(('Inst summary and ER calculation'!Q33+'Inst summary and ER calculation'!N33-'Monitoring Report Tables'!D74-'Monitoring Report Tables'!C74),0)</f>
        <v>858</v>
      </c>
      <c r="F74" s="182">
        <f t="shared" si="0"/>
        <v>8463</v>
      </c>
      <c r="G74" s="186"/>
      <c r="H74" s="175" t="s">
        <v>147</v>
      </c>
      <c r="I74" s="176">
        <v>9804</v>
      </c>
      <c r="J74" s="180">
        <v>9496</v>
      </c>
      <c r="K74" s="180">
        <v>9220</v>
      </c>
      <c r="L74" s="176">
        <f>(I74*(DATE(2016,12,31)-'Inst summary and ER calculation'!$T$5+1)/366)+J74+(K74*('Inst summary and ER calculation'!$U$6-DATE(2018,1,1)+1)/365)</f>
        <v>15084.749607006512</v>
      </c>
      <c r="M74" s="176">
        <f t="shared" si="1"/>
        <v>8463</v>
      </c>
    </row>
    <row r="75" spans="1:13" ht="14.25" customHeight="1">
      <c r="A75" s="175" t="s">
        <v>148</v>
      </c>
      <c r="B75" s="179">
        <v>0</v>
      </c>
      <c r="C75" s="181">
        <f>ROUNDDOWN('Inst summary and ER calculation'!N34*(DATE(2016,12,31)-'Inst summary and ER calculation'!$T$5+1)/('Inst summary and ER calculation'!$T$6-'Inst summary and ER calculation'!$T$5+1),0)</f>
        <v>2822</v>
      </c>
      <c r="D75" s="181">
        <f>ROUNDDOWN(('Inst summary and ER calculation'!N34-'Monitoring Report Tables'!C75)+'Inst summary and ER calculation'!Q34*(DATE(2017,12,31)-'Inst summary and ER calculation'!$U$4+1)/('Inst summary and ER calculation'!$U$6-'Inst summary and ER calculation'!$U$4+1),0)</f>
        <v>6591</v>
      </c>
      <c r="E75" s="181">
        <f>ROUNDDOWN(('Inst summary and ER calculation'!Q34+'Inst summary and ER calculation'!N34-'Monitoring Report Tables'!D75-'Monitoring Report Tables'!C75),0)</f>
        <v>1062</v>
      </c>
      <c r="F75" s="182">
        <f t="shared" si="0"/>
        <v>10475</v>
      </c>
      <c r="G75" s="197"/>
      <c r="H75" s="175" t="s">
        <v>148</v>
      </c>
      <c r="I75" s="176">
        <v>9810</v>
      </c>
      <c r="J75" s="180">
        <v>9503</v>
      </c>
      <c r="K75" s="180">
        <v>9227</v>
      </c>
      <c r="L75" s="176">
        <f>(I75*(DATE(2016,12,31)-'Inst summary and ER calculation'!$T$5+1)/366)+J75+(K75*('Inst summary and ER calculation'!$U$6-DATE(2018,1,1)+1)/365)</f>
        <v>15095.389310577139</v>
      </c>
      <c r="M75" s="176">
        <f t="shared" si="1"/>
        <v>10475</v>
      </c>
    </row>
    <row r="76" spans="1:13" ht="14.25" customHeight="1">
      <c r="A76" s="175" t="s">
        <v>149</v>
      </c>
      <c r="B76" s="179">
        <v>0</v>
      </c>
      <c r="C76" s="181">
        <f>ROUNDDOWN('Inst summary and ER calculation'!N35*(DATE(2016,12,31)-'Inst summary and ER calculation'!$T$5+1)/('Inst summary and ER calculation'!$T$6-'Inst summary and ER calculation'!$T$5+1),0)</f>
        <v>3955</v>
      </c>
      <c r="D76" s="181">
        <f>ROUNDDOWN(('Inst summary and ER calculation'!N35-'Monitoring Report Tables'!C76)+'Inst summary and ER calculation'!Q35*(DATE(2017,12,31)-'Inst summary and ER calculation'!$U$4+1)/('Inst summary and ER calculation'!$U$6-'Inst summary and ER calculation'!$U$4+1),0)</f>
        <v>9238</v>
      </c>
      <c r="E76" s="181">
        <f>ROUNDDOWN(('Inst summary and ER calculation'!Q35+'Inst summary and ER calculation'!N35-'Monitoring Report Tables'!D76-'Monitoring Report Tables'!C76),0)</f>
        <v>1487</v>
      </c>
      <c r="F76" s="182">
        <f t="shared" si="0"/>
        <v>14680</v>
      </c>
      <c r="G76" s="198"/>
      <c r="H76" s="175" t="s">
        <v>149</v>
      </c>
      <c r="I76" s="176">
        <v>9821</v>
      </c>
      <c r="J76" s="180">
        <v>9513</v>
      </c>
      <c r="K76" s="180">
        <v>9237</v>
      </c>
      <c r="L76" s="176">
        <f>(I76*(DATE(2016,12,31)-'Inst summary and ER calculation'!$T$5+1)/366)+J76+(K76*('Inst summary and ER calculation'!$U$6-DATE(2018,1,1)+1)/365)</f>
        <v>15111.604109589041</v>
      </c>
      <c r="M76" s="176">
        <f t="shared" si="1"/>
        <v>14680</v>
      </c>
    </row>
    <row r="77" spans="1:13" ht="14.25" customHeight="1">
      <c r="A77" s="175" t="s">
        <v>150</v>
      </c>
      <c r="B77" s="179">
        <v>0</v>
      </c>
      <c r="C77" s="181">
        <f>ROUNDDOWN('Inst summary and ER calculation'!N36*(DATE(2016,12,31)-'Inst summary and ER calculation'!$T$5+1)/('Inst summary and ER calculation'!$T$6-'Inst summary and ER calculation'!$T$5+1),0)</f>
        <v>886</v>
      </c>
      <c r="D77" s="181">
        <f>ROUNDDOWN(('Inst summary and ER calculation'!N36-'Monitoring Report Tables'!C77)+'Inst summary and ER calculation'!Q36*(DATE(2017,12,31)-'Inst summary and ER calculation'!$U$4+1)/('Inst summary and ER calculation'!$U$6-'Inst summary and ER calculation'!$U$4+1),0)</f>
        <v>2072</v>
      </c>
      <c r="E77" s="181">
        <f>ROUNDDOWN(('Inst summary and ER calculation'!Q36+'Inst summary and ER calculation'!N36-'Monitoring Report Tables'!D77-'Monitoring Report Tables'!C77),0)</f>
        <v>334</v>
      </c>
      <c r="F77" s="182">
        <f t="shared" si="0"/>
        <v>3292</v>
      </c>
      <c r="G77" s="198"/>
      <c r="H77" s="175" t="s">
        <v>150</v>
      </c>
      <c r="I77" s="187">
        <v>9834</v>
      </c>
      <c r="J77" s="187">
        <v>9526</v>
      </c>
      <c r="K77" s="187">
        <v>9249</v>
      </c>
      <c r="L77" s="176">
        <f>(I77*(DATE(2016,12,31)-'Inst summary and ER calculation'!$T$5+1)/366)+J77+(K77*('Inst summary and ER calculation'!$U$6-DATE(2018,1,1)+1)/365)</f>
        <v>15131.978261845947</v>
      </c>
      <c r="M77" s="176">
        <f t="shared" si="1"/>
        <v>3292</v>
      </c>
    </row>
    <row r="78" spans="1:13" ht="14.25" customHeight="1">
      <c r="A78" s="175" t="s">
        <v>151</v>
      </c>
      <c r="B78" s="179">
        <v>0</v>
      </c>
      <c r="C78" s="181">
        <f>ROUNDDOWN('Inst summary and ER calculation'!N37*(DATE(2016,12,31)-'Inst summary and ER calculation'!$T$5+1)/('Inst summary and ER calculation'!$T$6-'Inst summary and ER calculation'!$T$5+1),0)</f>
        <v>125</v>
      </c>
      <c r="D78" s="181">
        <f>ROUNDDOWN(('Inst summary and ER calculation'!N37-'Monitoring Report Tables'!C78)+'Inst summary and ER calculation'!Q37*(DATE(2017,12,31)-'Inst summary and ER calculation'!$U$4+1)/('Inst summary and ER calculation'!$U$6-'Inst summary and ER calculation'!$U$4+1),0)</f>
        <v>293</v>
      </c>
      <c r="E78" s="181">
        <f>ROUNDDOWN(('Inst summary and ER calculation'!Q37+'Inst summary and ER calculation'!N37-'Monitoring Report Tables'!D78-'Monitoring Report Tables'!C78),0)</f>
        <v>48</v>
      </c>
      <c r="F78" s="182">
        <f t="shared" si="0"/>
        <v>466</v>
      </c>
      <c r="G78" s="186"/>
      <c r="H78" s="175" t="s">
        <v>151</v>
      </c>
      <c r="I78" s="176">
        <v>9835</v>
      </c>
      <c r="J78" s="180">
        <v>9526</v>
      </c>
      <c r="K78" s="180">
        <v>9250</v>
      </c>
      <c r="L78" s="176">
        <f>(I78*(DATE(2016,12,31)-'Inst summary and ER calculation'!$T$5+1)/366)+J78+(K78*('Inst summary and ER calculation'!$U$6-DATE(2018,1,1)+1)/365)</f>
        <v>15132.55793846845</v>
      </c>
      <c r="M78" s="176">
        <f t="shared" si="1"/>
        <v>466</v>
      </c>
    </row>
    <row r="79" spans="1:13" ht="14.25" customHeight="1">
      <c r="A79" s="175" t="s">
        <v>152</v>
      </c>
      <c r="B79" s="179">
        <v>0</v>
      </c>
      <c r="C79" s="181">
        <f>ROUNDDOWN('Inst summary and ER calculation'!N38*(DATE(2016,12,31)-'Inst summary and ER calculation'!$T$5+1)/('Inst summary and ER calculation'!$T$6-'Inst summary and ER calculation'!$T$5+1),0)</f>
        <v>4022</v>
      </c>
      <c r="D79" s="181">
        <f>ROUNDDOWN(('Inst summary and ER calculation'!N38-'Monitoring Report Tables'!C79)+'Inst summary and ER calculation'!Q38*(DATE(2017,12,31)-'Inst summary and ER calculation'!$U$4+1)/('Inst summary and ER calculation'!$U$6-'Inst summary and ER calculation'!$U$4+1),0)</f>
        <v>9394</v>
      </c>
      <c r="E79" s="181">
        <f>ROUNDDOWN(('Inst summary and ER calculation'!Q38+'Inst summary and ER calculation'!N38-'Monitoring Report Tables'!D79-'Monitoring Report Tables'!C79),0)</f>
        <v>1513</v>
      </c>
      <c r="F79" s="182">
        <f t="shared" si="0"/>
        <v>14929</v>
      </c>
      <c r="G79" s="186"/>
      <c r="H79" s="175" t="s">
        <v>152</v>
      </c>
      <c r="I79" s="176">
        <v>9846</v>
      </c>
      <c r="J79" s="180">
        <v>9538</v>
      </c>
      <c r="K79" s="180">
        <v>9261</v>
      </c>
      <c r="L79" s="176">
        <f>(I79*(DATE(2016,12,31)-'Inst summary and ER calculation'!$T$5+1)/366)+J79+(K79*('Inst summary and ER calculation'!$U$6-DATE(2018,1,1)+1)/365)</f>
        <v>15150.934381315967</v>
      </c>
      <c r="M79" s="176">
        <f t="shared" si="1"/>
        <v>14929</v>
      </c>
    </row>
    <row r="80" spans="1:13" ht="14.25" customHeight="1">
      <c r="A80" s="175" t="s">
        <v>153</v>
      </c>
      <c r="B80" s="179">
        <v>0</v>
      </c>
      <c r="C80" s="181">
        <f>ROUNDDOWN('Inst summary and ER calculation'!N39*(DATE(2016,12,31)-'Inst summary and ER calculation'!$T$5+1)/('Inst summary and ER calculation'!$T$6-'Inst summary and ER calculation'!$T$5+1),0)</f>
        <v>4035</v>
      </c>
      <c r="D80" s="181">
        <f>ROUNDDOWN(('Inst summary and ER calculation'!N39-'Monitoring Report Tables'!C80)+'Inst summary and ER calculation'!Q39*(DATE(2017,12,31)-'Inst summary and ER calculation'!$U$4+1)/('Inst summary and ER calculation'!$U$6-'Inst summary and ER calculation'!$U$4+1),0)</f>
        <v>9422</v>
      </c>
      <c r="E80" s="181">
        <f>ROUNDDOWN(('Inst summary and ER calculation'!Q39+'Inst summary and ER calculation'!N39-'Monitoring Report Tables'!D80-'Monitoring Report Tables'!C80),0)</f>
        <v>1517</v>
      </c>
      <c r="F80" s="182">
        <f t="shared" si="0"/>
        <v>14974</v>
      </c>
      <c r="G80" s="186"/>
      <c r="H80" s="175" t="s">
        <v>153</v>
      </c>
      <c r="I80" s="176">
        <v>9858</v>
      </c>
      <c r="J80" s="180">
        <v>9549</v>
      </c>
      <c r="K80" s="180">
        <v>9272</v>
      </c>
      <c r="L80" s="176">
        <f>(I80*(DATE(2016,12,31)-'Inst summary and ER calculation'!$T$5+1)/366)+J80+(K80*('Inst summary and ER calculation'!$U$6-DATE(2018,1,1)+1)/365)</f>
        <v>15168.728856950371</v>
      </c>
      <c r="M80" s="176">
        <f t="shared" si="1"/>
        <v>14974</v>
      </c>
    </row>
    <row r="81" spans="1:13" ht="21" customHeight="1">
      <c r="A81" s="178" t="s">
        <v>6</v>
      </c>
      <c r="B81" s="177">
        <f>SUM(B45:B80)</f>
        <v>0</v>
      </c>
      <c r="C81" s="177">
        <f>SUM(C45:C80)</f>
        <v>97883</v>
      </c>
      <c r="D81" s="177">
        <f>SUM(D45:D80)</f>
        <v>185019</v>
      </c>
      <c r="E81" s="177">
        <f>SUM(E45:E80)</f>
        <v>29812</v>
      </c>
      <c r="F81" s="177">
        <f>ROUNDDOWN(SUM(F45:F80),0)</f>
        <v>312714</v>
      </c>
      <c r="G81" s="186"/>
      <c r="H81" s="178" t="s">
        <v>6</v>
      </c>
      <c r="I81" s="177">
        <f>SUM(I45:I80)</f>
        <v>338970</v>
      </c>
      <c r="J81" s="177">
        <f t="shared" ref="J81:K81" si="2">SUM(J45:J80)</f>
        <v>329387</v>
      </c>
      <c r="K81" s="177">
        <f t="shared" si="2"/>
        <v>320727</v>
      </c>
      <c r="L81" s="177">
        <f>ROUNDDOWN(SUM(L45:L80),0)</f>
        <v>542572</v>
      </c>
      <c r="M81" s="177">
        <f>ROUNDDOWN(SUM(M45:M80),0)</f>
        <v>312714</v>
      </c>
    </row>
    <row r="82" spans="1:13" ht="14.25" customHeight="1">
      <c r="A82" s="170"/>
      <c r="B82" s="171"/>
      <c r="C82" s="171"/>
      <c r="D82" s="171"/>
      <c r="E82" s="171"/>
      <c r="F82" s="192"/>
      <c r="I82" s="199"/>
    </row>
    <row r="83" spans="1:13" ht="14.25" customHeight="1">
      <c r="A83" s="167"/>
      <c r="B83" s="169"/>
      <c r="C83" s="169"/>
      <c r="D83" s="169"/>
      <c r="E83" s="169"/>
      <c r="F83" s="190"/>
      <c r="H83" s="186"/>
      <c r="I83" s="200"/>
      <c r="J83" s="186"/>
    </row>
    <row r="84" spans="1:13" ht="98" customHeight="1">
      <c r="A84" s="185"/>
      <c r="F84" s="185"/>
      <c r="G84" s="186"/>
    </row>
    <row r="85" spans="1:13" ht="15.5">
      <c r="A85" s="185"/>
      <c r="F85" s="185"/>
      <c r="G85" s="186"/>
    </row>
    <row r="86" spans="1:13" ht="15" customHeight="1">
      <c r="A86" s="185"/>
      <c r="F86" s="185"/>
      <c r="G86" s="188"/>
      <c r="H86" s="186"/>
      <c r="I86" s="186"/>
      <c r="J86" s="186"/>
      <c r="K86" s="186"/>
    </row>
    <row r="87" spans="1:13" ht="15" customHeight="1">
      <c r="A87" s="185"/>
      <c r="F87" s="185"/>
      <c r="G87" s="188"/>
      <c r="H87" s="186"/>
      <c r="I87" s="186"/>
      <c r="J87" s="186"/>
      <c r="K87" s="186"/>
    </row>
    <row r="88" spans="1:13" ht="15" customHeight="1">
      <c r="A88" s="185"/>
      <c r="F88" s="185"/>
      <c r="G88" s="188"/>
      <c r="H88" s="186"/>
      <c r="I88" s="186"/>
      <c r="J88" s="186"/>
      <c r="K88" s="186"/>
    </row>
    <row r="89" spans="1:13" ht="15" customHeight="1">
      <c r="A89" s="185"/>
      <c r="F89" s="185"/>
      <c r="G89" s="188"/>
      <c r="H89" s="186"/>
      <c r="I89" s="186"/>
      <c r="J89" s="186"/>
      <c r="K89" s="186"/>
    </row>
    <row r="90" spans="1:13" ht="15" customHeight="1">
      <c r="A90" s="185"/>
      <c r="F90" s="185"/>
      <c r="G90" s="188"/>
      <c r="H90" s="186"/>
      <c r="I90" s="186"/>
      <c r="J90" s="186"/>
      <c r="K90" s="186"/>
    </row>
    <row r="91" spans="1:13" ht="15" customHeight="1">
      <c r="A91" s="185"/>
      <c r="F91" s="185"/>
      <c r="G91" s="188"/>
      <c r="H91" s="186"/>
      <c r="I91" s="186"/>
      <c r="J91" s="186"/>
      <c r="K91" s="186"/>
    </row>
    <row r="92" spans="1:13" ht="15" customHeight="1">
      <c r="A92" s="185"/>
      <c r="F92" s="185"/>
      <c r="G92" s="188"/>
      <c r="H92" s="186"/>
      <c r="I92" s="186"/>
      <c r="J92" s="186"/>
      <c r="K92" s="186"/>
    </row>
    <row r="93" spans="1:13" ht="15" customHeight="1">
      <c r="A93" s="185"/>
      <c r="F93" s="185"/>
      <c r="G93" s="188"/>
      <c r="H93" s="186"/>
      <c r="I93" s="186"/>
      <c r="J93" s="186"/>
      <c r="K93" s="186"/>
    </row>
    <row r="94" spans="1:13" ht="15" customHeight="1">
      <c r="A94" s="185"/>
      <c r="F94" s="185"/>
      <c r="G94" s="188"/>
      <c r="H94" s="186"/>
      <c r="I94" s="186"/>
      <c r="J94" s="186"/>
      <c r="K94" s="186"/>
    </row>
    <row r="95" spans="1:13" ht="15" customHeight="1">
      <c r="A95" s="185"/>
      <c r="F95" s="185"/>
      <c r="G95" s="188"/>
      <c r="H95" s="186"/>
      <c r="I95" s="186"/>
      <c r="J95" s="186"/>
      <c r="K95" s="186"/>
    </row>
    <row r="96" spans="1:13" ht="15" customHeight="1">
      <c r="A96" s="185"/>
      <c r="F96" s="185"/>
      <c r="G96" s="188"/>
      <c r="H96" s="186"/>
      <c r="I96" s="186"/>
      <c r="J96" s="186"/>
      <c r="K96" s="186"/>
    </row>
    <row r="97" spans="1:11" ht="15" customHeight="1">
      <c r="A97" s="185"/>
      <c r="F97" s="185"/>
      <c r="G97" s="188"/>
      <c r="H97" s="186"/>
      <c r="I97" s="186"/>
      <c r="J97" s="186"/>
      <c r="K97" s="186"/>
    </row>
    <row r="98" spans="1:11" ht="15" customHeight="1">
      <c r="A98" s="185"/>
      <c r="F98" s="185"/>
      <c r="G98" s="188"/>
      <c r="H98" s="186"/>
      <c r="I98" s="186"/>
      <c r="J98" s="186"/>
      <c r="K98" s="186"/>
    </row>
    <row r="99" spans="1:11" ht="15" customHeight="1">
      <c r="A99" s="185"/>
      <c r="F99" s="185"/>
      <c r="G99" s="188"/>
      <c r="H99" s="186"/>
      <c r="I99" s="186"/>
      <c r="J99" s="186"/>
      <c r="K99" s="186"/>
    </row>
    <row r="100" spans="1:11" ht="15" customHeight="1">
      <c r="A100" s="185"/>
      <c r="F100" s="185"/>
      <c r="G100" s="188"/>
      <c r="H100" s="186"/>
      <c r="I100" s="186"/>
      <c r="J100" s="186"/>
      <c r="K100" s="186"/>
    </row>
    <row r="101" spans="1:11" ht="15" customHeight="1">
      <c r="A101" s="185"/>
      <c r="F101" s="185"/>
      <c r="G101" s="188"/>
      <c r="H101" s="186"/>
      <c r="I101" s="186"/>
      <c r="J101" s="186"/>
      <c r="K101" s="186"/>
    </row>
    <row r="102" spans="1:11" ht="15" customHeight="1">
      <c r="A102" s="185"/>
      <c r="F102" s="185"/>
      <c r="G102" s="188"/>
      <c r="H102" s="186"/>
      <c r="I102" s="186"/>
      <c r="J102" s="186"/>
      <c r="K102" s="186"/>
    </row>
    <row r="103" spans="1:11" ht="15" customHeight="1">
      <c r="A103" s="185"/>
      <c r="F103" s="185"/>
      <c r="G103" s="188"/>
      <c r="H103" s="186"/>
      <c r="I103" s="186"/>
      <c r="J103" s="186"/>
      <c r="K103" s="186"/>
    </row>
    <row r="104" spans="1:11" ht="15" customHeight="1">
      <c r="A104" s="185"/>
      <c r="F104" s="185"/>
      <c r="G104" s="188"/>
      <c r="H104" s="186"/>
      <c r="I104" s="186"/>
      <c r="J104" s="186"/>
      <c r="K104" s="186"/>
    </row>
    <row r="105" spans="1:11" ht="15" customHeight="1">
      <c r="A105" s="185"/>
      <c r="F105" s="185"/>
      <c r="G105" s="188"/>
      <c r="H105" s="186"/>
      <c r="I105" s="186"/>
      <c r="J105" s="186"/>
      <c r="K105" s="186"/>
    </row>
    <row r="106" spans="1:11" ht="15" customHeight="1">
      <c r="A106" s="185"/>
      <c r="F106" s="185"/>
      <c r="G106" s="188"/>
      <c r="H106" s="186"/>
      <c r="I106" s="186"/>
      <c r="J106" s="186"/>
      <c r="K106" s="186"/>
    </row>
    <row r="107" spans="1:11" ht="15" customHeight="1">
      <c r="A107" s="185"/>
      <c r="F107" s="185"/>
      <c r="G107" s="188"/>
      <c r="H107" s="186"/>
      <c r="I107" s="186"/>
      <c r="J107" s="186"/>
      <c r="K107" s="186"/>
    </row>
    <row r="108" spans="1:11" ht="15" customHeight="1">
      <c r="A108" s="185"/>
      <c r="F108" s="185"/>
      <c r="G108" s="188"/>
      <c r="H108" s="186"/>
      <c r="I108" s="186"/>
      <c r="J108" s="186"/>
      <c r="K108" s="186"/>
    </row>
    <row r="109" spans="1:11" ht="15" customHeight="1">
      <c r="A109" s="185"/>
      <c r="F109" s="185"/>
      <c r="G109" s="188"/>
      <c r="H109" s="186"/>
      <c r="I109" s="186"/>
      <c r="J109" s="186"/>
      <c r="K109" s="186"/>
    </row>
    <row r="110" spans="1:11" ht="15" customHeight="1">
      <c r="A110" s="185"/>
      <c r="F110" s="185"/>
      <c r="G110" s="188"/>
      <c r="H110" s="186"/>
      <c r="I110" s="186"/>
      <c r="J110" s="186"/>
      <c r="K110" s="186"/>
    </row>
    <row r="111" spans="1:11" ht="15" customHeight="1">
      <c r="A111" s="185"/>
      <c r="F111" s="185"/>
      <c r="G111" s="188"/>
      <c r="H111" s="186"/>
      <c r="I111" s="186"/>
      <c r="J111" s="186"/>
      <c r="K111" s="186"/>
    </row>
    <row r="112" spans="1:11" ht="15" customHeight="1">
      <c r="A112" s="185"/>
      <c r="F112" s="185"/>
      <c r="G112" s="188"/>
      <c r="H112" s="186"/>
      <c r="I112" s="186"/>
      <c r="J112" s="186"/>
      <c r="K112" s="186"/>
    </row>
    <row r="113" spans="1:11" ht="15" customHeight="1">
      <c r="A113" s="185"/>
      <c r="F113" s="185"/>
      <c r="G113" s="188"/>
      <c r="H113" s="186"/>
      <c r="I113" s="186"/>
      <c r="J113" s="186"/>
      <c r="K113" s="186"/>
    </row>
    <row r="114" spans="1:11" ht="15" customHeight="1">
      <c r="A114" s="185"/>
      <c r="F114" s="185"/>
      <c r="G114" s="188"/>
      <c r="H114" s="186"/>
      <c r="I114" s="186"/>
      <c r="J114" s="186"/>
      <c r="K114" s="186"/>
    </row>
    <row r="115" spans="1:11" ht="15" customHeight="1">
      <c r="A115" s="185"/>
      <c r="F115" s="185"/>
      <c r="G115" s="188"/>
      <c r="H115" s="186"/>
      <c r="I115" s="186"/>
      <c r="J115" s="186"/>
      <c r="K115" s="186"/>
    </row>
    <row r="116" spans="1:11" ht="15" customHeight="1">
      <c r="A116" s="185"/>
      <c r="F116" s="185"/>
      <c r="G116" s="188"/>
      <c r="H116" s="186"/>
      <c r="I116" s="186"/>
      <c r="J116" s="186"/>
      <c r="K116" s="186"/>
    </row>
    <row r="117" spans="1:11" ht="15" customHeight="1">
      <c r="A117" s="185"/>
      <c r="F117" s="185"/>
      <c r="G117" s="188"/>
      <c r="H117" s="186"/>
      <c r="I117" s="186"/>
      <c r="J117" s="186"/>
      <c r="K117" s="186"/>
    </row>
    <row r="118" spans="1:11" ht="15" customHeight="1">
      <c r="A118" s="185"/>
      <c r="F118" s="185"/>
      <c r="G118" s="188"/>
      <c r="H118" s="186"/>
      <c r="I118" s="186"/>
      <c r="J118" s="186"/>
      <c r="K118" s="186"/>
    </row>
    <row r="119" spans="1:11" ht="15" customHeight="1">
      <c r="A119" s="185"/>
      <c r="F119" s="185"/>
      <c r="G119" s="188"/>
      <c r="H119" s="186"/>
      <c r="I119" s="186"/>
      <c r="J119" s="186"/>
      <c r="K119" s="186"/>
    </row>
    <row r="120" spans="1:11" ht="15" customHeight="1">
      <c r="A120" s="185"/>
      <c r="F120" s="185"/>
      <c r="G120" s="188"/>
      <c r="H120" s="186"/>
      <c r="I120" s="186"/>
      <c r="J120" s="186"/>
      <c r="K120" s="186"/>
    </row>
    <row r="121" spans="1:11" ht="15" customHeight="1">
      <c r="A121" s="185"/>
      <c r="F121" s="185"/>
      <c r="G121" s="188"/>
      <c r="H121" s="186"/>
      <c r="I121" s="186"/>
      <c r="J121" s="186"/>
      <c r="K121" s="186"/>
    </row>
    <row r="122" spans="1:11" ht="14.25" customHeight="1">
      <c r="A122" s="185"/>
      <c r="F122" s="185"/>
      <c r="G122" s="173"/>
      <c r="H122" s="186"/>
      <c r="I122" s="186"/>
      <c r="J122" s="186"/>
      <c r="K122" s="186"/>
    </row>
    <row r="123" spans="1:11" ht="14.25" customHeight="1">
      <c r="A123" s="174"/>
      <c r="B123" s="172"/>
      <c r="C123" s="172"/>
      <c r="D123" s="172"/>
      <c r="E123" s="172"/>
      <c r="F123" s="194"/>
      <c r="H123" s="186"/>
      <c r="I123" s="186"/>
      <c r="J123" s="186"/>
      <c r="K123" s="186"/>
    </row>
    <row r="124" spans="1:11" ht="14.25" customHeight="1">
      <c r="H124" s="172"/>
    </row>
  </sheetData>
  <mergeCells count="11">
    <mergeCell ref="I43:K43"/>
    <mergeCell ref="L43:L44"/>
    <mergeCell ref="A41:A44"/>
    <mergeCell ref="B41:F41"/>
    <mergeCell ref="B42:F42"/>
    <mergeCell ref="B43:B44"/>
    <mergeCell ref="C43:E43"/>
    <mergeCell ref="F43:F44"/>
    <mergeCell ref="I41:M41"/>
    <mergeCell ref="I42:M42"/>
    <mergeCell ref="H41:H44"/>
  </mergeCells>
  <phoneticPr fontId="27" type="noConversion"/>
  <pageMargins left="0.7" right="0.7" top="0.75" bottom="0.75" header="0.3" footer="0.3"/>
  <pageSetup orientation="portrait" r:id="rId1"/>
  <cellWatches>
    <cellWatch r="B3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Default Parameters</vt:lpstr>
      <vt:lpstr>Inst summary and ER calculation</vt:lpstr>
      <vt:lpstr>Sample Size cal and results</vt:lpstr>
      <vt:lpstr>Monitoring Summary MS1</vt:lpstr>
      <vt:lpstr>Monitoring Summary MS2</vt:lpstr>
      <vt:lpstr>Monitoring Report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CSIPL-S</cp:lastModifiedBy>
  <cp:lastPrinted>2022-01-05T08:27:55Z</cp:lastPrinted>
  <dcterms:created xsi:type="dcterms:W3CDTF">2016-01-23T09:47:55Z</dcterms:created>
  <dcterms:modified xsi:type="dcterms:W3CDTF">2022-09-26T13:27:36Z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